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A71A4FA3-1974-4E6C-8680-24254DECC3F4}" xr6:coauthVersionLast="47" xr6:coauthVersionMax="47" xr10:uidLastSave="{00000000-0000-0000-0000-000000000000}"/>
  <bookViews>
    <workbookView xWindow="1170" yWindow="375" windowWidth="27300" windowHeight="15105" xr2:uid="{00000000-000D-0000-FFFF-FFFF00000000}"/>
  </bookViews>
  <sheets>
    <sheet name="Puissance" sheetId="3" r:id="rId1"/>
    <sheet name="Capabilité" sheetId="5" r:id="rId2"/>
    <sheet name="moyenne et S²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5" l="1"/>
  <c r="H5" i="5"/>
  <c r="F5" i="5"/>
  <c r="D10" i="3"/>
  <c r="E4" i="3" l="1"/>
  <c r="D9" i="1" l="1"/>
  <c r="D11" i="1"/>
  <c r="D13" i="1" l="1"/>
  <c r="D14" i="1" s="1"/>
  <c r="D12" i="1"/>
  <c r="F6" i="5"/>
  <c r="H7" i="5" s="1"/>
  <c r="D16" i="5" l="1"/>
  <c r="H19" i="5" s="1"/>
  <c r="S76" i="1"/>
  <c r="D84" i="1"/>
  <c r="L30" i="3" l="1"/>
  <c r="P79" i="1" l="1"/>
  <c r="K41" i="3" l="1"/>
  <c r="U119" i="3" l="1"/>
  <c r="U118" i="3"/>
  <c r="T103" i="3"/>
  <c r="T104" i="3"/>
  <c r="T105" i="3"/>
  <c r="T106" i="3"/>
  <c r="T107" i="3"/>
  <c r="T108" i="3"/>
  <c r="T109" i="3"/>
  <c r="T110" i="3"/>
  <c r="T111" i="3"/>
  <c r="T112" i="3"/>
  <c r="S103" i="3"/>
  <c r="S104" i="3"/>
  <c r="S105" i="3"/>
  <c r="S106" i="3"/>
  <c r="S107" i="3"/>
  <c r="S108" i="3"/>
  <c r="S109" i="3"/>
  <c r="S110" i="3"/>
  <c r="S111" i="3"/>
  <c r="S112" i="3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Q103" i="3"/>
  <c r="Q104" i="3"/>
  <c r="Q105" i="3"/>
  <c r="Q106" i="3"/>
  <c r="Q107" i="3"/>
  <c r="Q108" i="3"/>
  <c r="Q109" i="3"/>
  <c r="Q110" i="3"/>
  <c r="Q111" i="3"/>
  <c r="Q112" i="3"/>
  <c r="Q83" i="3"/>
  <c r="R83" i="3" s="1"/>
  <c r="O103" i="3"/>
  <c r="O104" i="3"/>
  <c r="O105" i="3"/>
  <c r="O106" i="3"/>
  <c r="O107" i="3"/>
  <c r="O108" i="3"/>
  <c r="O109" i="3"/>
  <c r="O110" i="3"/>
  <c r="O111" i="3"/>
  <c r="O112" i="3"/>
  <c r="N84" i="3"/>
  <c r="N85" i="3"/>
  <c r="N86" i="3"/>
  <c r="N87" i="3"/>
  <c r="N88" i="3"/>
  <c r="N89" i="3"/>
  <c r="N90" i="3"/>
  <c r="N91" i="3"/>
  <c r="N92" i="3"/>
  <c r="N93" i="3"/>
  <c r="S93" i="3" s="1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83" i="3"/>
  <c r="I103" i="3"/>
  <c r="I104" i="3"/>
  <c r="I105" i="3"/>
  <c r="I106" i="3"/>
  <c r="I107" i="3"/>
  <c r="I108" i="3"/>
  <c r="I109" i="3"/>
  <c r="I110" i="3"/>
  <c r="I111" i="3"/>
  <c r="I112" i="3"/>
  <c r="H103" i="3"/>
  <c r="H104" i="3"/>
  <c r="H105" i="3"/>
  <c r="H106" i="3"/>
  <c r="H107" i="3"/>
  <c r="H108" i="3"/>
  <c r="H109" i="3"/>
  <c r="H110" i="3"/>
  <c r="H111" i="3"/>
  <c r="H112" i="3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F101" i="3"/>
  <c r="G101" i="3" s="1"/>
  <c r="F102" i="3"/>
  <c r="G102" i="3" s="1"/>
  <c r="I102" i="3" s="1"/>
  <c r="F103" i="3"/>
  <c r="F104" i="3"/>
  <c r="F105" i="3"/>
  <c r="F106" i="3"/>
  <c r="F107" i="3"/>
  <c r="F108" i="3"/>
  <c r="F109" i="3"/>
  <c r="F110" i="3"/>
  <c r="F111" i="3"/>
  <c r="F112" i="3"/>
  <c r="F83" i="3"/>
  <c r="G83" i="3" s="1"/>
  <c r="D103" i="3"/>
  <c r="D104" i="3"/>
  <c r="D105" i="3"/>
  <c r="D106" i="3"/>
  <c r="D107" i="3"/>
  <c r="D108" i="3"/>
  <c r="D109" i="3"/>
  <c r="D110" i="3"/>
  <c r="D111" i="3"/>
  <c r="D112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83" i="3"/>
  <c r="I119" i="3"/>
  <c r="I118" i="3"/>
  <c r="H152" i="3"/>
  <c r="O152" i="3" s="1"/>
  <c r="H151" i="3"/>
  <c r="O151" i="3" s="1"/>
  <c r="H150" i="3"/>
  <c r="O150" i="3" s="1"/>
  <c r="H149" i="3"/>
  <c r="O149" i="3" s="1"/>
  <c r="H148" i="3"/>
  <c r="O148" i="3" s="1"/>
  <c r="H147" i="3"/>
  <c r="O147" i="3" s="1"/>
  <c r="H146" i="3"/>
  <c r="O146" i="3" s="1"/>
  <c r="H145" i="3"/>
  <c r="O145" i="3" s="1"/>
  <c r="H144" i="3"/>
  <c r="O144" i="3" s="1"/>
  <c r="H143" i="3"/>
  <c r="O143" i="3" s="1"/>
  <c r="H142" i="3"/>
  <c r="O142" i="3" s="1"/>
  <c r="H141" i="3"/>
  <c r="O141" i="3" s="1"/>
  <c r="H140" i="3"/>
  <c r="O140" i="3" s="1"/>
  <c r="H139" i="3"/>
  <c r="O139" i="3" s="1"/>
  <c r="H138" i="3"/>
  <c r="O138" i="3" s="1"/>
  <c r="H137" i="3"/>
  <c r="L137" i="3" s="1"/>
  <c r="H136" i="3"/>
  <c r="M136" i="3" s="1"/>
  <c r="O135" i="3"/>
  <c r="J135" i="3"/>
  <c r="I135" i="3"/>
  <c r="H135" i="3"/>
  <c r="L135" i="3" s="1"/>
  <c r="H134" i="3"/>
  <c r="L134" i="3" s="1"/>
  <c r="H133" i="3"/>
  <c r="L133" i="3" s="1"/>
  <c r="H132" i="3"/>
  <c r="L132" i="3" s="1"/>
  <c r="H131" i="3"/>
  <c r="L131" i="3" s="1"/>
  <c r="H130" i="3"/>
  <c r="L130" i="3" s="1"/>
  <c r="H129" i="3"/>
  <c r="L129" i="3" s="1"/>
  <c r="K128" i="3"/>
  <c r="J128" i="3"/>
  <c r="H128" i="3"/>
  <c r="L128" i="3" s="1"/>
  <c r="H127" i="3"/>
  <c r="L127" i="3" s="1"/>
  <c r="H126" i="3"/>
  <c r="L126" i="3" s="1"/>
  <c r="H125" i="3"/>
  <c r="L125" i="3" s="1"/>
  <c r="O124" i="3"/>
  <c r="K124" i="3"/>
  <c r="H124" i="3"/>
  <c r="L124" i="3" s="1"/>
  <c r="H123" i="3"/>
  <c r="L123" i="3" s="1"/>
  <c r="L118" i="3"/>
  <c r="K118" i="3"/>
  <c r="R112" i="3"/>
  <c r="P112" i="3"/>
  <c r="G112" i="3"/>
  <c r="E112" i="3"/>
  <c r="R111" i="3"/>
  <c r="P111" i="3"/>
  <c r="G111" i="3"/>
  <c r="E111" i="3"/>
  <c r="R110" i="3"/>
  <c r="P110" i="3"/>
  <c r="G110" i="3"/>
  <c r="E110" i="3"/>
  <c r="R109" i="3"/>
  <c r="P109" i="3"/>
  <c r="G109" i="3"/>
  <c r="E109" i="3"/>
  <c r="R108" i="3"/>
  <c r="P108" i="3"/>
  <c r="G108" i="3"/>
  <c r="E108" i="3"/>
  <c r="R107" i="3"/>
  <c r="P107" i="3"/>
  <c r="G107" i="3"/>
  <c r="E107" i="3"/>
  <c r="R106" i="3"/>
  <c r="P106" i="3"/>
  <c r="G106" i="3"/>
  <c r="E106" i="3"/>
  <c r="R105" i="3"/>
  <c r="P105" i="3"/>
  <c r="G105" i="3"/>
  <c r="E105" i="3"/>
  <c r="R104" i="3"/>
  <c r="P104" i="3"/>
  <c r="G104" i="3"/>
  <c r="E104" i="3"/>
  <c r="R103" i="3"/>
  <c r="P103" i="3"/>
  <c r="G103" i="3"/>
  <c r="E103" i="3"/>
  <c r="R102" i="3"/>
  <c r="G100" i="3"/>
  <c r="L32" i="3"/>
  <c r="K32" i="3"/>
  <c r="AA41" i="3"/>
  <c r="K30" i="3"/>
  <c r="L29" i="3"/>
  <c r="K29" i="3"/>
  <c r="T101" i="3" l="1"/>
  <c r="K127" i="3"/>
  <c r="J131" i="3"/>
  <c r="K125" i="3"/>
  <c r="K129" i="3"/>
  <c r="K131" i="3"/>
  <c r="M123" i="3"/>
  <c r="N127" i="3"/>
  <c r="J132" i="3"/>
  <c r="K133" i="3"/>
  <c r="I127" i="3"/>
  <c r="O127" i="3"/>
  <c r="O128" i="3"/>
  <c r="N131" i="3"/>
  <c r="K132" i="3"/>
  <c r="K135" i="3"/>
  <c r="J136" i="3"/>
  <c r="J124" i="3"/>
  <c r="J127" i="3"/>
  <c r="I131" i="3"/>
  <c r="O131" i="3"/>
  <c r="O132" i="3"/>
  <c r="N135" i="3"/>
  <c r="K136" i="3"/>
  <c r="M126" i="3"/>
  <c r="M134" i="3"/>
  <c r="N137" i="3"/>
  <c r="I130" i="3"/>
  <c r="N130" i="3"/>
  <c r="M133" i="3"/>
  <c r="I123" i="3"/>
  <c r="M124" i="3"/>
  <c r="N125" i="3"/>
  <c r="O126" i="3"/>
  <c r="M128" i="3"/>
  <c r="N129" i="3"/>
  <c r="O130" i="3"/>
  <c r="N133" i="3"/>
  <c r="M130" i="3"/>
  <c r="N123" i="3"/>
  <c r="M125" i="3"/>
  <c r="I126" i="3"/>
  <c r="N126" i="3"/>
  <c r="M129" i="3"/>
  <c r="I134" i="3"/>
  <c r="N134" i="3"/>
  <c r="I137" i="3"/>
  <c r="I125" i="3"/>
  <c r="J126" i="3"/>
  <c r="I129" i="3"/>
  <c r="J130" i="3"/>
  <c r="M132" i="3"/>
  <c r="I133" i="3"/>
  <c r="J134" i="3"/>
  <c r="O134" i="3"/>
  <c r="N136" i="3"/>
  <c r="J137" i="3"/>
  <c r="J123" i="3"/>
  <c r="I124" i="3"/>
  <c r="N124" i="3"/>
  <c r="J125" i="3"/>
  <c r="O125" i="3"/>
  <c r="K126" i="3"/>
  <c r="M127" i="3"/>
  <c r="I128" i="3"/>
  <c r="N128" i="3"/>
  <c r="J129" i="3"/>
  <c r="O129" i="3"/>
  <c r="K130" i="3"/>
  <c r="M131" i="3"/>
  <c r="I132" i="3"/>
  <c r="N132" i="3"/>
  <c r="J133" i="3"/>
  <c r="O133" i="3"/>
  <c r="K134" i="3"/>
  <c r="M135" i="3"/>
  <c r="I136" i="3"/>
  <c r="O136" i="3"/>
  <c r="M137" i="3"/>
  <c r="I98" i="3"/>
  <c r="I101" i="3"/>
  <c r="S95" i="3"/>
  <c r="T96" i="3"/>
  <c r="O101" i="3"/>
  <c r="P101" i="3" s="1"/>
  <c r="T100" i="3"/>
  <c r="S102" i="3"/>
  <c r="H102" i="3"/>
  <c r="D102" i="3"/>
  <c r="E102" i="3" s="1"/>
  <c r="D101" i="3"/>
  <c r="E101" i="3" s="1"/>
  <c r="I99" i="3"/>
  <c r="T99" i="3"/>
  <c r="S99" i="3"/>
  <c r="S101" i="3"/>
  <c r="T102" i="3"/>
  <c r="O98" i="3"/>
  <c r="P98" i="3" s="1"/>
  <c r="O102" i="3"/>
  <c r="P102" i="3" s="1"/>
  <c r="O100" i="3"/>
  <c r="P100" i="3" s="1"/>
  <c r="O99" i="3"/>
  <c r="P99" i="3" s="1"/>
  <c r="I97" i="3"/>
  <c r="H100" i="3"/>
  <c r="D98" i="3"/>
  <c r="E98" i="3" s="1"/>
  <c r="H101" i="3"/>
  <c r="H99" i="3"/>
  <c r="D100" i="3"/>
  <c r="E100" i="3" s="1"/>
  <c r="I94" i="3"/>
  <c r="S92" i="3"/>
  <c r="S88" i="3"/>
  <c r="S84" i="3"/>
  <c r="H96" i="3"/>
  <c r="I92" i="3"/>
  <c r="H95" i="3"/>
  <c r="T97" i="3"/>
  <c r="T98" i="3"/>
  <c r="S98" i="3"/>
  <c r="I100" i="3"/>
  <c r="I95" i="3"/>
  <c r="D99" i="3"/>
  <c r="E99" i="3" s="1"/>
  <c r="H92" i="3"/>
  <c r="I93" i="3"/>
  <c r="H98" i="3"/>
  <c r="S100" i="3"/>
  <c r="S96" i="3"/>
  <c r="D96" i="3"/>
  <c r="E96" i="3" s="1"/>
  <c r="H97" i="3"/>
  <c r="T92" i="3"/>
  <c r="H93" i="3"/>
  <c r="I89" i="3"/>
  <c r="I96" i="3"/>
  <c r="O97" i="3"/>
  <c r="P97" i="3" s="1"/>
  <c r="S97" i="3"/>
  <c r="T95" i="3"/>
  <c r="D97" i="3"/>
  <c r="E97" i="3" s="1"/>
  <c r="I88" i="3"/>
  <c r="O91" i="3"/>
  <c r="P91" i="3" s="1"/>
  <c r="O92" i="3"/>
  <c r="P92" i="3" s="1"/>
  <c r="O96" i="3"/>
  <c r="P96" i="3" s="1"/>
  <c r="H91" i="3"/>
  <c r="D92" i="3"/>
  <c r="E92" i="3" s="1"/>
  <c r="O94" i="3"/>
  <c r="P94" i="3" s="1"/>
  <c r="O95" i="3"/>
  <c r="P95" i="3" s="1"/>
  <c r="T94" i="3"/>
  <c r="T90" i="3"/>
  <c r="D94" i="3"/>
  <c r="E94" i="3" s="1"/>
  <c r="D95" i="3"/>
  <c r="E95" i="3" s="1"/>
  <c r="T93" i="3"/>
  <c r="H94" i="3"/>
  <c r="D93" i="3"/>
  <c r="E93" i="3" s="1"/>
  <c r="I87" i="3"/>
  <c r="O93" i="3"/>
  <c r="P93" i="3" s="1"/>
  <c r="T91" i="3"/>
  <c r="T87" i="3"/>
  <c r="H90" i="3"/>
  <c r="I91" i="3"/>
  <c r="S90" i="3"/>
  <c r="S94" i="3"/>
  <c r="H83" i="3"/>
  <c r="D89" i="3"/>
  <c r="E89" i="3" s="1"/>
  <c r="O90" i="3"/>
  <c r="P90" i="3" s="1"/>
  <c r="O89" i="3"/>
  <c r="P89" i="3" s="1"/>
  <c r="T86" i="3"/>
  <c r="S86" i="3"/>
  <c r="D90" i="3"/>
  <c r="E90" i="3" s="1"/>
  <c r="H89" i="3"/>
  <c r="I90" i="3"/>
  <c r="H87" i="3"/>
  <c r="O86" i="3"/>
  <c r="P86" i="3" s="1"/>
  <c r="T88" i="3"/>
  <c r="S89" i="3"/>
  <c r="D86" i="3"/>
  <c r="E86" i="3" s="1"/>
  <c r="D91" i="3"/>
  <c r="E91" i="3" s="1"/>
  <c r="T89" i="3"/>
  <c r="S91" i="3"/>
  <c r="I86" i="3"/>
  <c r="D88" i="3"/>
  <c r="E88" i="3" s="1"/>
  <c r="H84" i="3"/>
  <c r="H88" i="3"/>
  <c r="O87" i="3"/>
  <c r="P87" i="3" s="1"/>
  <c r="T83" i="3"/>
  <c r="Y41" i="3"/>
  <c r="D87" i="3"/>
  <c r="E87" i="3" s="1"/>
  <c r="K53" i="3"/>
  <c r="K39" i="3"/>
  <c r="L42" i="3" s="1"/>
  <c r="H86" i="3"/>
  <c r="S87" i="3"/>
  <c r="O88" i="3"/>
  <c r="P88" i="3" s="1"/>
  <c r="H85" i="3"/>
  <c r="I83" i="3"/>
  <c r="V118" i="3"/>
  <c r="O84" i="3"/>
  <c r="P84" i="3" s="1"/>
  <c r="O83" i="3"/>
  <c r="P83" i="3" s="1"/>
  <c r="O85" i="3"/>
  <c r="P85" i="3" s="1"/>
  <c r="V119" i="3"/>
  <c r="D138" i="3"/>
  <c r="D137" i="3"/>
  <c r="J118" i="3"/>
  <c r="K34" i="3" s="1"/>
  <c r="I84" i="3"/>
  <c r="S85" i="3"/>
  <c r="T85" i="3"/>
  <c r="S83" i="3"/>
  <c r="T84" i="3"/>
  <c r="D83" i="3"/>
  <c r="E83" i="3" s="1"/>
  <c r="D85" i="3"/>
  <c r="E85" i="3" s="1"/>
  <c r="I85" i="3"/>
  <c r="J119" i="3"/>
  <c r="K35" i="3" s="1"/>
  <c r="D84" i="3"/>
  <c r="E84" i="3" s="1"/>
  <c r="X118" i="3"/>
  <c r="L138" i="3"/>
  <c r="L140" i="3"/>
  <c r="L142" i="3"/>
  <c r="L145" i="3"/>
  <c r="L147" i="3"/>
  <c r="L150" i="3"/>
  <c r="L152" i="3"/>
  <c r="I139" i="3"/>
  <c r="I141" i="3"/>
  <c r="K123" i="3"/>
  <c r="O123" i="3"/>
  <c r="L136" i="3"/>
  <c r="K137" i="3"/>
  <c r="O137" i="3"/>
  <c r="J138" i="3"/>
  <c r="N138" i="3"/>
  <c r="J139" i="3"/>
  <c r="N139" i="3"/>
  <c r="J140" i="3"/>
  <c r="N140" i="3"/>
  <c r="J141" i="3"/>
  <c r="N141" i="3"/>
  <c r="J142" i="3"/>
  <c r="N142" i="3"/>
  <c r="J143" i="3"/>
  <c r="N143" i="3"/>
  <c r="J144" i="3"/>
  <c r="N144" i="3"/>
  <c r="J145" i="3"/>
  <c r="N145" i="3"/>
  <c r="J146" i="3"/>
  <c r="N146" i="3"/>
  <c r="J147" i="3"/>
  <c r="N147" i="3"/>
  <c r="J148" i="3"/>
  <c r="N148" i="3"/>
  <c r="J149" i="3"/>
  <c r="N149" i="3"/>
  <c r="J150" i="3"/>
  <c r="N150" i="3"/>
  <c r="J151" i="3"/>
  <c r="N151" i="3"/>
  <c r="J152" i="3"/>
  <c r="N152" i="3"/>
  <c r="L139" i="3"/>
  <c r="L141" i="3"/>
  <c r="L143" i="3"/>
  <c r="L144" i="3"/>
  <c r="L146" i="3"/>
  <c r="L148" i="3"/>
  <c r="L149" i="3"/>
  <c r="L151" i="3"/>
  <c r="I138" i="3"/>
  <c r="M138" i="3"/>
  <c r="M139" i="3"/>
  <c r="I140" i="3"/>
  <c r="M140" i="3"/>
  <c r="M141" i="3"/>
  <c r="I142" i="3"/>
  <c r="M142" i="3"/>
  <c r="I143" i="3"/>
  <c r="M143" i="3"/>
  <c r="I144" i="3"/>
  <c r="M144" i="3"/>
  <c r="I145" i="3"/>
  <c r="M145" i="3"/>
  <c r="I146" i="3"/>
  <c r="M146" i="3"/>
  <c r="I147" i="3"/>
  <c r="M147" i="3"/>
  <c r="I148" i="3"/>
  <c r="M148" i="3"/>
  <c r="I149" i="3"/>
  <c r="M149" i="3"/>
  <c r="I150" i="3"/>
  <c r="M150" i="3"/>
  <c r="I151" i="3"/>
  <c r="M151" i="3"/>
  <c r="I152" i="3"/>
  <c r="M152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44" i="3"/>
  <c r="K46" i="3" s="1"/>
  <c r="K31" i="3"/>
  <c r="Q123" i="3" l="1"/>
  <c r="P123" i="3"/>
  <c r="R123" i="3" s="1"/>
  <c r="I156" i="3" s="1"/>
  <c r="P80" i="1"/>
  <c r="P81" i="1" s="1"/>
  <c r="P82" i="1" s="1"/>
  <c r="J83" i="3"/>
  <c r="K40" i="3"/>
  <c r="K42" i="3" s="1"/>
  <c r="O156" i="3"/>
  <c r="K83" i="3"/>
  <c r="P156" i="3"/>
  <c r="J36" i="3"/>
  <c r="O157" i="3"/>
  <c r="P157" i="3"/>
  <c r="Q156" i="3"/>
  <c r="R156" i="3"/>
  <c r="U83" i="3"/>
  <c r="V83" i="3"/>
  <c r="W118" i="3"/>
  <c r="K45" i="3"/>
  <c r="K47" i="3" s="1"/>
  <c r="K48" i="3" s="1"/>
  <c r="K50" i="3"/>
  <c r="K52" i="3" s="1"/>
  <c r="K54" i="3" s="1"/>
  <c r="P63" i="1"/>
  <c r="P67" i="1" s="1"/>
  <c r="P69" i="1" s="1"/>
  <c r="P62" i="1"/>
  <c r="P64" i="1" l="1"/>
  <c r="L83" i="3"/>
  <c r="C118" i="3" s="1"/>
  <c r="F118" i="3" s="1"/>
  <c r="W83" i="3"/>
  <c r="L35" i="3"/>
  <c r="L34" i="3"/>
  <c r="L156" i="3"/>
  <c r="L157" i="3"/>
  <c r="K55" i="3"/>
  <c r="K56" i="3" s="1"/>
  <c r="S16" i="3"/>
  <c r="S14" i="3"/>
  <c r="E9" i="3"/>
  <c r="S11" i="3" l="1"/>
  <c r="F119" i="3"/>
  <c r="O118" i="3"/>
  <c r="R119" i="3" s="1"/>
  <c r="K33" i="3"/>
  <c r="D53" i="1"/>
  <c r="D54" i="1" s="1"/>
  <c r="D55" i="1" s="1"/>
  <c r="S19" i="3"/>
  <c r="S20" i="3" s="1"/>
  <c r="S18" i="3"/>
  <c r="S8" i="3" s="1"/>
  <c r="L33" i="3" l="1"/>
  <c r="R118" i="3"/>
  <c r="AA57" i="3"/>
  <c r="AB57" i="3" s="1"/>
  <c r="AA53" i="3"/>
  <c r="AB53" i="3" s="1"/>
  <c r="AA60" i="3"/>
  <c r="AB60" i="3" s="1"/>
  <c r="AA44" i="3"/>
  <c r="AB44" i="3" s="1"/>
  <c r="AA59" i="3"/>
  <c r="AB59" i="3" s="1"/>
  <c r="AA58" i="3"/>
  <c r="AB58" i="3" s="1"/>
  <c r="AA42" i="3"/>
  <c r="AB42" i="3" s="1"/>
  <c r="Y34" i="3"/>
  <c r="Z34" i="3" s="1"/>
  <c r="Y33" i="3"/>
  <c r="Z33" i="3" s="1"/>
  <c r="AA34" i="3"/>
  <c r="AB34" i="3" s="1"/>
  <c r="AB41" i="3"/>
  <c r="AA33" i="3"/>
  <c r="AB33" i="3" s="1"/>
  <c r="AA43" i="3"/>
  <c r="AB43" i="3" s="1"/>
  <c r="AA51" i="3"/>
  <c r="AB51" i="3" s="1"/>
  <c r="Z41" i="3"/>
  <c r="AA30" i="3"/>
  <c r="AB30" i="3" s="1"/>
  <c r="AA48" i="3"/>
  <c r="AB48" i="3" s="1"/>
  <c r="AA46" i="3"/>
  <c r="AB46" i="3" s="1"/>
  <c r="Y35" i="3"/>
  <c r="Z35" i="3" s="1"/>
  <c r="AA28" i="3"/>
  <c r="AB28" i="3" s="1"/>
  <c r="AA56" i="3"/>
  <c r="AB56" i="3" s="1"/>
  <c r="AA49" i="3"/>
  <c r="AB49" i="3" s="1"/>
  <c r="AA55" i="3"/>
  <c r="AB55" i="3" s="1"/>
  <c r="AA54" i="3"/>
  <c r="AB54" i="3" s="1"/>
  <c r="Y28" i="3"/>
  <c r="Z28" i="3" s="1"/>
  <c r="AA40" i="3"/>
  <c r="AB40" i="3" s="1"/>
  <c r="AA32" i="3"/>
  <c r="AB32" i="3" s="1"/>
  <c r="AA39" i="3"/>
  <c r="AB39" i="3" s="1"/>
  <c r="AA31" i="3"/>
  <c r="AB31" i="3" s="1"/>
  <c r="AA52" i="3"/>
  <c r="AB52" i="3" s="1"/>
  <c r="AA50" i="3"/>
  <c r="AB50" i="3" s="1"/>
  <c r="AA38" i="3"/>
  <c r="AB38" i="3" s="1"/>
  <c r="AA37" i="3"/>
  <c r="AB37" i="3" s="1"/>
  <c r="AA29" i="3"/>
  <c r="AB29" i="3" s="1"/>
  <c r="AA45" i="3"/>
  <c r="AB45" i="3" s="1"/>
  <c r="AA47" i="3"/>
  <c r="AB47" i="3" s="1"/>
  <c r="Y36" i="3"/>
  <c r="Z36" i="3" s="1"/>
  <c r="AA36" i="3"/>
  <c r="AB36" i="3" s="1"/>
  <c r="AA35" i="3"/>
  <c r="AB35" i="3" s="1"/>
  <c r="Y44" i="3"/>
  <c r="Z44" i="3" s="1"/>
  <c r="Y60" i="3"/>
  <c r="Z60" i="3" s="1"/>
  <c r="Y46" i="3"/>
  <c r="Z46" i="3" s="1"/>
  <c r="Y45" i="3"/>
  <c r="Z45" i="3" s="1"/>
  <c r="Y50" i="3"/>
  <c r="Z50" i="3" s="1"/>
  <c r="Y30" i="3"/>
  <c r="Z30" i="3" s="1"/>
  <c r="Y32" i="3"/>
  <c r="Z32" i="3" s="1"/>
  <c r="Y56" i="3"/>
  <c r="Z56" i="3" s="1"/>
  <c r="Y42" i="3"/>
  <c r="Z42" i="3" s="1"/>
  <c r="Y31" i="3"/>
  <c r="Z31" i="3" s="1"/>
  <c r="Y29" i="3"/>
  <c r="Z29" i="3" s="1"/>
  <c r="Y43" i="3"/>
  <c r="Z43" i="3" s="1"/>
  <c r="Y47" i="3"/>
  <c r="Z47" i="3" s="1"/>
  <c r="Y39" i="3"/>
  <c r="Z39" i="3" s="1"/>
  <c r="Y49" i="3"/>
  <c r="Z49" i="3" s="1"/>
  <c r="Y48" i="3"/>
  <c r="Z48" i="3" s="1"/>
  <c r="Y51" i="3"/>
  <c r="Z51" i="3" s="1"/>
  <c r="Y53" i="3"/>
  <c r="Z53" i="3" s="1"/>
  <c r="Y55" i="3"/>
  <c r="Z55" i="3" s="1"/>
  <c r="Y38" i="3"/>
  <c r="Z38" i="3" s="1"/>
  <c r="Y40" i="3"/>
  <c r="Z40" i="3" s="1"/>
  <c r="Y52" i="3"/>
  <c r="Z52" i="3" s="1"/>
  <c r="Y54" i="3"/>
  <c r="Z54" i="3" s="1"/>
  <c r="Y58" i="3"/>
  <c r="Z58" i="3" s="1"/>
  <c r="Y57" i="3"/>
  <c r="Z57" i="3" s="1"/>
  <c r="Y59" i="3"/>
  <c r="Z59" i="3" s="1"/>
  <c r="Y37" i="3"/>
  <c r="Z37" i="3" s="1"/>
  <c r="M32" i="5"/>
  <c r="O32" i="5" s="1"/>
  <c r="D14" i="5"/>
  <c r="D13" i="5"/>
  <c r="L31" i="5" l="1"/>
  <c r="L32" i="5" s="1"/>
  <c r="H12" i="5"/>
  <c r="H16" i="5" s="1"/>
  <c r="D15" i="5"/>
  <c r="N31" i="5"/>
  <c r="N32" i="5" s="1"/>
  <c r="F8" i="5"/>
  <c r="F7" i="5"/>
  <c r="S21" i="3" l="1"/>
  <c r="S23" i="3" l="1"/>
  <c r="S6" i="3"/>
  <c r="S5" i="3"/>
  <c r="F11" i="3" l="1"/>
  <c r="F10" i="3" s="1"/>
  <c r="S7" i="3"/>
  <c r="S9" i="3" s="1"/>
  <c r="J31" i="5"/>
  <c r="J32" i="5" s="1"/>
  <c r="H31" i="5"/>
  <c r="H32" i="5" s="1"/>
  <c r="G65" i="5"/>
  <c r="H65" i="5" s="1"/>
  <c r="F31" i="5"/>
  <c r="F32" i="5" s="1"/>
  <c r="H18" i="5" l="1"/>
  <c r="G35" i="5"/>
  <c r="H35" i="5" s="1"/>
  <c r="G61" i="5"/>
  <c r="H61" i="5" s="1"/>
  <c r="G57" i="5"/>
  <c r="H57" i="5" s="1"/>
  <c r="G53" i="5"/>
  <c r="H53" i="5" s="1"/>
  <c r="G49" i="5"/>
  <c r="H49" i="5" s="1"/>
  <c r="G45" i="5"/>
  <c r="H45" i="5" s="1"/>
  <c r="G41" i="5"/>
  <c r="H41" i="5" s="1"/>
  <c r="G37" i="5"/>
  <c r="H37" i="5" s="1"/>
  <c r="G94" i="5"/>
  <c r="H94" i="5" s="1"/>
  <c r="G90" i="5"/>
  <c r="H90" i="5" s="1"/>
  <c r="G86" i="5"/>
  <c r="H86" i="5" s="1"/>
  <c r="G82" i="5"/>
  <c r="H82" i="5" s="1"/>
  <c r="G78" i="5"/>
  <c r="H78" i="5" s="1"/>
  <c r="G74" i="5"/>
  <c r="H74" i="5" s="1"/>
  <c r="G70" i="5"/>
  <c r="H70" i="5" s="1"/>
  <c r="G63" i="5"/>
  <c r="H63" i="5" s="1"/>
  <c r="G59" i="5"/>
  <c r="H59" i="5" s="1"/>
  <c r="G55" i="5"/>
  <c r="H55" i="5" s="1"/>
  <c r="G51" i="5"/>
  <c r="H51" i="5" s="1"/>
  <c r="G47" i="5"/>
  <c r="H47" i="5" s="1"/>
  <c r="G43" i="5"/>
  <c r="H43" i="5" s="1"/>
  <c r="G39" i="5"/>
  <c r="H39" i="5" s="1"/>
  <c r="G66" i="5"/>
  <c r="H66" i="5" s="1"/>
  <c r="G92" i="5"/>
  <c r="H92" i="5" s="1"/>
  <c r="G88" i="5"/>
  <c r="H88" i="5" s="1"/>
  <c r="G84" i="5"/>
  <c r="H84" i="5" s="1"/>
  <c r="G80" i="5"/>
  <c r="H80" i="5" s="1"/>
  <c r="G76" i="5"/>
  <c r="H76" i="5" s="1"/>
  <c r="G72" i="5"/>
  <c r="H72" i="5" s="1"/>
  <c r="G68" i="5"/>
  <c r="H68" i="5" s="1"/>
  <c r="G64" i="5"/>
  <c r="H64" i="5" s="1"/>
  <c r="G60" i="5"/>
  <c r="H60" i="5" s="1"/>
  <c r="G56" i="5"/>
  <c r="H56" i="5" s="1"/>
  <c r="G52" i="5"/>
  <c r="H52" i="5" s="1"/>
  <c r="G48" i="5"/>
  <c r="H48" i="5" s="1"/>
  <c r="G44" i="5"/>
  <c r="H44" i="5" s="1"/>
  <c r="G40" i="5"/>
  <c r="H40" i="5" s="1"/>
  <c r="G36" i="5"/>
  <c r="H36" i="5" s="1"/>
  <c r="G93" i="5"/>
  <c r="H93" i="5" s="1"/>
  <c r="G89" i="5"/>
  <c r="H89" i="5" s="1"/>
  <c r="G85" i="5"/>
  <c r="H85" i="5" s="1"/>
  <c r="G81" i="5"/>
  <c r="H81" i="5" s="1"/>
  <c r="G77" i="5"/>
  <c r="H77" i="5" s="1"/>
  <c r="G73" i="5"/>
  <c r="H73" i="5" s="1"/>
  <c r="G69" i="5"/>
  <c r="H69" i="5" s="1"/>
  <c r="G62" i="5"/>
  <c r="H62" i="5" s="1"/>
  <c r="G58" i="5"/>
  <c r="H58" i="5" s="1"/>
  <c r="G54" i="5"/>
  <c r="H54" i="5" s="1"/>
  <c r="G50" i="5"/>
  <c r="H50" i="5" s="1"/>
  <c r="G46" i="5"/>
  <c r="H46" i="5" s="1"/>
  <c r="G42" i="5"/>
  <c r="H42" i="5" s="1"/>
  <c r="G38" i="5"/>
  <c r="H38" i="5" s="1"/>
  <c r="G95" i="5"/>
  <c r="H95" i="5" s="1"/>
  <c r="G91" i="5"/>
  <c r="H91" i="5" s="1"/>
  <c r="G87" i="5"/>
  <c r="H87" i="5" s="1"/>
  <c r="G83" i="5"/>
  <c r="H83" i="5" s="1"/>
  <c r="G79" i="5"/>
  <c r="H79" i="5" s="1"/>
  <c r="G75" i="5"/>
  <c r="H75" i="5" s="1"/>
  <c r="G71" i="5"/>
  <c r="H71" i="5" s="1"/>
  <c r="G67" i="5"/>
  <c r="H67" i="5" s="1"/>
  <c r="G31" i="5"/>
  <c r="M31" i="5" l="1"/>
  <c r="O31" i="5" s="1"/>
  <c r="K31" i="5"/>
  <c r="H8" i="5"/>
  <c r="H15" i="5" s="1"/>
  <c r="H17" i="5" s="1"/>
  <c r="I31" i="5"/>
  <c r="D57" i="1"/>
  <c r="AL18" i="3" l="1"/>
  <c r="AF15" i="3"/>
  <c r="AE15" i="3" s="1"/>
  <c r="H20" i="5" l="1"/>
  <c r="H13" i="5" s="1"/>
  <c r="AJ12" i="3"/>
  <c r="D75" i="1" l="1"/>
  <c r="D73" i="1"/>
  <c r="D30" i="1"/>
  <c r="D94" i="1"/>
  <c r="D70" i="1" l="1"/>
  <c r="D11" i="3" l="1"/>
  <c r="AF12" i="3"/>
  <c r="D67" i="1"/>
  <c r="D68" i="1" s="1"/>
  <c r="AI12" i="3" l="1"/>
  <c r="AI13" i="3" s="1"/>
  <c r="P83" i="1" l="1"/>
  <c r="P51" i="1"/>
  <c r="P50" i="1"/>
  <c r="P52" i="1" l="1"/>
  <c r="P53" i="1" s="1"/>
  <c r="P54" i="1"/>
  <c r="P55" i="1"/>
  <c r="P56" i="1" s="1"/>
  <c r="P66" i="1"/>
  <c r="P70" i="1"/>
  <c r="D39" i="1" l="1"/>
  <c r="D28" i="1"/>
  <c r="D25" i="1" s="1"/>
  <c r="D23" i="1"/>
  <c r="D87" i="1" l="1"/>
  <c r="D42" i="1"/>
  <c r="D15" i="1" l="1"/>
  <c r="D59" i="1" l="1"/>
  <c r="D60" i="1" s="1"/>
  <c r="D58" i="1"/>
  <c r="D61" i="1" l="1"/>
  <c r="AK13" i="3" l="1"/>
  <c r="AK12" i="3"/>
  <c r="AA65" i="3" l="1"/>
  <c r="AB65" i="3" s="1"/>
  <c r="Y63" i="3"/>
  <c r="Z63" i="3" s="1"/>
  <c r="Y16" i="3"/>
  <c r="Z16" i="3" s="1"/>
  <c r="AA63" i="3"/>
  <c r="AB63" i="3" s="1"/>
  <c r="Y62" i="3"/>
  <c r="Z62" i="3" s="1"/>
  <c r="Y27" i="3"/>
  <c r="Z27" i="3" s="1"/>
  <c r="Y64" i="3"/>
  <c r="Z64" i="3" s="1"/>
  <c r="AA67" i="3"/>
  <c r="AB67" i="3" s="1"/>
  <c r="Y14" i="3"/>
  <c r="Z14" i="3" s="1"/>
  <c r="AA22" i="3"/>
  <c r="AB22" i="3" s="1"/>
  <c r="AE16" i="3"/>
  <c r="Y12" i="3"/>
  <c r="Z12" i="3" s="1"/>
  <c r="AA16" i="3"/>
  <c r="AB16" i="3" s="1"/>
  <c r="Y25" i="3"/>
  <c r="Z25" i="3" s="1"/>
  <c r="AL12" i="3"/>
  <c r="AA68" i="3"/>
  <c r="AB68" i="3" s="1"/>
  <c r="AA26" i="3"/>
  <c r="AB26" i="3" s="1"/>
  <c r="AA71" i="3"/>
  <c r="AB71" i="3" s="1"/>
  <c r="Y13" i="3"/>
  <c r="Z13" i="3" s="1"/>
  <c r="Y68" i="3"/>
  <c r="Z68" i="3" s="1"/>
  <c r="AA19" i="3"/>
  <c r="AB19" i="3" s="1"/>
  <c r="AA24" i="3"/>
  <c r="AB24" i="3" s="1"/>
  <c r="Y61" i="3"/>
  <c r="Z61" i="3" s="1"/>
  <c r="AA25" i="3"/>
  <c r="AB25" i="3" s="1"/>
  <c r="AA18" i="3"/>
  <c r="AB18" i="3" s="1"/>
  <c r="AA17" i="3"/>
  <c r="AB17" i="3" s="1"/>
  <c r="Y20" i="3"/>
  <c r="Z20" i="3" s="1"/>
  <c r="Y15" i="3"/>
  <c r="Z15" i="3" s="1"/>
  <c r="AE12" i="3"/>
  <c r="Y66" i="3"/>
  <c r="Z66" i="3" s="1"/>
  <c r="AA69" i="3"/>
  <c r="AB69" i="3" s="1"/>
  <c r="Y26" i="3"/>
  <c r="Z26" i="3" s="1"/>
  <c r="AA23" i="3"/>
  <c r="AB23" i="3" s="1"/>
  <c r="Y17" i="3"/>
  <c r="Z17" i="3" s="1"/>
  <c r="AA12" i="3"/>
  <c r="AB12" i="3" s="1"/>
  <c r="Y22" i="3"/>
  <c r="Z22" i="3" s="1"/>
  <c r="AA62" i="3"/>
  <c r="AB62" i="3" s="1"/>
  <c r="Y24" i="3"/>
  <c r="Z24" i="3" s="1"/>
  <c r="AA64" i="3"/>
  <c r="AB64" i="3" s="1"/>
  <c r="AA20" i="3"/>
  <c r="AB20" i="3" s="1"/>
  <c r="Y23" i="3"/>
  <c r="Z23" i="3" s="1"/>
  <c r="AA13" i="3"/>
  <c r="AB13" i="3" s="1"/>
  <c r="Y21" i="3"/>
  <c r="Z21" i="3" s="1"/>
  <c r="Y19" i="3"/>
  <c r="Z19" i="3" s="1"/>
  <c r="AA14" i="3"/>
  <c r="AB14" i="3" s="1"/>
  <c r="Y70" i="3"/>
  <c r="Z70" i="3" s="1"/>
  <c r="AA61" i="3"/>
  <c r="AB61" i="3" s="1"/>
  <c r="AA27" i="3"/>
  <c r="AB27" i="3" s="1"/>
  <c r="AA21" i="3"/>
  <c r="AB21" i="3" s="1"/>
  <c r="AA15" i="3"/>
  <c r="AB15" i="3" s="1"/>
  <c r="Y11" i="3"/>
  <c r="Y65" i="3"/>
  <c r="Z65" i="3" s="1"/>
  <c r="AA66" i="3"/>
  <c r="AB66" i="3" s="1"/>
  <c r="Y67" i="3"/>
  <c r="Z67" i="3" s="1"/>
  <c r="AA11" i="3"/>
  <c r="AB11" i="3" s="1"/>
  <c r="Y18" i="3"/>
  <c r="Z18" i="3" s="1"/>
  <c r="Y69" i="3"/>
  <c r="Z69" i="3" s="1"/>
  <c r="AA70" i="3"/>
  <c r="AB70" i="3" s="1"/>
  <c r="Y71" i="3"/>
  <c r="S22" i="3" l="1"/>
  <c r="AF19" i="3"/>
  <c r="Z71" i="3"/>
  <c r="Z11" i="3"/>
  <c r="AG12" i="3"/>
  <c r="AE13" i="3"/>
  <c r="AG13" i="3" s="1"/>
  <c r="AF29" i="3" l="1"/>
  <c r="AF31" i="3"/>
  <c r="AF33" i="3"/>
  <c r="AF35" i="3"/>
  <c r="AF37" i="3"/>
  <c r="AF39" i="3"/>
  <c r="AF28" i="3"/>
  <c r="AF30" i="3"/>
  <c r="AF32" i="3"/>
  <c r="AF34" i="3"/>
  <c r="AF36" i="3"/>
  <c r="AF38" i="3"/>
  <c r="AI19" i="3"/>
  <c r="AK19" i="3"/>
  <c r="AQ17" i="3"/>
  <c r="AF22" i="3"/>
  <c r="AI25" i="3" s="1"/>
  <c r="AL25" i="3" s="1"/>
  <c r="AF20" i="3"/>
  <c r="AF26" i="3"/>
  <c r="AF23" i="3"/>
  <c r="AI27" i="3" s="1"/>
  <c r="AF25" i="3"/>
  <c r="AF27" i="3"/>
  <c r="AF24" i="3"/>
  <c r="AF21" i="3"/>
  <c r="AI31" i="3" l="1"/>
  <c r="AL31" i="3" s="1"/>
  <c r="AK31" i="3"/>
  <c r="AK32" i="3" s="1"/>
  <c r="AI57" i="3"/>
  <c r="AL57" i="3" s="1"/>
  <c r="AK57" i="3"/>
  <c r="AK58" i="3" s="1"/>
  <c r="AI51" i="3"/>
  <c r="AL51" i="3" s="1"/>
  <c r="AK51" i="3"/>
  <c r="AK52" i="3" s="1"/>
  <c r="AI53" i="3"/>
  <c r="AL53" i="3" s="1"/>
  <c r="AK53" i="3"/>
  <c r="AK54" i="3" s="1"/>
  <c r="AI37" i="3"/>
  <c r="AL37" i="3" s="1"/>
  <c r="AK37" i="3"/>
  <c r="AK38" i="3" s="1"/>
  <c r="AI47" i="3"/>
  <c r="AL47" i="3" s="1"/>
  <c r="AK47" i="3"/>
  <c r="AK48" i="3" s="1"/>
  <c r="AI29" i="3"/>
  <c r="AL29" i="3" s="1"/>
  <c r="AK29" i="3"/>
  <c r="AK30" i="3" s="1"/>
  <c r="AI33" i="3"/>
  <c r="AL33" i="3" s="1"/>
  <c r="AK33" i="3"/>
  <c r="AK34" i="3" s="1"/>
  <c r="AI49" i="3"/>
  <c r="AL49" i="3" s="1"/>
  <c r="AK49" i="3"/>
  <c r="AK50" i="3" s="1"/>
  <c r="AI59" i="3"/>
  <c r="AL59" i="3" s="1"/>
  <c r="AK59" i="3"/>
  <c r="AK60" i="3" s="1"/>
  <c r="AI43" i="3"/>
  <c r="AL43" i="3" s="1"/>
  <c r="AK43" i="3"/>
  <c r="AK44" i="3" s="1"/>
  <c r="AI41" i="3"/>
  <c r="AL41" i="3" s="1"/>
  <c r="AK41" i="3"/>
  <c r="AK42" i="3" s="1"/>
  <c r="AL27" i="3"/>
  <c r="AI28" i="3"/>
  <c r="AI35" i="3"/>
  <c r="AL35" i="3" s="1"/>
  <c r="AK35" i="3"/>
  <c r="AK36" i="3" s="1"/>
  <c r="AI45" i="3"/>
  <c r="AL45" i="3" s="1"/>
  <c r="AK45" i="3"/>
  <c r="AK46" i="3" s="1"/>
  <c r="AI55" i="3"/>
  <c r="AL55" i="3" s="1"/>
  <c r="AK55" i="3"/>
  <c r="AK56" i="3" s="1"/>
  <c r="AI39" i="3"/>
  <c r="AL39" i="3" s="1"/>
  <c r="AK39" i="3"/>
  <c r="AK40" i="3" s="1"/>
  <c r="AH19" i="3"/>
  <c r="AL19" i="3"/>
  <c r="AQ89" i="3"/>
  <c r="AR89" i="3" s="1"/>
  <c r="AQ101" i="3"/>
  <c r="AR101" i="3" s="1"/>
  <c r="AQ102" i="3"/>
  <c r="AQ103" i="3"/>
  <c r="AR103" i="3" s="1"/>
  <c r="AQ108" i="3"/>
  <c r="AQ111" i="3"/>
  <c r="AR111" i="3" s="1"/>
  <c r="AQ112" i="3"/>
  <c r="AQ116" i="3"/>
  <c r="AQ91" i="3"/>
  <c r="AR91" i="3" s="1"/>
  <c r="AQ106" i="3"/>
  <c r="AQ90" i="3"/>
  <c r="AQ92" i="3"/>
  <c r="AQ95" i="3"/>
  <c r="AR95" i="3" s="1"/>
  <c r="AQ96" i="3"/>
  <c r="AQ98" i="3"/>
  <c r="AQ104" i="3"/>
  <c r="AQ113" i="3"/>
  <c r="AR113" i="3" s="1"/>
  <c r="AQ93" i="3"/>
  <c r="AR93" i="3" s="1"/>
  <c r="AQ99" i="3"/>
  <c r="AR99" i="3" s="1"/>
  <c r="AQ109" i="3"/>
  <c r="AR109" i="3" s="1"/>
  <c r="AQ110" i="3"/>
  <c r="AQ114" i="3"/>
  <c r="AQ117" i="3"/>
  <c r="AQ94" i="3"/>
  <c r="AQ97" i="3"/>
  <c r="AR97" i="3" s="1"/>
  <c r="AQ100" i="3"/>
  <c r="AQ105" i="3"/>
  <c r="AR105" i="3" s="1"/>
  <c r="AQ107" i="3"/>
  <c r="AR107" i="3" s="1"/>
  <c r="AQ115" i="3"/>
  <c r="AR115" i="3" s="1"/>
  <c r="AQ21" i="3"/>
  <c r="AR21" i="3" s="1"/>
  <c r="AR22" i="3" s="1"/>
  <c r="AH27" i="3"/>
  <c r="AH25" i="3"/>
  <c r="AK20" i="3"/>
  <c r="AI23" i="3"/>
  <c r="AL23" i="3" s="1"/>
  <c r="AK23" i="3"/>
  <c r="AK24" i="3" s="1"/>
  <c r="AI21" i="3"/>
  <c r="AL21" i="3" s="1"/>
  <c r="AK21" i="3"/>
  <c r="AK22" i="3" s="1"/>
  <c r="AI20" i="3"/>
  <c r="AI26" i="3"/>
  <c r="AQ77" i="3"/>
  <c r="AR77" i="3" s="1"/>
  <c r="AQ36" i="3"/>
  <c r="AQ84" i="3"/>
  <c r="AQ65" i="3"/>
  <c r="AQ32" i="3"/>
  <c r="AQ88" i="3"/>
  <c r="AQ63" i="3"/>
  <c r="AQ80" i="3"/>
  <c r="AQ46" i="3"/>
  <c r="AQ76" i="3"/>
  <c r="AQ85" i="3"/>
  <c r="AR85" i="3" s="1"/>
  <c r="AQ75" i="3"/>
  <c r="AQ62" i="3"/>
  <c r="AQ81" i="3"/>
  <c r="AQ19" i="3"/>
  <c r="AR19" i="3" s="1"/>
  <c r="AQ51" i="3"/>
  <c r="AQ82" i="3"/>
  <c r="AQ61" i="3"/>
  <c r="AQ49" i="3"/>
  <c r="AQ41" i="3"/>
  <c r="AQ57" i="3"/>
  <c r="AQ37" i="3"/>
  <c r="AQ26" i="3"/>
  <c r="AQ58" i="3"/>
  <c r="AQ53" i="3"/>
  <c r="AQ27" i="3"/>
  <c r="AR27" i="3" s="1"/>
  <c r="AQ54" i="3"/>
  <c r="AQ24" i="3"/>
  <c r="AQ34" i="3"/>
  <c r="AQ48" i="3"/>
  <c r="AQ30" i="3"/>
  <c r="AQ33" i="3"/>
  <c r="AQ60" i="3"/>
  <c r="AQ69" i="3"/>
  <c r="AQ74" i="3"/>
  <c r="AQ71" i="3"/>
  <c r="AQ55" i="3"/>
  <c r="AQ40" i="3"/>
  <c r="AQ64" i="3"/>
  <c r="AQ23" i="3"/>
  <c r="AQ86" i="3"/>
  <c r="AQ43" i="3"/>
  <c r="AQ20" i="3"/>
  <c r="AQ22" i="3"/>
  <c r="AQ45" i="3"/>
  <c r="AR45" i="3" s="1"/>
  <c r="AQ67" i="3"/>
  <c r="AQ47" i="3"/>
  <c r="AR47" i="3" s="1"/>
  <c r="AQ52" i="3"/>
  <c r="AQ56" i="3"/>
  <c r="AQ31" i="3"/>
  <c r="AQ73" i="3"/>
  <c r="AQ79" i="3"/>
  <c r="AQ78" i="3"/>
  <c r="AQ66" i="3"/>
  <c r="AQ18" i="3"/>
  <c r="AQ87" i="3"/>
  <c r="AR87" i="3" s="1"/>
  <c r="AQ59" i="3"/>
  <c r="AQ39" i="3"/>
  <c r="AR39" i="3" s="1"/>
  <c r="AQ29" i="3"/>
  <c r="AR29" i="3" s="1"/>
  <c r="AQ68" i="3"/>
  <c r="AQ35" i="3"/>
  <c r="AR35" i="3" s="1"/>
  <c r="AQ38" i="3"/>
  <c r="AQ25" i="3"/>
  <c r="AQ50" i="3"/>
  <c r="AQ72" i="3"/>
  <c r="AQ70" i="3"/>
  <c r="AQ83" i="3"/>
  <c r="AQ44" i="3"/>
  <c r="AQ42" i="3"/>
  <c r="AQ28" i="3"/>
  <c r="AK27" i="3"/>
  <c r="AK28" i="3" s="1"/>
  <c r="AK25" i="3"/>
  <c r="AK26" i="3" s="1"/>
  <c r="AH39" i="3" l="1"/>
  <c r="AI40" i="3"/>
  <c r="AH45" i="3"/>
  <c r="AI46" i="3"/>
  <c r="AH43" i="3"/>
  <c r="AI44" i="3"/>
  <c r="AI50" i="3"/>
  <c r="AH49" i="3"/>
  <c r="AI30" i="3"/>
  <c r="AH29" i="3"/>
  <c r="AI38" i="3"/>
  <c r="AH37" i="3"/>
  <c r="AI52" i="3"/>
  <c r="AH51" i="3"/>
  <c r="AI32" i="3"/>
  <c r="AH31" i="3"/>
  <c r="AI56" i="3"/>
  <c r="AH55" i="3"/>
  <c r="AI36" i="3"/>
  <c r="AH35" i="3"/>
  <c r="AH41" i="3"/>
  <c r="AI42" i="3"/>
  <c r="AI60" i="3"/>
  <c r="AH59" i="3"/>
  <c r="AI34" i="3"/>
  <c r="AH33" i="3"/>
  <c r="AI48" i="3"/>
  <c r="AH47" i="3"/>
  <c r="AI54" i="3"/>
  <c r="AH53" i="3"/>
  <c r="AI58" i="3"/>
  <c r="AH57" i="3"/>
  <c r="AU21" i="3"/>
  <c r="AU109" i="3"/>
  <c r="AR110" i="3"/>
  <c r="AV109" i="3"/>
  <c r="AS93" i="3"/>
  <c r="AS99" i="3"/>
  <c r="AS109" i="3"/>
  <c r="AS113" i="3"/>
  <c r="AS91" i="3"/>
  <c r="AS97" i="3"/>
  <c r="AS105" i="3"/>
  <c r="AS107" i="3"/>
  <c r="AS115" i="3"/>
  <c r="AS89" i="3"/>
  <c r="AS101" i="3"/>
  <c r="AS103" i="3"/>
  <c r="AS111" i="3"/>
  <c r="AS95" i="3"/>
  <c r="AU99" i="3"/>
  <c r="AR100" i="3"/>
  <c r="AV99" i="3"/>
  <c r="AU93" i="3"/>
  <c r="AR94" i="3"/>
  <c r="AV93" i="3"/>
  <c r="AU111" i="3"/>
  <c r="AR112" i="3"/>
  <c r="AV111" i="3"/>
  <c r="AU101" i="3"/>
  <c r="AR102" i="3"/>
  <c r="AV101" i="3"/>
  <c r="AU107" i="3"/>
  <c r="AV107" i="3"/>
  <c r="AR108" i="3"/>
  <c r="AU103" i="3"/>
  <c r="AR104" i="3"/>
  <c r="AV103" i="3"/>
  <c r="AU105" i="3"/>
  <c r="AR106" i="3"/>
  <c r="AV105" i="3"/>
  <c r="AU115" i="3"/>
  <c r="AV115" i="3"/>
  <c r="AR116" i="3"/>
  <c r="AU97" i="3"/>
  <c r="AV97" i="3"/>
  <c r="AR98" i="3"/>
  <c r="AU113" i="3"/>
  <c r="AR114" i="3"/>
  <c r="AV113" i="3"/>
  <c r="AU95" i="3"/>
  <c r="AR96" i="3"/>
  <c r="AV95" i="3"/>
  <c r="AU91" i="3"/>
  <c r="AV91" i="3"/>
  <c r="AR92" i="3"/>
  <c r="AU89" i="3"/>
  <c r="AR90" i="3"/>
  <c r="AV89" i="3"/>
  <c r="AV21" i="3"/>
  <c r="AU87" i="3"/>
  <c r="AV87" i="3"/>
  <c r="AU85" i="3"/>
  <c r="AV85" i="3"/>
  <c r="AU77" i="3"/>
  <c r="AV77" i="3"/>
  <c r="AR25" i="3"/>
  <c r="AU25" i="3" s="1"/>
  <c r="AR88" i="3"/>
  <c r="AR43" i="3"/>
  <c r="AR44" i="3" s="1"/>
  <c r="AR55" i="3"/>
  <c r="AU55" i="3" s="1"/>
  <c r="AR53" i="3"/>
  <c r="AU53" i="3" s="1"/>
  <c r="AR73" i="3"/>
  <c r="AR71" i="3"/>
  <c r="AR41" i="3"/>
  <c r="AU41" i="3" s="1"/>
  <c r="AR63" i="3"/>
  <c r="AU63" i="3" s="1"/>
  <c r="AR79" i="3"/>
  <c r="AR61" i="3"/>
  <c r="AV61" i="3" s="1"/>
  <c r="AR83" i="3"/>
  <c r="AR67" i="3"/>
  <c r="AV67" i="3" s="1"/>
  <c r="AR69" i="3"/>
  <c r="AR70" i="3" s="1"/>
  <c r="AU70" i="3" s="1"/>
  <c r="AR37" i="3"/>
  <c r="AR38" i="3" s="1"/>
  <c r="AR81" i="3"/>
  <c r="AR59" i="3"/>
  <c r="AV59" i="3" s="1"/>
  <c r="AR31" i="3"/>
  <c r="AR32" i="3" s="1"/>
  <c r="AR23" i="3"/>
  <c r="AU23" i="3" s="1"/>
  <c r="AR33" i="3"/>
  <c r="AU33" i="3" s="1"/>
  <c r="AR57" i="3"/>
  <c r="AU57" i="3" s="1"/>
  <c r="AR49" i="3"/>
  <c r="AU49" i="3" s="1"/>
  <c r="AR51" i="3"/>
  <c r="AU51" i="3" s="1"/>
  <c r="AR75" i="3"/>
  <c r="AR65" i="3"/>
  <c r="AR66" i="3" s="1"/>
  <c r="AH21" i="3"/>
  <c r="AH23" i="3"/>
  <c r="AI22" i="3"/>
  <c r="AI24" i="3"/>
  <c r="AV35" i="3"/>
  <c r="AV45" i="3"/>
  <c r="AR20" i="3"/>
  <c r="AR28" i="3"/>
  <c r="AU47" i="3"/>
  <c r="AU19" i="3"/>
  <c r="AU27" i="3"/>
  <c r="AR48" i="3"/>
  <c r="AR78" i="3"/>
  <c r="AV19" i="3"/>
  <c r="AV47" i="3"/>
  <c r="AV27" i="3"/>
  <c r="AR86" i="3"/>
  <c r="AR30" i="3"/>
  <c r="AV29" i="3"/>
  <c r="AU29" i="3"/>
  <c r="AU35" i="3"/>
  <c r="AU45" i="3"/>
  <c r="AV39" i="3"/>
  <c r="AR40" i="3"/>
  <c r="AR36" i="3"/>
  <c r="AU39" i="3"/>
  <c r="AR46" i="3"/>
  <c r="AS79" i="3"/>
  <c r="AS37" i="3"/>
  <c r="AS61" i="3"/>
  <c r="AS43" i="3"/>
  <c r="AS71" i="3"/>
  <c r="AS87" i="3"/>
  <c r="AS77" i="3"/>
  <c r="AT77" i="3" s="1"/>
  <c r="AS41" i="3"/>
  <c r="AS19" i="3"/>
  <c r="AT19" i="3" s="1"/>
  <c r="AS83" i="3"/>
  <c r="AS85" i="3"/>
  <c r="AT85" i="3" s="1"/>
  <c r="AS39" i="3"/>
  <c r="AT39" i="3" s="1"/>
  <c r="AS67" i="3"/>
  <c r="AS35" i="3"/>
  <c r="AT35" i="3" s="1"/>
  <c r="AS81" i="3"/>
  <c r="AS33" i="3"/>
  <c r="AS73" i="3"/>
  <c r="AS53" i="3"/>
  <c r="AS65" i="3"/>
  <c r="AS27" i="3"/>
  <c r="AT27" i="3" s="1"/>
  <c r="AS51" i="3"/>
  <c r="AS47" i="3"/>
  <c r="AT47" i="3" s="1"/>
  <c r="AS21" i="3"/>
  <c r="AT21" i="3" s="1"/>
  <c r="AS29" i="3"/>
  <c r="AT29" i="3" s="1"/>
  <c r="AS59" i="3"/>
  <c r="AS75" i="3"/>
  <c r="AS45" i="3"/>
  <c r="AT45" i="3" s="1"/>
  <c r="AS25" i="3"/>
  <c r="AS69" i="3"/>
  <c r="AS57" i="3"/>
  <c r="AS63" i="3"/>
  <c r="AS55" i="3"/>
  <c r="AS49" i="3"/>
  <c r="AS31" i="3"/>
  <c r="AS23" i="3"/>
  <c r="AU108" i="3" l="1"/>
  <c r="AV108" i="3"/>
  <c r="AW108" i="3"/>
  <c r="AW91" i="3"/>
  <c r="AT91" i="3"/>
  <c r="AS92" i="3"/>
  <c r="AT92" i="3" s="1"/>
  <c r="AU100" i="3"/>
  <c r="AW100" i="3"/>
  <c r="AV100" i="3"/>
  <c r="AW103" i="3"/>
  <c r="AT103" i="3"/>
  <c r="AS104" i="3"/>
  <c r="AT104" i="3" s="1"/>
  <c r="AW107" i="3"/>
  <c r="AS108" i="3"/>
  <c r="AT108" i="3" s="1"/>
  <c r="AT107" i="3"/>
  <c r="AT113" i="3"/>
  <c r="AS114" i="3"/>
  <c r="AT114" i="3" s="1"/>
  <c r="AW113" i="3"/>
  <c r="AU114" i="3"/>
  <c r="AW114" i="3"/>
  <c r="AV114" i="3"/>
  <c r="AU104" i="3"/>
  <c r="AV104" i="3"/>
  <c r="AW104" i="3"/>
  <c r="AU94" i="3"/>
  <c r="AV94" i="3"/>
  <c r="AW94" i="3"/>
  <c r="AW101" i="3"/>
  <c r="AT101" i="3"/>
  <c r="AS102" i="3"/>
  <c r="AT102" i="3" s="1"/>
  <c r="AW105" i="3"/>
  <c r="AT105" i="3"/>
  <c r="AS106" i="3"/>
  <c r="AT106" i="3" s="1"/>
  <c r="AW109" i="3"/>
  <c r="AS110" i="3"/>
  <c r="AT110" i="3" s="1"/>
  <c r="AT109" i="3"/>
  <c r="AU110" i="3"/>
  <c r="AV110" i="3"/>
  <c r="AW110" i="3"/>
  <c r="AU98" i="3"/>
  <c r="AW98" i="3"/>
  <c r="AV98" i="3"/>
  <c r="AU102" i="3"/>
  <c r="AW102" i="3"/>
  <c r="AV102" i="3"/>
  <c r="AW111" i="3"/>
  <c r="AT111" i="3"/>
  <c r="AS112" i="3"/>
  <c r="AT112" i="3" s="1"/>
  <c r="AT115" i="3"/>
  <c r="AW115" i="3"/>
  <c r="AS116" i="3"/>
  <c r="AT116" i="3" s="1"/>
  <c r="AS94" i="3"/>
  <c r="AT94" i="3" s="1"/>
  <c r="AT93" i="3"/>
  <c r="AW93" i="3"/>
  <c r="AU90" i="3"/>
  <c r="AV90" i="3"/>
  <c r="AW90" i="3"/>
  <c r="AU92" i="3"/>
  <c r="AW92" i="3"/>
  <c r="AV92" i="3"/>
  <c r="AU96" i="3"/>
  <c r="AV96" i="3"/>
  <c r="AW96" i="3"/>
  <c r="AU116" i="3"/>
  <c r="AV116" i="3"/>
  <c r="AW116" i="3"/>
  <c r="AU106" i="3"/>
  <c r="AW106" i="3"/>
  <c r="AV106" i="3"/>
  <c r="AU112" i="3"/>
  <c r="AV112" i="3"/>
  <c r="AW112" i="3"/>
  <c r="AW95" i="3"/>
  <c r="AT95" i="3"/>
  <c r="AS96" i="3"/>
  <c r="AT96" i="3" s="1"/>
  <c r="AW89" i="3"/>
  <c r="AS90" i="3"/>
  <c r="AT90" i="3" s="1"/>
  <c r="AT89" i="3"/>
  <c r="AW97" i="3"/>
  <c r="AT97" i="3"/>
  <c r="AS98" i="3"/>
  <c r="AT98" i="3" s="1"/>
  <c r="AT99" i="3"/>
  <c r="AS100" i="3"/>
  <c r="AT100" i="3" s="1"/>
  <c r="AW99" i="3"/>
  <c r="AV78" i="3"/>
  <c r="AW78" i="3"/>
  <c r="AU78" i="3"/>
  <c r="AV75" i="3"/>
  <c r="AU75" i="3"/>
  <c r="AU81" i="3"/>
  <c r="AV81" i="3"/>
  <c r="AU71" i="3"/>
  <c r="AV71" i="3"/>
  <c r="AU79" i="3"/>
  <c r="AV79" i="3"/>
  <c r="AV73" i="3"/>
  <c r="AU73" i="3"/>
  <c r="AW88" i="3"/>
  <c r="AV88" i="3"/>
  <c r="AU88" i="3"/>
  <c r="AV86" i="3"/>
  <c r="AW86" i="3"/>
  <c r="AU86" i="3"/>
  <c r="AV83" i="3"/>
  <c r="AU83" i="3"/>
  <c r="AT55" i="3"/>
  <c r="AT31" i="3"/>
  <c r="AT41" i="3"/>
  <c r="AT37" i="3"/>
  <c r="AV43" i="3"/>
  <c r="AR24" i="3"/>
  <c r="AU31" i="3"/>
  <c r="AR56" i="3"/>
  <c r="AV41" i="3"/>
  <c r="AU43" i="3"/>
  <c r="AV23" i="3"/>
  <c r="AR80" i="3"/>
  <c r="AT49" i="3"/>
  <c r="AT73" i="3"/>
  <c r="AT83" i="3"/>
  <c r="AR74" i="3"/>
  <c r="AU74" i="3" s="1"/>
  <c r="AV37" i="3"/>
  <c r="AR26" i="3"/>
  <c r="AR84" i="3"/>
  <c r="AR42" i="3"/>
  <c r="AV25" i="3"/>
  <c r="AT25" i="3"/>
  <c r="AV31" i="3"/>
  <c r="AU37" i="3"/>
  <c r="AV55" i="3"/>
  <c r="AR58" i="3"/>
  <c r="AT57" i="3"/>
  <c r="AT53" i="3"/>
  <c r="AT43" i="3"/>
  <c r="AR60" i="3"/>
  <c r="AT23" i="3"/>
  <c r="AT75" i="3"/>
  <c r="AT67" i="3"/>
  <c r="AT79" i="3"/>
  <c r="AR68" i="3"/>
  <c r="AU68" i="3" s="1"/>
  <c r="AU67" i="3"/>
  <c r="AV33" i="3"/>
  <c r="AU59" i="3"/>
  <c r="AR54" i="3"/>
  <c r="AV51" i="3"/>
  <c r="AU65" i="3"/>
  <c r="AV65" i="3"/>
  <c r="AV57" i="3"/>
  <c r="AU69" i="3"/>
  <c r="AU61" i="3"/>
  <c r="AT69" i="3"/>
  <c r="AT61" i="3"/>
  <c r="AR34" i="3"/>
  <c r="AV69" i="3"/>
  <c r="AV53" i="3"/>
  <c r="AR52" i="3"/>
  <c r="AR82" i="3"/>
  <c r="AR62" i="3"/>
  <c r="AV63" i="3"/>
  <c r="AT59" i="3"/>
  <c r="AT65" i="3"/>
  <c r="AT33" i="3"/>
  <c r="AT87" i="3"/>
  <c r="AR72" i="3"/>
  <c r="AU72" i="3" s="1"/>
  <c r="AR64" i="3"/>
  <c r="AT63" i="3"/>
  <c r="AT51" i="3"/>
  <c r="AT81" i="3"/>
  <c r="AT71" i="3"/>
  <c r="AR50" i="3"/>
  <c r="AR76" i="3"/>
  <c r="AV49" i="3"/>
  <c r="AW55" i="3"/>
  <c r="AS56" i="3"/>
  <c r="AW59" i="3"/>
  <c r="AS60" i="3"/>
  <c r="AW65" i="3"/>
  <c r="AS66" i="3"/>
  <c r="AT66" i="3" s="1"/>
  <c r="AX66" i="3" s="1"/>
  <c r="AW33" i="3"/>
  <c r="AS34" i="3"/>
  <c r="AS40" i="3"/>
  <c r="AT40" i="3" s="1"/>
  <c r="AX40" i="3" s="1"/>
  <c r="AW39" i="3"/>
  <c r="AX39" i="3" s="1"/>
  <c r="AS88" i="3"/>
  <c r="AT88" i="3" s="1"/>
  <c r="AW87" i="3"/>
  <c r="AS64" i="3"/>
  <c r="AW63" i="3"/>
  <c r="AS26" i="3"/>
  <c r="AW25" i="3"/>
  <c r="AW29" i="3"/>
  <c r="AX29" i="3" s="1"/>
  <c r="AS30" i="3"/>
  <c r="AT30" i="3" s="1"/>
  <c r="AX30" i="3" s="1"/>
  <c r="AS52" i="3"/>
  <c r="AW51" i="3"/>
  <c r="AW81" i="3"/>
  <c r="AS82" i="3"/>
  <c r="AS20" i="3"/>
  <c r="AT20" i="3" s="1"/>
  <c r="AW19" i="3"/>
  <c r="AX19" i="3" s="1"/>
  <c r="AS72" i="3"/>
  <c r="AW71" i="3"/>
  <c r="AW31" i="3"/>
  <c r="AS32" i="3"/>
  <c r="AT32" i="3" s="1"/>
  <c r="AX32" i="3" s="1"/>
  <c r="AS58" i="3"/>
  <c r="AW57" i="3"/>
  <c r="AS46" i="3"/>
  <c r="AT46" i="3" s="1"/>
  <c r="AX46" i="3" s="1"/>
  <c r="AW45" i="3"/>
  <c r="AX45" i="3" s="1"/>
  <c r="AS22" i="3"/>
  <c r="AT22" i="3" s="1"/>
  <c r="AX22" i="3" s="1"/>
  <c r="AW21" i="3"/>
  <c r="AX21" i="3" s="1"/>
  <c r="AW53" i="3"/>
  <c r="AS54" i="3"/>
  <c r="AW35" i="3"/>
  <c r="AX35" i="3" s="1"/>
  <c r="AS36" i="3"/>
  <c r="AT36" i="3" s="1"/>
  <c r="AX36" i="3" s="1"/>
  <c r="AW85" i="3"/>
  <c r="AX85" i="3" s="1"/>
  <c r="AS86" i="3"/>
  <c r="AT86" i="3" s="1"/>
  <c r="AW41" i="3"/>
  <c r="AS42" i="3"/>
  <c r="AS44" i="3"/>
  <c r="AT44" i="3" s="1"/>
  <c r="AX44" i="3" s="1"/>
  <c r="AW43" i="3"/>
  <c r="AW37" i="3"/>
  <c r="AS38" i="3"/>
  <c r="AT38" i="3" s="1"/>
  <c r="AX38" i="3" s="1"/>
  <c r="AS24" i="3"/>
  <c r="AW23" i="3"/>
  <c r="AW49" i="3"/>
  <c r="AS50" i="3"/>
  <c r="AS70" i="3"/>
  <c r="AT70" i="3" s="1"/>
  <c r="AX70" i="3" s="1"/>
  <c r="AW69" i="3"/>
  <c r="AS76" i="3"/>
  <c r="AW75" i="3"/>
  <c r="AW27" i="3"/>
  <c r="AX27" i="3" s="1"/>
  <c r="AS28" i="3"/>
  <c r="AT28" i="3" s="1"/>
  <c r="AX28" i="3" s="1"/>
  <c r="AW73" i="3"/>
  <c r="AS74" i="3"/>
  <c r="AW67" i="3"/>
  <c r="AS68" i="3"/>
  <c r="AW83" i="3"/>
  <c r="AS84" i="3"/>
  <c r="AS78" i="3"/>
  <c r="AT78" i="3" s="1"/>
  <c r="AW77" i="3"/>
  <c r="AX77" i="3" s="1"/>
  <c r="AW61" i="3"/>
  <c r="AS62" i="3"/>
  <c r="AS80" i="3"/>
  <c r="AW79" i="3"/>
  <c r="AS48" i="3"/>
  <c r="AT48" i="3" s="1"/>
  <c r="AX48" i="3" s="1"/>
  <c r="AW47" i="3"/>
  <c r="AX47" i="3" s="1"/>
  <c r="AX114" i="3" l="1"/>
  <c r="AX105" i="3"/>
  <c r="AX113" i="3"/>
  <c r="AX101" i="3"/>
  <c r="AX99" i="3"/>
  <c r="AX89" i="3"/>
  <c r="AX90" i="3"/>
  <c r="AX93" i="3"/>
  <c r="AX115" i="3"/>
  <c r="AX109" i="3"/>
  <c r="AX107" i="3"/>
  <c r="AX97" i="3"/>
  <c r="AX91" i="3"/>
  <c r="AX98" i="3"/>
  <c r="AX106" i="3"/>
  <c r="AX104" i="3"/>
  <c r="AX94" i="3"/>
  <c r="AX102" i="3"/>
  <c r="AX103" i="3"/>
  <c r="AX111" i="3"/>
  <c r="AX95" i="3"/>
  <c r="AX116" i="3"/>
  <c r="AX112" i="3"/>
  <c r="AX108" i="3"/>
  <c r="AX96" i="3"/>
  <c r="AX92" i="3"/>
  <c r="AX110" i="3"/>
  <c r="AX100" i="3"/>
  <c r="AT34" i="3"/>
  <c r="AX34" i="3" s="1"/>
  <c r="AX86" i="3"/>
  <c r="AX78" i="3"/>
  <c r="AX88" i="3"/>
  <c r="AV84" i="3"/>
  <c r="AW84" i="3"/>
  <c r="AU84" i="3"/>
  <c r="AV76" i="3"/>
  <c r="AU76" i="3"/>
  <c r="AT72" i="3"/>
  <c r="AX72" i="3" s="1"/>
  <c r="AV82" i="3"/>
  <c r="AW82" i="3"/>
  <c r="AU82" i="3"/>
  <c r="AW80" i="3"/>
  <c r="AU80" i="3"/>
  <c r="AV80" i="3"/>
  <c r="AX61" i="3"/>
  <c r="AX73" i="3"/>
  <c r="AT80" i="3"/>
  <c r="AX67" i="3"/>
  <c r="AT52" i="3"/>
  <c r="AX52" i="3" s="1"/>
  <c r="AX51" i="3"/>
  <c r="AX75" i="3"/>
  <c r="AT84" i="3"/>
  <c r="AT56" i="3"/>
  <c r="AX56" i="3" s="1"/>
  <c r="AX49" i="3"/>
  <c r="AX37" i="3"/>
  <c r="AX41" i="3"/>
  <c r="AT24" i="3"/>
  <c r="AX24" i="3" s="1"/>
  <c r="AX31" i="3"/>
  <c r="AX55" i="3"/>
  <c r="AT26" i="3"/>
  <c r="AX26" i="3" s="1"/>
  <c r="AT62" i="3"/>
  <c r="AX62" i="3" s="1"/>
  <c r="AT42" i="3"/>
  <c r="AX42" i="3" s="1"/>
  <c r="AT60" i="3"/>
  <c r="AX60" i="3" s="1"/>
  <c r="AT74" i="3"/>
  <c r="AX74" i="3" s="1"/>
  <c r="AX83" i="3"/>
  <c r="AX25" i="3"/>
  <c r="AT58" i="3"/>
  <c r="AX58" i="3" s="1"/>
  <c r="AX59" i="3"/>
  <c r="AX79" i="3"/>
  <c r="AT68" i="3"/>
  <c r="AX68" i="3" s="1"/>
  <c r="AX69" i="3"/>
  <c r="AX23" i="3"/>
  <c r="AX43" i="3"/>
  <c r="AT54" i="3"/>
  <c r="AX54" i="3" s="1"/>
  <c r="AX71" i="3"/>
  <c r="AX57" i="3"/>
  <c r="AX53" i="3"/>
  <c r="AX65" i="3"/>
  <c r="AT50" i="3"/>
  <c r="AX50" i="3" s="1"/>
  <c r="AT82" i="3"/>
  <c r="AX63" i="3"/>
  <c r="AX87" i="3"/>
  <c r="AT76" i="3"/>
  <c r="AX81" i="3"/>
  <c r="AT64" i="3"/>
  <c r="AX64" i="3" s="1"/>
  <c r="AX33" i="3"/>
  <c r="AX82" i="3" l="1"/>
  <c r="AX84" i="3"/>
  <c r="AX76" i="3"/>
  <c r="AX80" i="3"/>
</calcChain>
</file>

<file path=xl/sharedStrings.xml><?xml version="1.0" encoding="utf-8"?>
<sst xmlns="http://schemas.openxmlformats.org/spreadsheetml/2006/main" count="435" uniqueCount="268">
  <si>
    <t>m</t>
  </si>
  <si>
    <t>n</t>
  </si>
  <si>
    <t>σ</t>
  </si>
  <si>
    <t>β</t>
  </si>
  <si>
    <t>α</t>
  </si>
  <si>
    <t>tα</t>
  </si>
  <si>
    <t>tβ</t>
  </si>
  <si>
    <t>1-β</t>
  </si>
  <si>
    <t>δ - tα</t>
  </si>
  <si>
    <t>δ = tobs</t>
  </si>
  <si>
    <t>loi.student(tβ;n-1;unilatéral)</t>
  </si>
  <si>
    <r>
      <t>(tβ + t</t>
    </r>
    <r>
      <rPr>
        <sz val="11"/>
        <color theme="1"/>
        <rFont val="Calibri"/>
        <family val="2"/>
      </rPr>
      <t>α)/√</t>
    </r>
    <r>
      <rPr>
        <sz val="11"/>
        <color theme="1"/>
        <rFont val="Calibri"/>
        <family val="2"/>
        <scheme val="minor"/>
      </rPr>
      <t>n</t>
    </r>
  </si>
  <si>
    <r>
      <t>Puissance de test (1-</t>
    </r>
    <r>
      <rPr>
        <b/>
        <sz val="11"/>
        <color theme="1"/>
        <rFont val="Calibri"/>
        <family val="2"/>
      </rPr>
      <t>β)</t>
    </r>
  </si>
  <si>
    <t>d</t>
  </si>
  <si>
    <r>
      <t>biais/</t>
    </r>
    <r>
      <rPr>
        <sz val="11"/>
        <color theme="1"/>
        <rFont val="Calibri"/>
        <family val="2"/>
      </rPr>
      <t>σ</t>
    </r>
  </si>
  <si>
    <r>
      <t xml:space="preserve">Détermination de n en connaissant le biais et </t>
    </r>
    <r>
      <rPr>
        <b/>
        <sz val="11"/>
        <color theme="1"/>
        <rFont val="Calibri"/>
        <family val="2"/>
      </rPr>
      <t>σ</t>
    </r>
  </si>
  <si>
    <r>
      <t xml:space="preserve">estimation de </t>
    </r>
    <r>
      <rPr>
        <sz val="11"/>
        <color theme="1"/>
        <rFont val="Calibri"/>
        <family val="2"/>
      </rPr>
      <t>σ basée sur n0 essai</t>
    </r>
  </si>
  <si>
    <t>n0</t>
  </si>
  <si>
    <t>(λ/s0)²</t>
  </si>
  <si>
    <t>s0</t>
  </si>
  <si>
    <t>t²/n*F</t>
  </si>
  <si>
    <r>
      <t>t²(</t>
    </r>
    <r>
      <rPr>
        <sz val="11"/>
        <color theme="1"/>
        <rFont val="Calibri"/>
        <family val="2"/>
      </rPr>
      <t>α/2;n-1)</t>
    </r>
    <r>
      <rPr>
        <sz val="11"/>
        <color theme="1"/>
        <rFont val="Calibri"/>
        <family val="2"/>
        <scheme val="minor"/>
      </rPr>
      <t>/n*F(</t>
    </r>
    <r>
      <rPr>
        <sz val="11"/>
        <color theme="1"/>
        <rFont val="Calibri"/>
        <family val="2"/>
      </rPr>
      <t>λ;n-1;n0-1)</t>
    </r>
  </si>
  <si>
    <t>on teste n pour obtenir cette valeur</t>
  </si>
  <si>
    <t>précision demandée</t>
  </si>
  <si>
    <r>
      <t>soit une proba de 1-</t>
    </r>
    <r>
      <rPr>
        <sz val="11"/>
        <color theme="1"/>
        <rFont val="Calibri"/>
        <family val="2"/>
      </rPr>
      <t>γ</t>
    </r>
  </si>
  <si>
    <t>Test d'une moyenne</t>
  </si>
  <si>
    <t>Test de deux moyennes</t>
  </si>
  <si>
    <t>m1</t>
  </si>
  <si>
    <t>n1</t>
  </si>
  <si>
    <t>m2</t>
  </si>
  <si>
    <t>n2</t>
  </si>
  <si>
    <t>S²1</t>
  </si>
  <si>
    <t>S²2</t>
  </si>
  <si>
    <r>
      <t>(m1-m2)/S</t>
    </r>
    <r>
      <rPr>
        <sz val="11"/>
        <color theme="1"/>
        <rFont val="Calibri"/>
        <family val="2"/>
      </rPr>
      <t>*√[(n1*n2)/(n1+n2)]</t>
    </r>
  </si>
  <si>
    <t>H1 : m &gt; m0</t>
  </si>
  <si>
    <t>H0 : m = m0</t>
  </si>
  <si>
    <t>H0: m1 = m2</t>
  </si>
  <si>
    <t>H1: m1 &gt; m 2 ou m2 &gt; m1</t>
  </si>
  <si>
    <r>
      <t>loi.student.inverse(</t>
    </r>
    <r>
      <rPr>
        <sz val="11"/>
        <color theme="1"/>
        <rFont val="Calibri"/>
        <family val="2"/>
      </rPr>
      <t>β;n-1)</t>
    </r>
  </si>
  <si>
    <r>
      <t>on teste plusieurs n pour que t²/n*F = (</t>
    </r>
    <r>
      <rPr>
        <sz val="11"/>
        <color theme="1"/>
        <rFont val="Calibri"/>
        <family val="2"/>
      </rPr>
      <t>λ/s0)²</t>
    </r>
  </si>
  <si>
    <t>unilatéral</t>
  </si>
  <si>
    <t>S commun</t>
  </si>
  <si>
    <t>n commun</t>
  </si>
  <si>
    <r>
      <t>Déterminer n commun pour avoir un IC de la différence avec une proba de 1-</t>
    </r>
    <r>
      <rPr>
        <b/>
        <sz val="11"/>
        <color theme="1"/>
        <rFont val="Calibri"/>
        <family val="2"/>
      </rPr>
      <t>γ d'etre &lt; 2λ</t>
    </r>
  </si>
  <si>
    <t>β = 20% = 3σ/√n de distance entre m et m0 si α=5%</t>
  </si>
  <si>
    <r>
      <t>Approximation de (m-m0)/</t>
    </r>
    <r>
      <rPr>
        <b/>
        <sz val="11"/>
        <color theme="1"/>
        <rFont val="Calibri"/>
        <family val="2"/>
      </rPr>
      <t>σ en fonction de n</t>
    </r>
  </si>
  <si>
    <r>
      <t>Déterminer n pour avoir un IC (+/-) avec une proba de 1-</t>
    </r>
    <r>
      <rPr>
        <b/>
        <sz val="11"/>
        <color theme="1"/>
        <rFont val="Calibri"/>
        <family val="2"/>
      </rPr>
      <t>γ d'etre &lt; 2λ</t>
    </r>
  </si>
  <si>
    <t>λ = δ</t>
  </si>
  <si>
    <t>γ = β</t>
  </si>
  <si>
    <t>n (min)</t>
  </si>
  <si>
    <r>
      <t xml:space="preserve">indique le risque </t>
    </r>
    <r>
      <rPr>
        <sz val="11"/>
        <color theme="1"/>
        <rFont val="Calibri"/>
        <family val="2"/>
      </rPr>
      <t>α</t>
    </r>
  </si>
  <si>
    <r>
      <t>loi.student.inverse(</t>
    </r>
    <r>
      <rPr>
        <sz val="11"/>
        <color theme="1"/>
        <rFont val="Calibri"/>
        <family val="2"/>
      </rPr>
      <t>α;n-1)</t>
    </r>
  </si>
  <si>
    <r>
      <t>on teste plusieurs n pour que t²/n*F = (</t>
    </r>
    <r>
      <rPr>
        <sz val="11"/>
        <color theme="1"/>
        <rFont val="Calibri"/>
        <family val="2"/>
      </rPr>
      <t>λ/(2*s0))²</t>
    </r>
  </si>
  <si>
    <t>(λ/(2*S))²</t>
  </si>
  <si>
    <t>s</t>
  </si>
  <si>
    <t>cible m0</t>
  </si>
  <si>
    <t>√[((n1-1)*S²1 + (n2-1)*S²2)/(n1+n2-2)]</t>
  </si>
  <si>
    <r>
      <t xml:space="preserve">vérifier si </t>
    </r>
    <r>
      <rPr>
        <sz val="11"/>
        <color theme="1"/>
        <rFont val="Calibri"/>
        <family val="2"/>
      </rPr>
      <t>λ = δ et γ =β</t>
    </r>
  </si>
  <si>
    <t>(pas de graphe)</t>
  </si>
  <si>
    <t>On cherche n pour obtenir une précision</t>
  </si>
  <si>
    <r>
      <t xml:space="preserve">D'après les info des cases jaunes, on déduit la puissance </t>
    </r>
    <r>
      <rPr>
        <i/>
        <sz val="11"/>
        <color theme="1"/>
        <rFont val="Calibri"/>
        <family val="2"/>
      </rPr>
      <t>β du test (proba de d'accepter la différence entre m1 et m0)</t>
    </r>
  </si>
  <si>
    <r>
      <t xml:space="preserve">D'après les info des cases jaunes et orange, on déduit la puissance </t>
    </r>
    <r>
      <rPr>
        <i/>
        <sz val="11"/>
        <color theme="1"/>
        <rFont val="Calibri"/>
        <family val="2"/>
      </rPr>
      <t>β du test (proba de d'accepter la différence entre m1 et m2)</t>
    </r>
  </si>
  <si>
    <t>On cherche n pour obtenir une précision de la différence</t>
  </si>
  <si>
    <r>
      <t>(m-m0)/</t>
    </r>
    <r>
      <rPr>
        <sz val="11"/>
        <color theme="1"/>
        <rFont val="Calibri"/>
        <family val="2"/>
      </rPr>
      <t>s*√n</t>
    </r>
  </si>
  <si>
    <t>δ &gt; tα ?</t>
  </si>
  <si>
    <t>H1 = différence entre m et m0</t>
  </si>
  <si>
    <r>
      <t>On cherche la taille n pour que (t</t>
    </r>
    <r>
      <rPr>
        <i/>
        <sz val="11"/>
        <color theme="1"/>
        <rFont val="Calibri"/>
        <family val="2"/>
      </rPr>
      <t>β + tα)/√n s'approche de d/σ</t>
    </r>
  </si>
  <si>
    <t>S²0 cible</t>
  </si>
  <si>
    <t>S²</t>
  </si>
  <si>
    <r>
      <t>Xi²1-</t>
    </r>
    <r>
      <rPr>
        <sz val="11"/>
        <color theme="1"/>
        <rFont val="Calibri"/>
        <family val="2"/>
      </rPr>
      <t>α</t>
    </r>
  </si>
  <si>
    <r>
      <t>loi.khideux.inverse(1-</t>
    </r>
    <r>
      <rPr>
        <sz val="11"/>
        <color theme="1"/>
        <rFont val="Calibri"/>
        <family val="2"/>
      </rPr>
      <t>α;n-1)</t>
    </r>
  </si>
  <si>
    <r>
      <t>Xi²</t>
    </r>
    <r>
      <rPr>
        <sz val="11"/>
        <color theme="1"/>
        <rFont val="Calibri"/>
        <family val="2"/>
      </rPr>
      <t>α</t>
    </r>
  </si>
  <si>
    <t>S² &gt; S²0 ?</t>
  </si>
  <si>
    <t>S² &lt; S²0 ?</t>
  </si>
  <si>
    <r>
      <t>Xi²</t>
    </r>
    <r>
      <rPr>
        <sz val="11"/>
        <color theme="1"/>
        <rFont val="Calibri"/>
        <family val="2"/>
      </rPr>
      <t>β</t>
    </r>
  </si>
  <si>
    <r>
      <t>S²0/S²*Xi²</t>
    </r>
    <r>
      <rPr>
        <sz val="11"/>
        <color theme="1"/>
        <rFont val="Calibri"/>
        <family val="2"/>
      </rPr>
      <t>α</t>
    </r>
  </si>
  <si>
    <r>
      <t>Xi²1-</t>
    </r>
    <r>
      <rPr>
        <sz val="11"/>
        <color theme="1"/>
        <rFont val="Calibri"/>
        <family val="2"/>
      </rPr>
      <t>β</t>
    </r>
  </si>
  <si>
    <r>
      <t>1-</t>
    </r>
    <r>
      <rPr>
        <sz val="11"/>
        <color theme="1"/>
        <rFont val="Calibri"/>
        <family val="2"/>
      </rPr>
      <t>β</t>
    </r>
  </si>
  <si>
    <r>
      <t>loi.Khideux(Xi²</t>
    </r>
    <r>
      <rPr>
        <sz val="11"/>
        <color theme="1"/>
        <rFont val="Calibri"/>
        <family val="2"/>
      </rPr>
      <t>β;n-1)</t>
    </r>
  </si>
  <si>
    <t xml:space="preserve"> S²/S²0 &gt; 1</t>
  </si>
  <si>
    <t>k</t>
  </si>
  <si>
    <t>S²/S²0 &lt; 1</t>
  </si>
  <si>
    <t>Approximation si k &gt; 1,5</t>
  </si>
  <si>
    <t>SCE/Xi²</t>
  </si>
  <si>
    <t>S²max</t>
  </si>
  <si>
    <t>S²min</t>
  </si>
  <si>
    <t>H1 : S² est &lt; à S²0</t>
  </si>
  <si>
    <t>H1 : S² est &gt; à S²0</t>
  </si>
  <si>
    <r>
      <t>loi.Khideux(Xi²1-</t>
    </r>
    <r>
      <rPr>
        <sz val="11"/>
        <color theme="1"/>
        <rFont val="Calibri"/>
        <family val="2"/>
      </rPr>
      <t>β;n-1)</t>
    </r>
  </si>
  <si>
    <t>Test d'une variance</t>
  </si>
  <si>
    <t>Test de deux variances</t>
  </si>
  <si>
    <r>
      <t>F</t>
    </r>
    <r>
      <rPr>
        <sz val="11"/>
        <color theme="1"/>
        <rFont val="Calibri"/>
        <family val="2"/>
      </rPr>
      <t>α</t>
    </r>
  </si>
  <si>
    <t>Fobs</t>
  </si>
  <si>
    <r>
      <t>F</t>
    </r>
    <r>
      <rPr>
        <sz val="11"/>
        <color theme="1"/>
        <rFont val="Calibri"/>
        <family val="2"/>
      </rPr>
      <t>β</t>
    </r>
  </si>
  <si>
    <t>S²1/S²2</t>
  </si>
  <si>
    <r>
      <t>F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/Fobs</t>
    </r>
  </si>
  <si>
    <r>
      <t>inverse.loi.F(</t>
    </r>
    <r>
      <rPr>
        <sz val="11"/>
        <color theme="1"/>
        <rFont val="Calibri"/>
        <family val="2"/>
      </rPr>
      <t>α;n1-1;n2-1)</t>
    </r>
  </si>
  <si>
    <t>condition : S²1 &gt; S²2</t>
  </si>
  <si>
    <t>condition : S² &gt; S²0</t>
  </si>
  <si>
    <t>condition : S²0 &gt; S²</t>
  </si>
  <si>
    <t>Puissance du test</t>
  </si>
  <si>
    <r>
      <t>loi.student.inverse(</t>
    </r>
    <r>
      <rPr>
        <sz val="11"/>
        <color theme="1"/>
        <rFont val="Calibri"/>
        <family val="2"/>
      </rPr>
      <t>α;n1+n2-2)</t>
    </r>
  </si>
  <si>
    <t>min</t>
  </si>
  <si>
    <t>max</t>
  </si>
  <si>
    <t>p(x1)</t>
  </si>
  <si>
    <t>my m1</t>
  </si>
  <si>
    <t>my m2</t>
  </si>
  <si>
    <t>p(x2)</t>
  </si>
  <si>
    <t>(px2)</t>
  </si>
  <si>
    <t>%</t>
  </si>
  <si>
    <t>choix</t>
  </si>
  <si>
    <t>tobs</t>
  </si>
  <si>
    <t>tobs &gt; tα ?</t>
  </si>
  <si>
    <t>n&gt; 10</t>
  </si>
  <si>
    <t>1-α m1</t>
  </si>
  <si>
    <t xml:space="preserve">1-α m2 </t>
  </si>
  <si>
    <t>H0</t>
  </si>
  <si>
    <t>H1</t>
  </si>
  <si>
    <t>fraction</t>
  </si>
  <si>
    <t>centre</t>
  </si>
  <si>
    <t>loi.student(tβ;n1+n2-2;unilatéral)</t>
  </si>
  <si>
    <t>risque α</t>
  </si>
  <si>
    <t>risque β</t>
  </si>
  <si>
    <t>s²1</t>
  </si>
  <si>
    <t>s²2</t>
  </si>
  <si>
    <t>F</t>
  </si>
  <si>
    <t>d réel</t>
  </si>
  <si>
    <t>d calculé</t>
  </si>
  <si>
    <t>√(2/n)*(tα+tβ)</t>
  </si>
  <si>
    <t>loi.student.inverse(α*2;2*n-2)</t>
  </si>
  <si>
    <t>loi.student.inverse(β*2;2*n-2)</t>
  </si>
  <si>
    <t>tester n pour calculer d. si d calculé = d réel alors n est validé</t>
  </si>
  <si>
    <t>m1 - m0</t>
  </si>
  <si>
    <t>(m1 - m0)/s</t>
  </si>
  <si>
    <t>H0 : m1 = m2</t>
  </si>
  <si>
    <t>limite α supérieur</t>
  </si>
  <si>
    <t>α m1</t>
  </si>
  <si>
    <t>x1 sup</t>
  </si>
  <si>
    <t>x1 inf</t>
  </si>
  <si>
    <t>m2&gt;m1</t>
  </si>
  <si>
    <t>m1&gt;m2</t>
  </si>
  <si>
    <t>m2&lt;m1</t>
  </si>
  <si>
    <t>alpha sup</t>
  </si>
  <si>
    <t>alpha inf</t>
  </si>
  <si>
    <t>T+</t>
  </si>
  <si>
    <t>population</t>
  </si>
  <si>
    <t>T-</t>
  </si>
  <si>
    <t>Tolérance</t>
  </si>
  <si>
    <t>Tolérance +</t>
  </si>
  <si>
    <t>Tolérance -</t>
  </si>
  <si>
    <t>S</t>
  </si>
  <si>
    <t>Cpk -</t>
  </si>
  <si>
    <t>Cpk +</t>
  </si>
  <si>
    <t>p(Cpk)</t>
  </si>
  <si>
    <t>Hors T</t>
  </si>
  <si>
    <r>
      <t>z</t>
    </r>
    <r>
      <rPr>
        <sz val="11"/>
        <color theme="1"/>
        <rFont val="Calibri"/>
        <family val="2"/>
      </rPr>
      <t>α 5%</t>
    </r>
  </si>
  <si>
    <r>
      <t>z</t>
    </r>
    <r>
      <rPr>
        <sz val="11"/>
        <color theme="1"/>
        <rFont val="Calibri"/>
        <family val="2"/>
      </rPr>
      <t>β 10%</t>
    </r>
  </si>
  <si>
    <t>2 populations</t>
  </si>
  <si>
    <t>1 population</t>
  </si>
  <si>
    <t>type de test</t>
  </si>
  <si>
    <t>S/√n</t>
  </si>
  <si>
    <t>sélectionner &gt;</t>
  </si>
  <si>
    <t>n à trouver</t>
  </si>
  <si>
    <t>nombre de population</t>
  </si>
  <si>
    <t>Conforme</t>
  </si>
  <si>
    <t>équipement</t>
  </si>
  <si>
    <t>BDG-</t>
  </si>
  <si>
    <t>BDG+</t>
  </si>
  <si>
    <t xml:space="preserve">Bande de garde + </t>
  </si>
  <si>
    <t>Bande de garde -</t>
  </si>
  <si>
    <t>Utilisation d'un équipement de contrôle : bande de garde</t>
  </si>
  <si>
    <t>échantillon</t>
  </si>
  <si>
    <t>Non conforme</t>
  </si>
  <si>
    <t>accepté à tord</t>
  </si>
  <si>
    <t>rejeté à tord</t>
  </si>
  <si>
    <t>pièces rejetées</t>
  </si>
  <si>
    <t>pièces accéptés</t>
  </si>
  <si>
    <t>risque F</t>
  </si>
  <si>
    <t>risque C</t>
  </si>
  <si>
    <t>Hors T avec BDG</t>
  </si>
  <si>
    <t>*rejeté à tord</t>
  </si>
  <si>
    <t>* rejeter à tord est le prix à payer pour réduire le nombre de rejet hors tolérance</t>
  </si>
  <si>
    <t>bilatéral</t>
  </si>
  <si>
    <t xml:space="preserve">qui est étudiée, la population rouge est alors la cible / tolérance </t>
  </si>
  <si>
    <t>population 1</t>
  </si>
  <si>
    <t>&lt; jouer sur n</t>
  </si>
  <si>
    <t>pour obtenir</t>
  </si>
  <si>
    <t>le même d</t>
  </si>
  <si>
    <t>effet size d</t>
  </si>
  <si>
    <t>Trouver n</t>
  </si>
  <si>
    <r>
      <t>loi.F(F</t>
    </r>
    <r>
      <rPr>
        <sz val="11"/>
        <rFont val="Calibri"/>
        <family val="2"/>
      </rPr>
      <t>β;n1-1;n2-1)</t>
    </r>
  </si>
  <si>
    <t>beta</t>
  </si>
  <si>
    <t>variables</t>
  </si>
  <si>
    <t>population de gauche</t>
  </si>
  <si>
    <t>population de droite</t>
  </si>
  <si>
    <t>i</t>
  </si>
  <si>
    <t>fréquence</t>
  </si>
  <si>
    <t>Normit</t>
  </si>
  <si>
    <t>ui</t>
  </si>
  <si>
    <t>zi</t>
  </si>
  <si>
    <t>i/n-zi</t>
  </si>
  <si>
    <t>zi-(i-1)/n</t>
  </si>
  <si>
    <t>D+</t>
  </si>
  <si>
    <t>D-</t>
  </si>
  <si>
    <t>D</t>
  </si>
  <si>
    <t>Hypothèse H0</t>
  </si>
  <si>
    <t>information</t>
  </si>
  <si>
    <t>Moyenne M</t>
  </si>
  <si>
    <t>Loi normale établie (Kolmogorov,5%)</t>
  </si>
  <si>
    <t>I Biais I</t>
  </si>
  <si>
    <t>Variance</t>
  </si>
  <si>
    <t>valeur max aberrante (Grubbs, 5%)</t>
  </si>
  <si>
    <t>valeur min aberrante (Grubbs, 5%)</t>
  </si>
  <si>
    <t>Test d'égalité des variances (Fisher;5%)</t>
  </si>
  <si>
    <t>Conclusion</t>
  </si>
  <si>
    <t>Si l'égalité des variances est vérifiée (test de Student)</t>
  </si>
  <si>
    <t>m1 = m2</t>
  </si>
  <si>
    <t>Variance commune</t>
  </si>
  <si>
    <t>Puissance (1-β)</t>
  </si>
  <si>
    <t>Student calculé</t>
  </si>
  <si>
    <t>t bilatéral (95% ;n1+n2-2)</t>
  </si>
  <si>
    <t>Si l'égalité des variances n'est pas vérifiée (test d'Aspin Welch)</t>
  </si>
  <si>
    <t>S²d</t>
  </si>
  <si>
    <t>degrés de liberté v</t>
  </si>
  <si>
    <t>variable d'échantillonnage T</t>
  </si>
  <si>
    <t>t bilatéral (95% ; v)</t>
  </si>
  <si>
    <t>Puissance du test (m1 ≠ m2)</t>
  </si>
  <si>
    <t>échantillons indépendants NF X 06-065</t>
  </si>
  <si>
    <t>Les valeurs suivent elles une loi Normale ?</t>
  </si>
  <si>
    <t>La série contient elle une valeur aberrante ?</t>
  </si>
  <si>
    <t>TD</t>
  </si>
  <si>
    <t>limite</t>
  </si>
  <si>
    <t>conlusion</t>
  </si>
  <si>
    <t>Valeur</t>
  </si>
  <si>
    <t>Grubbs</t>
  </si>
  <si>
    <t>Grubbbs 5%</t>
  </si>
  <si>
    <t>Grubbs 1%</t>
  </si>
  <si>
    <t>Max</t>
  </si>
  <si>
    <t>Min</t>
  </si>
  <si>
    <t>TD doit etre &lt; à la limite</t>
  </si>
  <si>
    <t>Valeur doit etre &lt; Grubbs</t>
  </si>
  <si>
    <t>population de différence</t>
  </si>
  <si>
    <t>diff</t>
  </si>
  <si>
    <t>incertitude sur S</t>
  </si>
  <si>
    <t>√(1/2(n-1))</t>
  </si>
  <si>
    <t>Test d'égalité des variances</t>
  </si>
  <si>
    <t>F obs</t>
  </si>
  <si>
    <t>F 5%</t>
  </si>
  <si>
    <t>A</t>
  </si>
  <si>
    <t>B</t>
  </si>
  <si>
    <t>degre de liberte v-1</t>
  </si>
  <si>
    <t>ddl +1</t>
  </si>
  <si>
    <t>dynamo</t>
  </si>
  <si>
    <r>
      <t>t²(</t>
    </r>
    <r>
      <rPr>
        <sz val="11"/>
        <color theme="1"/>
        <rFont val="Calibri"/>
        <family val="2"/>
      </rPr>
      <t>α/2;n1+n2-2)</t>
    </r>
    <r>
      <rPr>
        <sz val="11"/>
        <color theme="1"/>
        <rFont val="Calibri"/>
        <family val="2"/>
        <scheme val="minor"/>
      </rPr>
      <t>/n*F(</t>
    </r>
    <r>
      <rPr>
        <sz val="11"/>
        <color theme="1"/>
        <rFont val="Calibri"/>
        <family val="2"/>
      </rPr>
      <t>β;n1+n2-2;n0-1)</t>
    </r>
  </si>
  <si>
    <t>???????????</t>
  </si>
  <si>
    <r>
      <t xml:space="preserve">biais pouvant être mis en évidence (risque </t>
    </r>
    <r>
      <rPr>
        <sz val="11"/>
        <color indexed="8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>)</t>
    </r>
  </si>
  <si>
    <t xml:space="preserve">* si le nombre de population est égale à 1, c'est la population "bleue" </t>
  </si>
  <si>
    <t>(renseigner seulement m2 comme cible/tolérance)</t>
  </si>
  <si>
    <t xml:space="preserve">confiance 1-α </t>
  </si>
  <si>
    <r>
      <t>puissance 1-</t>
    </r>
    <r>
      <rPr>
        <sz val="11"/>
        <color theme="1"/>
        <rFont val="Calibri"/>
        <family val="2"/>
      </rPr>
      <t>β</t>
    </r>
  </si>
  <si>
    <t>risque α : rejette à tord</t>
  </si>
  <si>
    <t>confiance 1 - α : accepte avec raison</t>
  </si>
  <si>
    <t>risque β : accepte à tord</t>
  </si>
  <si>
    <t>Puissance 1 - β : rejette avec raison</t>
  </si>
  <si>
    <t>1-α</t>
  </si>
  <si>
    <t>etendu β</t>
  </si>
  <si>
    <t>etendu α</t>
  </si>
  <si>
    <r>
      <t>σ[</t>
    </r>
    <r>
      <rPr>
        <i/>
        <sz val="9"/>
        <color theme="0"/>
        <rFont val="Times New Roman"/>
        <family val="1"/>
      </rPr>
      <t>s</t>
    </r>
    <r>
      <rPr>
        <sz val="9"/>
        <color theme="0"/>
        <rFont val="Times New Roman"/>
        <family val="1"/>
      </rPr>
      <t>(</t>
    </r>
    <r>
      <rPr>
        <i/>
        <sz val="9"/>
        <color theme="0"/>
        <rFont val="Times New Roman"/>
        <family val="1"/>
      </rPr>
      <t>q</t>
    </r>
    <r>
      <rPr>
        <sz val="9"/>
        <color theme="0"/>
        <rFont val="Times New Roman"/>
        <family val="1"/>
      </rPr>
      <t>)]/σ(</t>
    </r>
    <r>
      <rPr>
        <i/>
        <sz val="9"/>
        <color theme="0"/>
        <rFont val="Times New Roman"/>
        <family val="1"/>
      </rPr>
      <t>q</t>
    </r>
    <r>
      <rPr>
        <sz val="9"/>
        <color theme="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</si>
</sst>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0.0000"/>
    <numFmt numFmtId="168" formatCode="0.00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Times New Roman"/>
      <family val="1"/>
    </font>
    <font>
      <sz val="9"/>
      <color theme="0"/>
      <name val="Times New Roman"/>
      <family val="1"/>
    </font>
    <font>
      <i/>
      <sz val="9"/>
      <color theme="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3CD96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3" fillId="0" borderId="0"/>
  </cellStyleXfs>
  <cellXfs count="25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2" borderId="1" xfId="0" applyNumberFormat="1" applyFill="1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Fill="1"/>
    <xf numFmtId="0" fontId="2" fillId="0" borderId="0" xfId="0" applyFont="1" applyAlignment="1">
      <alignment horizontal="center"/>
    </xf>
    <xf numFmtId="0" fontId="2" fillId="6" borderId="3" xfId="0" applyFont="1" applyFill="1" applyBorder="1"/>
    <xf numFmtId="0" fontId="0" fillId="6" borderId="4" xfId="0" applyFill="1" applyBorder="1"/>
    <xf numFmtId="0" fontId="0" fillId="6" borderId="5" xfId="0" applyFill="1" applyBorder="1"/>
    <xf numFmtId="2" fontId="0" fillId="2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Fill="1" applyBorder="1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1" fillId="0" borderId="0" xfId="0" applyNumberFormat="1" applyFont="1" applyFill="1" applyBorder="1"/>
    <xf numFmtId="0" fontId="6" fillId="0" borderId="0" xfId="0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2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0" xfId="0" applyFont="1" applyBorder="1"/>
    <xf numFmtId="0" fontId="6" fillId="0" borderId="15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0" xfId="0" applyFon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10" borderId="0" xfId="0" applyFont="1" applyFill="1" applyBorder="1"/>
    <xf numFmtId="0" fontId="6" fillId="10" borderId="20" xfId="0" applyFont="1" applyFill="1" applyBorder="1"/>
    <xf numFmtId="0" fontId="0" fillId="0" borderId="22" xfId="0" applyBorder="1"/>
    <xf numFmtId="10" fontId="0" fillId="0" borderId="1" xfId="0" applyNumberFormat="1" applyBorder="1" applyAlignment="1">
      <alignment horizontal="center"/>
    </xf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2" fontId="0" fillId="10" borderId="0" xfId="0" applyNumberFormat="1" applyFill="1" applyBorder="1" applyAlignment="1">
      <alignment horizontal="center"/>
    </xf>
    <xf numFmtId="0" fontId="0" fillId="10" borderId="0" xfId="0" applyFill="1" applyBorder="1" applyAlignment="1"/>
    <xf numFmtId="2" fontId="0" fillId="10" borderId="0" xfId="0" applyNumberFormat="1" applyFill="1" applyBorder="1"/>
    <xf numFmtId="0" fontId="0" fillId="0" borderId="19" xfId="0" applyBorder="1"/>
    <xf numFmtId="0" fontId="0" fillId="0" borderId="0" xfId="0" applyFont="1" applyBorder="1"/>
    <xf numFmtId="0" fontId="0" fillId="0" borderId="1" xfId="0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65" fontId="0" fillId="0" borderId="0" xfId="0" applyNumberFormat="1" applyBorder="1"/>
    <xf numFmtId="16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Font="1" applyFill="1" applyBorder="1"/>
    <xf numFmtId="2" fontId="12" fillId="23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5" xfId="0" applyFont="1" applyBorder="1"/>
    <xf numFmtId="0" fontId="0" fillId="15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15" borderId="0" xfId="0" applyFont="1" applyFill="1" applyBorder="1"/>
    <xf numFmtId="0" fontId="0" fillId="0" borderId="14" xfId="0" applyFont="1" applyBorder="1"/>
    <xf numFmtId="0" fontId="0" fillId="0" borderId="1" xfId="0" applyFont="1" applyBorder="1" applyAlignment="1">
      <alignment horizontal="center"/>
    </xf>
    <xf numFmtId="166" fontId="0" fillId="12" borderId="1" xfId="0" applyNumberFormat="1" applyFont="1" applyFill="1" applyBorder="1" applyAlignment="1">
      <alignment horizontal="center"/>
    </xf>
    <xf numFmtId="166" fontId="0" fillId="11" borderId="1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10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2" fontId="0" fillId="15" borderId="1" xfId="0" applyNumberFormat="1" applyFont="1" applyFill="1" applyBorder="1" applyAlignment="1">
      <alignment horizontal="center"/>
    </xf>
    <xf numFmtId="2" fontId="0" fillId="0" borderId="0" xfId="0" applyNumberFormat="1" applyFont="1" applyBorder="1"/>
    <xf numFmtId="164" fontId="0" fillId="0" borderId="1" xfId="0" applyNumberFormat="1" applyFont="1" applyBorder="1" applyAlignment="1">
      <alignment horizontal="center"/>
    </xf>
    <xf numFmtId="2" fontId="0" fillId="0" borderId="0" xfId="0" applyNumberFormat="1" applyFont="1"/>
    <xf numFmtId="1" fontId="0" fillId="16" borderId="1" xfId="0" applyNumberFormat="1" applyFont="1" applyFill="1" applyBorder="1" applyAlignment="1">
      <alignment horizontal="center"/>
    </xf>
    <xf numFmtId="0" fontId="0" fillId="0" borderId="10" xfId="0" applyFont="1" applyBorder="1"/>
    <xf numFmtId="0" fontId="0" fillId="0" borderId="8" xfId="0" applyFont="1" applyBorder="1"/>
    <xf numFmtId="167" fontId="0" fillId="0" borderId="1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2" fontId="0" fillId="0" borderId="15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0" fillId="0" borderId="15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19" xfId="0" applyFont="1" applyBorder="1"/>
    <xf numFmtId="0" fontId="0" fillId="0" borderId="20" xfId="0" applyFont="1" applyBorder="1"/>
    <xf numFmtId="0" fontId="0" fillId="0" borderId="20" xfId="0" applyFont="1" applyFill="1" applyBorder="1" applyAlignment="1">
      <alignment horizontal="left"/>
    </xf>
    <xf numFmtId="0" fontId="14" fillId="0" borderId="20" xfId="0" applyFont="1" applyFill="1" applyBorder="1" applyAlignment="1">
      <alignment horizontal="left"/>
    </xf>
    <xf numFmtId="0" fontId="0" fillId="0" borderId="21" xfId="0" applyFont="1" applyBorder="1"/>
    <xf numFmtId="1" fontId="0" fillId="0" borderId="1" xfId="0" applyNumberFormat="1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15" borderId="1" xfId="0" applyFont="1" applyFill="1" applyBorder="1" applyAlignment="1"/>
    <xf numFmtId="0" fontId="9" fillId="0" borderId="1" xfId="0" applyFont="1" applyBorder="1" applyAlignment="1">
      <alignment horizontal="center"/>
    </xf>
    <xf numFmtId="1" fontId="0" fillId="12" borderId="1" xfId="0" applyNumberFormat="1" applyFont="1" applyFill="1" applyBorder="1" applyAlignment="1">
      <alignment horizontal="center"/>
    </xf>
    <xf numFmtId="1" fontId="0" fillId="11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10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NumberFormat="1" applyFont="1" applyBorder="1"/>
    <xf numFmtId="0" fontId="0" fillId="0" borderId="1" xfId="0" applyFont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8" borderId="1" xfId="0" applyFont="1" applyFill="1" applyBorder="1" applyAlignment="1">
      <alignment horizontal="center"/>
    </xf>
    <xf numFmtId="2" fontId="9" fillId="16" borderId="1" xfId="2" applyNumberFormat="1" applyFont="1" applyFill="1" applyBorder="1" applyAlignment="1" applyProtection="1">
      <alignment horizontal="center"/>
      <protection locked="0"/>
    </xf>
    <xf numFmtId="2" fontId="9" fillId="17" borderId="1" xfId="2" applyNumberFormat="1" applyFont="1" applyFill="1" applyBorder="1" applyAlignment="1" applyProtection="1">
      <alignment horizontal="center"/>
      <protection locked="0"/>
    </xf>
    <xf numFmtId="166" fontId="0" fillId="16" borderId="1" xfId="0" applyNumberFormat="1" applyFont="1" applyFill="1" applyBorder="1" applyAlignment="1" applyProtection="1">
      <alignment horizontal="center"/>
      <protection locked="0"/>
    </xf>
    <xf numFmtId="2" fontId="0" fillId="17" borderId="1" xfId="0" applyNumberFormat="1" applyFont="1" applyFill="1" applyBorder="1" applyAlignment="1" applyProtection="1">
      <alignment horizontal="center"/>
      <protection locked="0"/>
    </xf>
    <xf numFmtId="0" fontId="0" fillId="17" borderId="1" xfId="0" applyFont="1" applyFill="1" applyBorder="1" applyAlignment="1" applyProtection="1">
      <alignment horizontal="center"/>
      <protection locked="0"/>
    </xf>
    <xf numFmtId="0" fontId="0" fillId="2" borderId="0" xfId="0" applyFill="1"/>
    <xf numFmtId="0" fontId="0" fillId="2" borderId="0" xfId="0" applyFill="1" applyBorder="1"/>
    <xf numFmtId="166" fontId="0" fillId="12" borderId="1" xfId="0" applyNumberForma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15" xfId="0" applyFont="1" applyFill="1" applyBorder="1"/>
    <xf numFmtId="0" fontId="0" fillId="25" borderId="1" xfId="0" applyFont="1" applyFill="1" applyBorder="1" applyAlignment="1">
      <alignment horizontal="center"/>
    </xf>
    <xf numFmtId="0" fontId="0" fillId="26" borderId="1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164" fontId="0" fillId="27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2" fontId="0" fillId="15" borderId="6" xfId="0" applyNumberFormat="1" applyFont="1" applyFill="1" applyBorder="1" applyAlignment="1">
      <alignment horizontal="center" vertical="center" wrapText="1"/>
    </xf>
    <xf numFmtId="2" fontId="0" fillId="15" borderId="2" xfId="0" applyNumberFormat="1" applyFont="1" applyFill="1" applyBorder="1" applyAlignment="1">
      <alignment horizontal="center" vertical="center" wrapText="1"/>
    </xf>
    <xf numFmtId="2" fontId="0" fillId="15" borderId="7" xfId="0" applyNumberFormat="1" applyFont="1" applyFill="1" applyBorder="1" applyAlignment="1">
      <alignment horizontal="center" vertical="center" wrapText="1"/>
    </xf>
    <xf numFmtId="2" fontId="0" fillId="15" borderId="6" xfId="0" applyNumberFormat="1" applyFont="1" applyFill="1" applyBorder="1" applyAlignment="1">
      <alignment horizontal="center"/>
    </xf>
    <xf numFmtId="2" fontId="0" fillId="15" borderId="2" xfId="0" applyNumberFormat="1" applyFont="1" applyFill="1" applyBorder="1" applyAlignment="1">
      <alignment horizontal="center"/>
    </xf>
    <xf numFmtId="2" fontId="0" fillId="15" borderId="7" xfId="0" applyNumberFormat="1" applyFont="1" applyFill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0" fillId="24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2" fontId="9" fillId="0" borderId="3" xfId="0" applyNumberFormat="1" applyFont="1" applyFill="1" applyBorder="1" applyAlignment="1">
      <alignment horizontal="center"/>
    </xf>
    <xf numFmtId="2" fontId="9" fillId="0" borderId="5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/>
    </xf>
    <xf numFmtId="164" fontId="9" fillId="2" borderId="5" xfId="0" applyNumberFormat="1" applyFont="1" applyFill="1" applyBorder="1" applyAlignment="1">
      <alignment horizontal="center"/>
    </xf>
    <xf numFmtId="2" fontId="9" fillId="0" borderId="3" xfId="1" applyNumberFormat="1" applyFont="1" applyFill="1" applyBorder="1" applyAlignment="1">
      <alignment horizontal="center"/>
    </xf>
    <xf numFmtId="2" fontId="9" fillId="0" borderId="5" xfId="1" applyNumberFormat="1" applyFont="1" applyFill="1" applyBorder="1" applyAlignment="1">
      <alignment horizontal="center"/>
    </xf>
    <xf numFmtId="164" fontId="9" fillId="10" borderId="3" xfId="1" applyNumberFormat="1" applyFont="1" applyFill="1" applyBorder="1" applyAlignment="1">
      <alignment horizontal="center"/>
    </xf>
    <xf numFmtId="164" fontId="9" fillId="10" borderId="5" xfId="1" applyNumberFormat="1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7" fillId="17" borderId="3" xfId="0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0" fillId="10" borderId="3" xfId="0" applyFont="1" applyFill="1" applyBorder="1" applyAlignment="1">
      <alignment horizontal="center"/>
    </xf>
    <xf numFmtId="0" fontId="0" fillId="10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8" borderId="0" xfId="0" applyFont="1" applyFill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8" borderId="8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167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Border="1"/>
    <xf numFmtId="164" fontId="6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right"/>
    </xf>
    <xf numFmtId="167" fontId="6" fillId="0" borderId="0" xfId="0" applyNumberFormat="1" applyFont="1" applyFill="1" applyBorder="1"/>
    <xf numFmtId="0" fontId="17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166" fontId="17" fillId="0" borderId="0" xfId="0" applyNumberFormat="1" applyFont="1" applyFill="1" applyBorder="1" applyAlignment="1">
      <alignment horizontal="center"/>
    </xf>
    <xf numFmtId="9" fontId="6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9" fontId="20" fillId="0" borderId="0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4" xfId="2" xr:uid="{00000000-0005-0000-0000-000001000000}"/>
    <cellStyle name="Pourcentage" xfId="1" builtinId="5"/>
  </cellStyles>
  <dxfs count="9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ill>
        <patternFill patternType="none">
          <bgColor indexed="65"/>
        </patternFill>
      </fill>
    </dxf>
    <dxf>
      <font>
        <b val="0"/>
        <i val="0"/>
        <color auto="1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</dxfs>
  <tableStyles count="0" defaultTableStyle="TableStyleMedium2" defaultPivotStyle="PivotStyleLight16"/>
  <colors>
    <mruColors>
      <color rgb="FF53CD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6394759171696"/>
          <c:y val="3.4539132036574709E-2"/>
          <c:w val="0.81773691788763958"/>
          <c:h val="0.81468450787579039"/>
        </c:manualLayout>
      </c:layout>
      <c:scatterChart>
        <c:scatterStyle val="smoothMarker"/>
        <c:varyColors val="0"/>
        <c:ser>
          <c:idx val="4"/>
          <c:order val="2"/>
          <c:tx>
            <c:v>my m1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tx2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5AE1-4451-8E7D-A4782773ED3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600" b="1"/>
                      <a:t>m1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AE1-4451-8E7D-A4782773E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E1-4451-8E7D-A4782773ED3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Puissance!$AI$12:$AI$13</c:f>
              <c:numCache>
                <c:formatCode>0.00</c:formatCode>
                <c:ptCount val="2"/>
                <c:pt idx="0">
                  <c:v>1.93</c:v>
                </c:pt>
                <c:pt idx="1">
                  <c:v>1.93</c:v>
                </c:pt>
              </c:numCache>
            </c:numRef>
          </c:xVal>
          <c:yVal>
            <c:numRef>
              <c:f>Puissance!$AJ$12:$AJ$13</c:f>
              <c:numCache>
                <c:formatCode>0.00</c:formatCode>
                <c:ptCount val="2"/>
                <c:pt idx="0">
                  <c:v>178.41241161527711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E1-4451-8E7D-A4782773ED3F}"/>
            </c:ext>
          </c:extLst>
        </c:ser>
        <c:ser>
          <c:idx val="5"/>
          <c:order val="3"/>
          <c:tx>
            <c:v>my m2</c:v>
          </c:tx>
          <c:spPr>
            <a:ln>
              <a:solidFill>
                <a:schemeClr val="accent2">
                  <a:lumMod val="75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3284385194161971E-2"/>
                  <c:y val="-3.6180109839211272E-2"/>
                </c:manualLayout>
              </c:layout>
              <c:tx>
                <c:rich>
                  <a:bodyPr/>
                  <a:lstStyle/>
                  <a:p>
                    <a:r>
                      <a:rPr lang="en-US" sz="1600" b="1"/>
                      <a:t>m2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AE1-4451-8E7D-A4782773E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E1-4451-8E7D-A4782773ED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Puissance!$AK$12:$AK$13</c:f>
              <c:numCache>
                <c:formatCode>0.00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xVal>
          <c:yVal>
            <c:numRef>
              <c:f>Puissance!$AL$12:$AL$13</c:f>
              <c:numCache>
                <c:formatCode>0.00</c:formatCode>
                <c:ptCount val="2"/>
                <c:pt idx="0">
                  <c:v>178.41241161527711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E1-4451-8E7D-A4782773ED3F}"/>
            </c:ext>
          </c:extLst>
        </c:ser>
        <c:ser>
          <c:idx val="3"/>
          <c:order val="4"/>
          <c:tx>
            <c:v>risque a</c:v>
          </c:tx>
          <c:spPr>
            <a:ln w="63500">
              <a:solidFill>
                <a:srgbClr val="7030A0">
                  <a:alpha val="50000"/>
                </a:srgbClr>
              </a:solidFill>
            </a:ln>
          </c:spPr>
          <c:marker>
            <c:symbol val="none"/>
          </c:marker>
          <c:dLbls>
            <c:dLbl>
              <c:idx val="31"/>
              <c:layout>
                <c:manualLayout>
                  <c:x val="-2.1979094785280335E-2"/>
                  <c:y val="-3.6918156448899619E-2"/>
                </c:manualLayout>
              </c:layout>
              <c:tx>
                <c:rich>
                  <a:bodyPr/>
                  <a:lstStyle/>
                  <a:p>
                    <a:r>
                      <a:rPr lang="el-GR" sz="2000" b="1"/>
                      <a:t>α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AE1-4451-8E7D-A4782773ED3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Puissance!$AI$19:$AI$60</c:f>
              <c:numCache>
                <c:formatCode>0.00</c:formatCode>
                <c:ptCount val="42"/>
                <c:pt idx="0">
                  <c:v>1.9367082039324992</c:v>
                </c:pt>
                <c:pt idx="1">
                  <c:v>1.9367082039324992</c:v>
                </c:pt>
                <c:pt idx="2">
                  <c:v>1.9365919243710183</c:v>
                </c:pt>
                <c:pt idx="3">
                  <c:v>1.9365919243710183</c:v>
                </c:pt>
                <c:pt idx="4">
                  <c:v>1.9364756448095375</c:v>
                </c:pt>
                <c:pt idx="5">
                  <c:v>1.9364756448095375</c:v>
                </c:pt>
                <c:pt idx="6">
                  <c:v>1.9363593652480569</c:v>
                </c:pt>
                <c:pt idx="7">
                  <c:v>1.9363593652480569</c:v>
                </c:pt>
                <c:pt idx="8">
                  <c:v>1.936243085686576</c:v>
                </c:pt>
                <c:pt idx="9">
                  <c:v>1.936243085686576</c:v>
                </c:pt>
                <c:pt idx="10">
                  <c:v>1.9361268061250951</c:v>
                </c:pt>
                <c:pt idx="11">
                  <c:v>1.9361268061250951</c:v>
                </c:pt>
                <c:pt idx="12">
                  <c:v>1.9360105265636143</c:v>
                </c:pt>
                <c:pt idx="13">
                  <c:v>1.9360105265636143</c:v>
                </c:pt>
                <c:pt idx="14">
                  <c:v>1.9358942470021334</c:v>
                </c:pt>
                <c:pt idx="15">
                  <c:v>1.9358942470021334</c:v>
                </c:pt>
                <c:pt idx="16">
                  <c:v>1.9357779674406528</c:v>
                </c:pt>
                <c:pt idx="17">
                  <c:v>1.9357779674406528</c:v>
                </c:pt>
                <c:pt idx="18">
                  <c:v>1.9356616878791719</c:v>
                </c:pt>
                <c:pt idx="19">
                  <c:v>1.9356616878791719</c:v>
                </c:pt>
                <c:pt idx="20">
                  <c:v>1.9355454083176911</c:v>
                </c:pt>
                <c:pt idx="21">
                  <c:v>1.9355454083176911</c:v>
                </c:pt>
                <c:pt idx="22">
                  <c:v>1.9354291287562102</c:v>
                </c:pt>
                <c:pt idx="23">
                  <c:v>1.9354291287562102</c:v>
                </c:pt>
                <c:pt idx="24">
                  <c:v>1.9353128491947293</c:v>
                </c:pt>
                <c:pt idx="25">
                  <c:v>1.9353128491947293</c:v>
                </c:pt>
                <c:pt idx="26">
                  <c:v>1.9351965696332487</c:v>
                </c:pt>
                <c:pt idx="27">
                  <c:v>1.9351965696332487</c:v>
                </c:pt>
                <c:pt idx="28">
                  <c:v>1.9350802900717679</c:v>
                </c:pt>
                <c:pt idx="29">
                  <c:v>1.9350802900717679</c:v>
                </c:pt>
                <c:pt idx="30">
                  <c:v>1.934964010510287</c:v>
                </c:pt>
                <c:pt idx="31">
                  <c:v>1.934964010510287</c:v>
                </c:pt>
                <c:pt idx="32">
                  <c:v>1.9348477309488061</c:v>
                </c:pt>
                <c:pt idx="33">
                  <c:v>1.9348477309488061</c:v>
                </c:pt>
                <c:pt idx="34">
                  <c:v>1.9347314513873253</c:v>
                </c:pt>
                <c:pt idx="35">
                  <c:v>1.9347314513873253</c:v>
                </c:pt>
                <c:pt idx="36">
                  <c:v>1.9346151718258446</c:v>
                </c:pt>
                <c:pt idx="37">
                  <c:v>1.9346151718258446</c:v>
                </c:pt>
                <c:pt idx="38">
                  <c:v>1.9344988922643638</c:v>
                </c:pt>
                <c:pt idx="39">
                  <c:v>1.9344988922643638</c:v>
                </c:pt>
                <c:pt idx="40">
                  <c:v>1.9343826127028829</c:v>
                </c:pt>
                <c:pt idx="41">
                  <c:v>1.9343826127028829</c:v>
                </c:pt>
              </c:numCache>
            </c:numRef>
          </c:xVal>
          <c:yVal>
            <c:numRef>
              <c:f>Puissance!$AH$19:$AH$60</c:f>
              <c:numCache>
                <c:formatCode>General</c:formatCode>
                <c:ptCount val="42"/>
                <c:pt idx="0" formatCode="0.00">
                  <c:v>1.9819828630138439</c:v>
                </c:pt>
                <c:pt idx="1">
                  <c:v>0</c:v>
                </c:pt>
                <c:pt idx="2" formatCode="0.00">
                  <c:v>2.3134758677132075</c:v>
                </c:pt>
                <c:pt idx="3">
                  <c:v>0</c:v>
                </c:pt>
                <c:pt idx="4" formatCode="0.00">
                  <c:v>2.693119587479659</c:v>
                </c:pt>
                <c:pt idx="5">
                  <c:v>0</c:v>
                </c:pt>
                <c:pt idx="6" formatCode="0.00">
                  <c:v>3.1265968783413665</c:v>
                </c:pt>
                <c:pt idx="7">
                  <c:v>0</c:v>
                </c:pt>
                <c:pt idx="8" formatCode="0.00">
                  <c:v>3.6200429867765731</c:v>
                </c:pt>
                <c:pt idx="9">
                  <c:v>0</c:v>
                </c:pt>
                <c:pt idx="10" formatCode="0.00">
                  <c:v>4.1800468729994025</c:v>
                </c:pt>
                <c:pt idx="11">
                  <c:v>0</c:v>
                </c:pt>
                <c:pt idx="12" formatCode="0.00">
                  <c:v>4.8136461503467309</c:v>
                </c:pt>
                <c:pt idx="13">
                  <c:v>0</c:v>
                </c:pt>
                <c:pt idx="14" formatCode="0.00">
                  <c:v>5.5283147228582799</c:v>
                </c:pt>
                <c:pt idx="15">
                  <c:v>0</c:v>
                </c:pt>
                <c:pt idx="16" formatCode="0.00">
                  <c:v>6.3319422082087273</c:v>
                </c:pt>
                <c:pt idx="17">
                  <c:v>0</c:v>
                </c:pt>
                <c:pt idx="18" formatCode="0.00">
                  <c:v>7.2328042601428706</c:v>
                </c:pt>
                <c:pt idx="19">
                  <c:v>0</c:v>
                </c:pt>
                <c:pt idx="20" formatCode="0.00">
                  <c:v>8.2395229561027268</c:v>
                </c:pt>
                <c:pt idx="21">
                  <c:v>0</c:v>
                </c:pt>
                <c:pt idx="22" formatCode="0.00">
                  <c:v>9.361016494282655</c:v>
                </c:pt>
                <c:pt idx="23">
                  <c:v>0</c:v>
                </c:pt>
                <c:pt idx="24" formatCode="0.00">
                  <c:v>10.606437551619798</c:v>
                </c:pt>
                <c:pt idx="25">
                  <c:v>0</c:v>
                </c:pt>
                <c:pt idx="26" formatCode="0.00">
                  <c:v>11.985099791765027</c:v>
                </c:pt>
                <c:pt idx="27">
                  <c:v>0</c:v>
                </c:pt>
                <c:pt idx="28" formatCode="0.00">
                  <c:v>13.506392180461258</c:v>
                </c:pt>
                <c:pt idx="29">
                  <c:v>0</c:v>
                </c:pt>
                <c:pt idx="30" formatCode="0.00">
                  <c:v>15.179680964820459</c:v>
                </c:pt>
                <c:pt idx="31">
                  <c:v>0</c:v>
                </c:pt>
                <c:pt idx="32" formatCode="0.00">
                  <c:v>17.01419940193723</c:v>
                </c:pt>
                <c:pt idx="33">
                  <c:v>0</c:v>
                </c:pt>
                <c:pt idx="34" formatCode="0.00">
                  <c:v>19.01892557877208</c:v>
                </c:pt>
                <c:pt idx="35">
                  <c:v>0</c:v>
                </c:pt>
                <c:pt idx="36" formatCode="0.00">
                  <c:v>21.202448946553801</c:v>
                </c:pt>
                <c:pt idx="37">
                  <c:v>0</c:v>
                </c:pt>
                <c:pt idx="38" formatCode="0.00">
                  <c:v>23.572826494762008</c:v>
                </c:pt>
                <c:pt idx="39">
                  <c:v>0</c:v>
                </c:pt>
                <c:pt idx="40" formatCode="0.00">
                  <c:v>26.137429806754199</c:v>
                </c:pt>
                <c:pt idx="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E1-4451-8E7D-A4782773ED3F}"/>
            </c:ext>
          </c:extLst>
        </c:ser>
        <c:ser>
          <c:idx val="6"/>
          <c:order val="5"/>
          <c:spPr>
            <a:ln w="101600">
              <a:solidFill>
                <a:srgbClr val="00B050">
                  <a:alpha val="50000"/>
                </a:srgbClr>
              </a:solidFill>
            </a:ln>
          </c:spPr>
          <c:marker>
            <c:symbol val="none"/>
          </c:marker>
          <c:dLbls>
            <c:dLbl>
              <c:idx val="17"/>
              <c:layout>
                <c:manualLayout>
                  <c:x val="2.6501708904202036E-3"/>
                  <c:y val="-4.5657686939313116E-2"/>
                </c:manualLayout>
              </c:layout>
              <c:tx>
                <c:rich>
                  <a:bodyPr/>
                  <a:lstStyle/>
                  <a:p>
                    <a:r>
                      <a:rPr lang="el-GR" sz="2000" b="1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β</a:t>
                    </a:r>
                    <a:endParaRPr lang="el-GR" sz="2000" b="1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AE1-4451-8E7D-A4782773ED3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Puissance!$AT$19:$AT$116</c:f>
              <c:numCache>
                <c:formatCode>0.00</c:formatCode>
                <c:ptCount val="98"/>
                <c:pt idx="0">
                  <c:v>1.9341607963701752</c:v>
                </c:pt>
                <c:pt idx="1">
                  <c:v>1.9341607963701752</c:v>
                </c:pt>
                <c:pt idx="2">
                  <c:v>1.9339389800374676</c:v>
                </c:pt>
                <c:pt idx="3">
                  <c:v>1.9339389800374676</c:v>
                </c:pt>
                <c:pt idx="4">
                  <c:v>1.9337171637047599</c:v>
                </c:pt>
                <c:pt idx="5">
                  <c:v>1.9337171637047599</c:v>
                </c:pt>
                <c:pt idx="6">
                  <c:v>1.9334953473720524</c:v>
                </c:pt>
                <c:pt idx="7">
                  <c:v>1.9334953473720524</c:v>
                </c:pt>
                <c:pt idx="8">
                  <c:v>1.9332735310393447</c:v>
                </c:pt>
                <c:pt idx="9">
                  <c:v>1.9332735310393447</c:v>
                </c:pt>
                <c:pt idx="10">
                  <c:v>1.9330517147066371</c:v>
                </c:pt>
                <c:pt idx="11">
                  <c:v>1.9330517147066371</c:v>
                </c:pt>
                <c:pt idx="12">
                  <c:v>1.9328298983739294</c:v>
                </c:pt>
                <c:pt idx="13">
                  <c:v>1.9328298983739294</c:v>
                </c:pt>
                <c:pt idx="14">
                  <c:v>1.9326080820412217</c:v>
                </c:pt>
                <c:pt idx="15">
                  <c:v>1.9326080820412217</c:v>
                </c:pt>
                <c:pt idx="16">
                  <c:v>1.932386265708514</c:v>
                </c:pt>
                <c:pt idx="17">
                  <c:v>1.932386265708514</c:v>
                </c:pt>
                <c:pt idx="18">
                  <c:v>1.9321644493758066</c:v>
                </c:pt>
                <c:pt idx="19">
                  <c:v>1.9321644493758066</c:v>
                </c:pt>
                <c:pt idx="20">
                  <c:v>1.9319426330430989</c:v>
                </c:pt>
                <c:pt idx="21">
                  <c:v>1.9319426330430989</c:v>
                </c:pt>
                <c:pt idx="22">
                  <c:v>1.9317208167103912</c:v>
                </c:pt>
                <c:pt idx="23">
                  <c:v>1.9317208167103912</c:v>
                </c:pt>
                <c:pt idx="24">
                  <c:v>1.9314990003776835</c:v>
                </c:pt>
                <c:pt idx="25">
                  <c:v>1.9314990003776835</c:v>
                </c:pt>
                <c:pt idx="26">
                  <c:v>1.9312771840449758</c:v>
                </c:pt>
                <c:pt idx="27">
                  <c:v>1.9312771840449758</c:v>
                </c:pt>
                <c:pt idx="28">
                  <c:v>1.9310553677122682</c:v>
                </c:pt>
                <c:pt idx="29">
                  <c:v>1.9310553677122682</c:v>
                </c:pt>
                <c:pt idx="30">
                  <c:v>1.9308335513795607</c:v>
                </c:pt>
                <c:pt idx="31">
                  <c:v>1.9308335513795607</c:v>
                </c:pt>
                <c:pt idx="32">
                  <c:v>1.930611735046853</c:v>
                </c:pt>
                <c:pt idx="33">
                  <c:v>1.930611735046853</c:v>
                </c:pt>
                <c:pt idx="34">
                  <c:v>1.9303899187141453</c:v>
                </c:pt>
                <c:pt idx="35">
                  <c:v>1.9303899187141453</c:v>
                </c:pt>
                <c:pt idx="36">
                  <c:v>1.9301681023814377</c:v>
                </c:pt>
                <c:pt idx="37">
                  <c:v>1.9301681023814377</c:v>
                </c:pt>
                <c:pt idx="38">
                  <c:v>1.92994628604873</c:v>
                </c:pt>
                <c:pt idx="39">
                  <c:v>1.92994628604873</c:v>
                </c:pt>
                <c:pt idx="40">
                  <c:v>1.9297244697160223</c:v>
                </c:pt>
                <c:pt idx="41">
                  <c:v>1.9297244697160223</c:v>
                </c:pt>
                <c:pt idx="42">
                  <c:v>1.9295026533833148</c:v>
                </c:pt>
                <c:pt idx="43">
                  <c:v>1.9295026533833148</c:v>
                </c:pt>
                <c:pt idx="44">
                  <c:v>1.9292808370506072</c:v>
                </c:pt>
                <c:pt idx="45">
                  <c:v>1.9292808370506072</c:v>
                </c:pt>
                <c:pt idx="46">
                  <c:v>1.9290590207178995</c:v>
                </c:pt>
                <c:pt idx="47">
                  <c:v>1.9290590207178995</c:v>
                </c:pt>
                <c:pt idx="48">
                  <c:v>1.9288372043851918</c:v>
                </c:pt>
                <c:pt idx="49">
                  <c:v>1.9288372043851918</c:v>
                </c:pt>
                <c:pt idx="50">
                  <c:v>1.9286153880524841</c:v>
                </c:pt>
                <c:pt idx="51">
                  <c:v>1.9286153880524841</c:v>
                </c:pt>
                <c:pt idx="52">
                  <c:v>1.9283935717197764</c:v>
                </c:pt>
                <c:pt idx="53">
                  <c:v>1.9283935717197764</c:v>
                </c:pt>
                <c:pt idx="54">
                  <c:v>1.9281717553870688</c:v>
                </c:pt>
                <c:pt idx="55">
                  <c:v>1.9281717553870688</c:v>
                </c:pt>
                <c:pt idx="56">
                  <c:v>1.9279499390543613</c:v>
                </c:pt>
                <c:pt idx="57">
                  <c:v>1.9279499390543613</c:v>
                </c:pt>
                <c:pt idx="58">
                  <c:v>1.9277281227216536</c:v>
                </c:pt>
                <c:pt idx="59">
                  <c:v>1.9277281227216536</c:v>
                </c:pt>
                <c:pt idx="60">
                  <c:v>1.9275063063889459</c:v>
                </c:pt>
                <c:pt idx="61">
                  <c:v>1.9275063063889459</c:v>
                </c:pt>
                <c:pt idx="62">
                  <c:v>1.9272844900562383</c:v>
                </c:pt>
                <c:pt idx="63">
                  <c:v>1.9272844900562383</c:v>
                </c:pt>
                <c:pt idx="64">
                  <c:v>1.9270626737235306</c:v>
                </c:pt>
                <c:pt idx="65">
                  <c:v>1.9270626737235306</c:v>
                </c:pt>
                <c:pt idx="66">
                  <c:v>1.9268408573908229</c:v>
                </c:pt>
                <c:pt idx="67">
                  <c:v>1.9268408573908229</c:v>
                </c:pt>
                <c:pt idx="68">
                  <c:v>1.9266190410581154</c:v>
                </c:pt>
                <c:pt idx="69">
                  <c:v>1.9266190410581154</c:v>
                </c:pt>
                <c:pt idx="70">
                  <c:v>1.9263972247254078</c:v>
                </c:pt>
                <c:pt idx="71">
                  <c:v>1.9263972247254078</c:v>
                </c:pt>
                <c:pt idx="72">
                  <c:v>1.9261754083927001</c:v>
                </c:pt>
                <c:pt idx="73">
                  <c:v>1.9261754083927001</c:v>
                </c:pt>
                <c:pt idx="74">
                  <c:v>1.9259535920599924</c:v>
                </c:pt>
                <c:pt idx="75">
                  <c:v>1.9259535920599924</c:v>
                </c:pt>
                <c:pt idx="76">
                  <c:v>1.9257317757272847</c:v>
                </c:pt>
                <c:pt idx="77">
                  <c:v>1.9257317757272847</c:v>
                </c:pt>
                <c:pt idx="78">
                  <c:v>1.925509959394577</c:v>
                </c:pt>
                <c:pt idx="79">
                  <c:v>1.925509959394577</c:v>
                </c:pt>
                <c:pt idx="80">
                  <c:v>1.9252881430618696</c:v>
                </c:pt>
                <c:pt idx="81">
                  <c:v>1.9252881430618696</c:v>
                </c:pt>
                <c:pt idx="82">
                  <c:v>1.9250663267291619</c:v>
                </c:pt>
                <c:pt idx="83">
                  <c:v>1.9250663267291619</c:v>
                </c:pt>
                <c:pt idx="84">
                  <c:v>1.9248445103964542</c:v>
                </c:pt>
                <c:pt idx="85">
                  <c:v>1.9248445103964542</c:v>
                </c:pt>
                <c:pt idx="86">
                  <c:v>1.9246226940637465</c:v>
                </c:pt>
                <c:pt idx="87">
                  <c:v>1.9246226940637465</c:v>
                </c:pt>
                <c:pt idx="88">
                  <c:v>1.9244008777310389</c:v>
                </c:pt>
                <c:pt idx="89">
                  <c:v>1.9244008777310389</c:v>
                </c:pt>
                <c:pt idx="90">
                  <c:v>1.9241790613983312</c:v>
                </c:pt>
                <c:pt idx="91">
                  <c:v>1.9241790613983312</c:v>
                </c:pt>
                <c:pt idx="92">
                  <c:v>1.9239572450656237</c:v>
                </c:pt>
                <c:pt idx="93">
                  <c:v>1.9239572450656237</c:v>
                </c:pt>
                <c:pt idx="94">
                  <c:v>1.923735428732916</c:v>
                </c:pt>
                <c:pt idx="95">
                  <c:v>1.923735428732916</c:v>
                </c:pt>
                <c:pt idx="96">
                  <c:v>1.9235136124002084</c:v>
                </c:pt>
                <c:pt idx="97">
                  <c:v>1.9235136124002084</c:v>
                </c:pt>
              </c:numCache>
            </c:numRef>
          </c:xVal>
          <c:yVal>
            <c:numRef>
              <c:f>Puissance!$AX$19:$AX$116</c:f>
              <c:numCache>
                <c:formatCode>0</c:formatCode>
                <c:ptCount val="98"/>
                <c:pt idx="0" formatCode="0.00">
                  <c:v>2.2689710885949973E-9</c:v>
                </c:pt>
                <c:pt idx="1">
                  <c:v>0</c:v>
                </c:pt>
                <c:pt idx="2" formatCode="0.00">
                  <c:v>1.1182079987480408E-9</c:v>
                </c:pt>
                <c:pt idx="3" formatCode="0.00">
                  <c:v>0</c:v>
                </c:pt>
                <c:pt idx="4" formatCode="0.00">
                  <c:v>5.456856753109141E-10</c:v>
                </c:pt>
                <c:pt idx="5" formatCode="0.00">
                  <c:v>0</c:v>
                </c:pt>
                <c:pt idx="6" formatCode="0.00">
                  <c:v>2.6368707247928324E-10</c:v>
                </c:pt>
                <c:pt idx="7" formatCode="0.00">
                  <c:v>0</c:v>
                </c:pt>
                <c:pt idx="8" formatCode="0.00">
                  <c:v>1.2617155346167494E-10</c:v>
                </c:pt>
                <c:pt idx="9" formatCode="0.00">
                  <c:v>0</c:v>
                </c:pt>
                <c:pt idx="10" formatCode="0.00">
                  <c:v>5.9780616341617146E-11</c:v>
                </c:pt>
                <c:pt idx="11" formatCode="0.00">
                  <c:v>0</c:v>
                </c:pt>
                <c:pt idx="12" formatCode="0.00">
                  <c:v>2.8046950809883225E-11</c:v>
                </c:pt>
                <c:pt idx="13" formatCode="0.00">
                  <c:v>0</c:v>
                </c:pt>
                <c:pt idx="14" formatCode="0.00">
                  <c:v>1.3029784822595675E-11</c:v>
                </c:pt>
                <c:pt idx="15" formatCode="0.00">
                  <c:v>0</c:v>
                </c:pt>
                <c:pt idx="16" formatCode="0.00">
                  <c:v>5.9939782267609981E-12</c:v>
                </c:pt>
                <c:pt idx="17" formatCode="0.00">
                  <c:v>0</c:v>
                </c:pt>
                <c:pt idx="18" formatCode="0.00">
                  <c:v>2.7303568055831245E-12</c:v>
                </c:pt>
                <c:pt idx="19" formatCode="0.00">
                  <c:v>0</c:v>
                </c:pt>
                <c:pt idx="20" formatCode="0.00">
                  <c:v>1.2315441196376619E-12</c:v>
                </c:pt>
                <c:pt idx="21" formatCode="0.00">
                  <c:v>0</c:v>
                </c:pt>
                <c:pt idx="22" formatCode="0.00">
                  <c:v>5.5005595584957942E-13</c:v>
                </c:pt>
                <c:pt idx="23" formatCode="0.00">
                  <c:v>0</c:v>
                </c:pt>
                <c:pt idx="24" formatCode="0.00">
                  <c:v>2.4327086223585007E-13</c:v>
                </c:pt>
                <c:pt idx="25" formatCode="0.00">
                  <c:v>0</c:v>
                </c:pt>
                <c:pt idx="26" formatCode="0.00">
                  <c:v>1.0653679899110827E-13</c:v>
                </c:pt>
                <c:pt idx="27" formatCode="0.00">
                  <c:v>0</c:v>
                </c:pt>
                <c:pt idx="28" formatCode="0.00">
                  <c:v>4.6199313225767459E-14</c:v>
                </c:pt>
                <c:pt idx="29" formatCode="0.00">
                  <c:v>0</c:v>
                </c:pt>
                <c:pt idx="30" formatCode="0.00">
                  <c:v>1.9837992504282646E-14</c:v>
                </c:pt>
                <c:pt idx="31" formatCode="0.00">
                  <c:v>0</c:v>
                </c:pt>
                <c:pt idx="32" formatCode="0.00">
                  <c:v>8.4350225984966945E-15</c:v>
                </c:pt>
                <c:pt idx="33" formatCode="0.00">
                  <c:v>0</c:v>
                </c:pt>
                <c:pt idx="34" formatCode="0.00">
                  <c:v>3.5514123899539647E-15</c:v>
                </c:pt>
                <c:pt idx="35" formatCode="0.00">
                  <c:v>0</c:v>
                </c:pt>
                <c:pt idx="36" formatCode="0.00">
                  <c:v>1.4806154843890361E-15</c:v>
                </c:pt>
                <c:pt idx="37" formatCode="0.00">
                  <c:v>0</c:v>
                </c:pt>
                <c:pt idx="38" formatCode="0.00">
                  <c:v>6.112372242310856E-16</c:v>
                </c:pt>
                <c:pt idx="39" formatCode="0.00">
                  <c:v>0</c:v>
                </c:pt>
                <c:pt idx="40" formatCode="0.00">
                  <c:v>2.4986396600929453E-16</c:v>
                </c:pt>
                <c:pt idx="41" formatCode="0.00">
                  <c:v>0</c:v>
                </c:pt>
                <c:pt idx="42" formatCode="0.00">
                  <c:v>1.0114019574129705E-16</c:v>
                </c:pt>
                <c:pt idx="43" formatCode="0.00">
                  <c:v>0</c:v>
                </c:pt>
                <c:pt idx="44" formatCode="0.00">
                  <c:v>4.053874287734489E-17</c:v>
                </c:pt>
                <c:pt idx="45" formatCode="0.00">
                  <c:v>0</c:v>
                </c:pt>
                <c:pt idx="46" formatCode="0.00">
                  <c:v>1.608952009254184E-17</c:v>
                </c:pt>
                <c:pt idx="47" formatCode="0.00">
                  <c:v>0</c:v>
                </c:pt>
                <c:pt idx="48" formatCode="0.00">
                  <c:v>6.3232773389475523E-18</c:v>
                </c:pt>
                <c:pt idx="49" formatCode="0.00">
                  <c:v>0</c:v>
                </c:pt>
                <c:pt idx="50" formatCode="0.00">
                  <c:v>2.4607511500129283E-18</c:v>
                </c:pt>
                <c:pt idx="51" formatCode="0.00">
                  <c:v>0</c:v>
                </c:pt>
                <c:pt idx="52" formatCode="0.00">
                  <c:v>9.4824265964611911E-19</c:v>
                </c:pt>
                <c:pt idx="53" formatCode="0.00">
                  <c:v>0</c:v>
                </c:pt>
                <c:pt idx="54" formatCode="0.00">
                  <c:v>3.6182419845565226E-19</c:v>
                </c:pt>
                <c:pt idx="55" formatCode="0.00">
                  <c:v>0</c:v>
                </c:pt>
                <c:pt idx="56" formatCode="0.00">
                  <c:v>1.3671055748449654E-19</c:v>
                </c:pt>
                <c:pt idx="57" formatCode="0.00">
                  <c:v>0</c:v>
                </c:pt>
                <c:pt idx="58" formatCode="0.00">
                  <c:v>5.1148491090389923E-20</c:v>
                </c:pt>
                <c:pt idx="59" formatCode="0.00">
                  <c:v>0</c:v>
                </c:pt>
                <c:pt idx="60" formatCode="0.00">
                  <c:v>1.8949158337570578E-20</c:v>
                </c:pt>
                <c:pt idx="61" formatCode="0.00">
                  <c:v>0</c:v>
                </c:pt>
                <c:pt idx="62" formatCode="0.00">
                  <c:v>6.9514171267564601E-21</c:v>
                </c:pt>
                <c:pt idx="63" formatCode="0.00">
                  <c:v>0</c:v>
                </c:pt>
                <c:pt idx="64" formatCode="0.00">
                  <c:v>2.5251262743339853E-21</c:v>
                </c:pt>
                <c:pt idx="65" formatCode="0.00">
                  <c:v>0</c:v>
                </c:pt>
                <c:pt idx="66" formatCode="0.00">
                  <c:v>9.0827880205974901E-22</c:v>
                </c:pt>
                <c:pt idx="67" formatCode="0.00">
                  <c:v>0</c:v>
                </c:pt>
                <c:pt idx="68" formatCode="0.00">
                  <c:v>3.2350543590273753E-22</c:v>
                </c:pt>
                <c:pt idx="69" formatCode="0.00">
                  <c:v>0</c:v>
                </c:pt>
                <c:pt idx="70" formatCode="0.00">
                  <c:v>1.1409597214249276E-22</c:v>
                </c:pt>
                <c:pt idx="71" formatCode="0.00">
                  <c:v>0</c:v>
                </c:pt>
                <c:pt idx="72" formatCode="0.00">
                  <c:v>3.984605866006902E-23</c:v>
                </c:pt>
                <c:pt idx="73" formatCode="0.00">
                  <c:v>0</c:v>
                </c:pt>
                <c:pt idx="74" formatCode="0.00">
                  <c:v>1.3779287235616924E-23</c:v>
                </c:pt>
                <c:pt idx="75" formatCode="0.00">
                  <c:v>0</c:v>
                </c:pt>
                <c:pt idx="76" formatCode="0.00">
                  <c:v>4.7183968257357645E-24</c:v>
                </c:pt>
                <c:pt idx="77" formatCode="0.00">
                  <c:v>0</c:v>
                </c:pt>
                <c:pt idx="78" formatCode="0.00">
                  <c:v>1.5998840148368121E-24</c:v>
                </c:pt>
                <c:pt idx="79" formatCode="0.00">
                  <c:v>0</c:v>
                </c:pt>
                <c:pt idx="80" formatCode="0.00">
                  <c:v>5.3716642749326597E-25</c:v>
                </c:pt>
                <c:pt idx="81" formatCode="0.00">
                  <c:v>0</c:v>
                </c:pt>
                <c:pt idx="82" formatCode="0.00">
                  <c:v>1.7858934758974133E-25</c:v>
                </c:pt>
                <c:pt idx="83" formatCode="0.00">
                  <c:v>0</c:v>
                </c:pt>
                <c:pt idx="84" formatCode="0.00">
                  <c:v>5.8793398664400416E-26</c:v>
                </c:pt>
                <c:pt idx="85" formatCode="0.00">
                  <c:v>0</c:v>
                </c:pt>
                <c:pt idx="86" formatCode="0.00">
                  <c:v>1.9165842192746074E-26</c:v>
                </c:pt>
                <c:pt idx="87" formatCode="0.00">
                  <c:v>0</c:v>
                </c:pt>
                <c:pt idx="88" formatCode="0.00">
                  <c:v>6.1866219223042544E-27</c:v>
                </c:pt>
                <c:pt idx="89" formatCode="0.00">
                  <c:v>0</c:v>
                </c:pt>
                <c:pt idx="90" formatCode="0.00">
                  <c:v>1.9774502716913616E-27</c:v>
                </c:pt>
                <c:pt idx="91" formatCode="0.00">
                  <c:v>0</c:v>
                </c:pt>
                <c:pt idx="92" formatCode="0.00">
                  <c:v>6.2586964975163352E-28</c:v>
                </c:pt>
                <c:pt idx="93" formatCode="0.00">
                  <c:v>0</c:v>
                </c:pt>
                <c:pt idx="94" formatCode="0.00">
                  <c:v>1.9615010245960632E-28</c:v>
                </c:pt>
                <c:pt idx="95" formatCode="0.00">
                  <c:v>0</c:v>
                </c:pt>
                <c:pt idx="96" formatCode="0.00">
                  <c:v>6.0872272212165664E-29</c:v>
                </c:pt>
                <c:pt idx="97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E1-4451-8E7D-A4782773ED3F}"/>
            </c:ext>
          </c:extLst>
        </c:ser>
        <c:ser>
          <c:idx val="2"/>
          <c:order val="6"/>
          <c:spPr>
            <a:ln w="6350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Puissance!$AK$19:$AK$60</c:f>
              <c:numCache>
                <c:formatCode>0.00</c:formatCode>
                <c:ptCount val="42"/>
                <c:pt idx="0">
                  <c:v>1.9232917960675007</c:v>
                </c:pt>
                <c:pt idx="1">
                  <c:v>1.9232917960675007</c:v>
                </c:pt>
                <c:pt idx="2">
                  <c:v>1.9234080756289815</c:v>
                </c:pt>
                <c:pt idx="3">
                  <c:v>1.9234080756289815</c:v>
                </c:pt>
                <c:pt idx="4">
                  <c:v>1.9235243551904624</c:v>
                </c:pt>
                <c:pt idx="5">
                  <c:v>1.9235243551904624</c:v>
                </c:pt>
                <c:pt idx="6">
                  <c:v>1.923640634751943</c:v>
                </c:pt>
                <c:pt idx="7">
                  <c:v>1.923640634751943</c:v>
                </c:pt>
                <c:pt idx="8">
                  <c:v>1.9237569143134239</c:v>
                </c:pt>
                <c:pt idx="9">
                  <c:v>1.9237569143134239</c:v>
                </c:pt>
                <c:pt idx="10">
                  <c:v>1.9238731938749047</c:v>
                </c:pt>
                <c:pt idx="11">
                  <c:v>1.9238731938749047</c:v>
                </c:pt>
                <c:pt idx="12">
                  <c:v>1.9239894734363856</c:v>
                </c:pt>
                <c:pt idx="13">
                  <c:v>1.9239894734363856</c:v>
                </c:pt>
                <c:pt idx="14">
                  <c:v>1.9241057529978665</c:v>
                </c:pt>
                <c:pt idx="15">
                  <c:v>1.9241057529978665</c:v>
                </c:pt>
                <c:pt idx="16">
                  <c:v>1.9242220325593471</c:v>
                </c:pt>
                <c:pt idx="17">
                  <c:v>1.9242220325593471</c:v>
                </c:pt>
                <c:pt idx="18">
                  <c:v>1.924338312120828</c:v>
                </c:pt>
                <c:pt idx="19">
                  <c:v>1.924338312120828</c:v>
                </c:pt>
                <c:pt idx="20">
                  <c:v>1.9244545916823088</c:v>
                </c:pt>
                <c:pt idx="21">
                  <c:v>1.9244545916823088</c:v>
                </c:pt>
                <c:pt idx="22">
                  <c:v>1.9245708712437897</c:v>
                </c:pt>
                <c:pt idx="23">
                  <c:v>1.9245708712437897</c:v>
                </c:pt>
                <c:pt idx="24">
                  <c:v>1.9246871508052705</c:v>
                </c:pt>
                <c:pt idx="25">
                  <c:v>1.9246871508052705</c:v>
                </c:pt>
                <c:pt idx="26">
                  <c:v>1.9248034303667512</c:v>
                </c:pt>
                <c:pt idx="27">
                  <c:v>1.9248034303667512</c:v>
                </c:pt>
                <c:pt idx="28">
                  <c:v>1.924919709928232</c:v>
                </c:pt>
                <c:pt idx="29">
                  <c:v>1.924919709928232</c:v>
                </c:pt>
                <c:pt idx="30">
                  <c:v>1.9250359894897129</c:v>
                </c:pt>
                <c:pt idx="31">
                  <c:v>1.9250359894897129</c:v>
                </c:pt>
                <c:pt idx="32">
                  <c:v>1.9251522690511937</c:v>
                </c:pt>
                <c:pt idx="33">
                  <c:v>1.9251522690511937</c:v>
                </c:pt>
                <c:pt idx="34">
                  <c:v>1.9252685486126746</c:v>
                </c:pt>
                <c:pt idx="35">
                  <c:v>1.9252685486126746</c:v>
                </c:pt>
                <c:pt idx="36">
                  <c:v>1.9253848281741552</c:v>
                </c:pt>
                <c:pt idx="37">
                  <c:v>1.9253848281741552</c:v>
                </c:pt>
                <c:pt idx="38">
                  <c:v>1.9255011077356361</c:v>
                </c:pt>
                <c:pt idx="39">
                  <c:v>1.9255011077356361</c:v>
                </c:pt>
                <c:pt idx="40">
                  <c:v>1.925617387297117</c:v>
                </c:pt>
                <c:pt idx="41">
                  <c:v>1.925617387297117</c:v>
                </c:pt>
              </c:numCache>
            </c:numRef>
          </c:xVal>
          <c:yVal>
            <c:numRef>
              <c:f>Puissance!$AL$19:$AL$60</c:f>
              <c:numCache>
                <c:formatCode>0</c:formatCode>
                <c:ptCount val="42"/>
                <c:pt idx="0" formatCode="0.00">
                  <c:v>1.9819828630138439</c:v>
                </c:pt>
                <c:pt idx="1">
                  <c:v>0</c:v>
                </c:pt>
                <c:pt idx="2" formatCode="0.00">
                  <c:v>2.3134758677132075</c:v>
                </c:pt>
                <c:pt idx="3">
                  <c:v>0</c:v>
                </c:pt>
                <c:pt idx="4" formatCode="0.00">
                  <c:v>2.693119587479659</c:v>
                </c:pt>
                <c:pt idx="5">
                  <c:v>0</c:v>
                </c:pt>
                <c:pt idx="6" formatCode="0.00">
                  <c:v>3.1265968783413665</c:v>
                </c:pt>
                <c:pt idx="7">
                  <c:v>0</c:v>
                </c:pt>
                <c:pt idx="8" formatCode="0.00">
                  <c:v>3.6200429867765731</c:v>
                </c:pt>
                <c:pt idx="9">
                  <c:v>0</c:v>
                </c:pt>
                <c:pt idx="10" formatCode="0.00">
                  <c:v>4.1800468729994025</c:v>
                </c:pt>
                <c:pt idx="11">
                  <c:v>0</c:v>
                </c:pt>
                <c:pt idx="12" formatCode="0.00">
                  <c:v>4.8136461503467309</c:v>
                </c:pt>
                <c:pt idx="13">
                  <c:v>0</c:v>
                </c:pt>
                <c:pt idx="14" formatCode="0.00">
                  <c:v>5.5283147228582799</c:v>
                </c:pt>
                <c:pt idx="15">
                  <c:v>0</c:v>
                </c:pt>
                <c:pt idx="16" formatCode="0.00">
                  <c:v>6.3319422082087273</c:v>
                </c:pt>
                <c:pt idx="17">
                  <c:v>0</c:v>
                </c:pt>
                <c:pt idx="18" formatCode="0.00">
                  <c:v>7.2328042601428706</c:v>
                </c:pt>
                <c:pt idx="19">
                  <c:v>0</c:v>
                </c:pt>
                <c:pt idx="20" formatCode="0.00">
                  <c:v>8.2395229561027268</c:v>
                </c:pt>
                <c:pt idx="21">
                  <c:v>0</c:v>
                </c:pt>
                <c:pt idx="22" formatCode="0.00">
                  <c:v>9.361016494282655</c:v>
                </c:pt>
                <c:pt idx="23">
                  <c:v>0</c:v>
                </c:pt>
                <c:pt idx="24" formatCode="0.00">
                  <c:v>10.606437551619798</c:v>
                </c:pt>
                <c:pt idx="25">
                  <c:v>0</c:v>
                </c:pt>
                <c:pt idx="26" formatCode="0.00">
                  <c:v>11.985099791765027</c:v>
                </c:pt>
                <c:pt idx="27">
                  <c:v>0</c:v>
                </c:pt>
                <c:pt idx="28" formatCode="0.00">
                  <c:v>13.506392180461258</c:v>
                </c:pt>
                <c:pt idx="29">
                  <c:v>0</c:v>
                </c:pt>
                <c:pt idx="30" formatCode="0.00">
                  <c:v>15.179680964820459</c:v>
                </c:pt>
                <c:pt idx="31">
                  <c:v>0</c:v>
                </c:pt>
                <c:pt idx="32" formatCode="0.00">
                  <c:v>17.01419940193723</c:v>
                </c:pt>
                <c:pt idx="33">
                  <c:v>0</c:v>
                </c:pt>
                <c:pt idx="34" formatCode="0.00">
                  <c:v>19.01892557877208</c:v>
                </c:pt>
                <c:pt idx="35">
                  <c:v>0</c:v>
                </c:pt>
                <c:pt idx="36" formatCode="0.00">
                  <c:v>21.202448946553801</c:v>
                </c:pt>
                <c:pt idx="37">
                  <c:v>0</c:v>
                </c:pt>
                <c:pt idx="38" formatCode="0.00">
                  <c:v>23.572826494762008</c:v>
                </c:pt>
                <c:pt idx="39">
                  <c:v>0</c:v>
                </c:pt>
                <c:pt idx="40" formatCode="0.00">
                  <c:v>26.137429806754199</c:v>
                </c:pt>
                <c:pt idx="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AE1-4451-8E7D-A4782773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9396320"/>
        <c:axId val="-29391968"/>
      </c:scatterChart>
      <c:scatterChart>
        <c:scatterStyle val="smoothMarker"/>
        <c:varyColors val="0"/>
        <c:ser>
          <c:idx val="0"/>
          <c:order val="0"/>
          <c:spPr>
            <a:ln w="101600"/>
          </c:spPr>
          <c:marker>
            <c:symbol val="none"/>
          </c:marker>
          <c:dLbls>
            <c:dLbl>
              <c:idx val="19"/>
              <c:layout>
                <c:manualLayout>
                  <c:x val="9.9853155582485913E-3"/>
                  <c:y val="3.361344537815121E-2"/>
                </c:manualLayout>
              </c:layout>
              <c:tx>
                <c:rich>
                  <a:bodyPr/>
                  <a:lstStyle/>
                  <a:p>
                    <a:r>
                      <a:rPr lang="el-GR" sz="1600" b="1"/>
                      <a:t>1-α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AE1-4451-8E7D-A4782773ED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Puissance!$Y$11:$Y$71</c:f>
              <c:numCache>
                <c:formatCode>0.00</c:formatCode>
                <c:ptCount val="61"/>
                <c:pt idx="0">
                  <c:v>1.9232917960675007</c:v>
                </c:pt>
                <c:pt idx="1">
                  <c:v>1.9235154028652506</c:v>
                </c:pt>
                <c:pt idx="2">
                  <c:v>1.9237390096630005</c:v>
                </c:pt>
                <c:pt idx="3">
                  <c:v>1.9239626164607504</c:v>
                </c:pt>
                <c:pt idx="4">
                  <c:v>1.9241862232585005</c:v>
                </c:pt>
                <c:pt idx="5">
                  <c:v>1.9244098300562504</c:v>
                </c:pt>
                <c:pt idx="6">
                  <c:v>1.9246334368540003</c:v>
                </c:pt>
                <c:pt idx="7">
                  <c:v>1.9248570436517505</c:v>
                </c:pt>
                <c:pt idx="8">
                  <c:v>1.9250806504495004</c:v>
                </c:pt>
                <c:pt idx="9">
                  <c:v>1.9253042572472503</c:v>
                </c:pt>
                <c:pt idx="10">
                  <c:v>1.9255278640450004</c:v>
                </c:pt>
                <c:pt idx="11">
                  <c:v>1.9257514708427503</c:v>
                </c:pt>
                <c:pt idx="12">
                  <c:v>1.9259750776405002</c:v>
                </c:pt>
                <c:pt idx="13">
                  <c:v>1.9261986844382504</c:v>
                </c:pt>
                <c:pt idx="14">
                  <c:v>1.9264222912360003</c:v>
                </c:pt>
                <c:pt idx="15">
                  <c:v>1.9266458980337502</c:v>
                </c:pt>
                <c:pt idx="16">
                  <c:v>1.9268695048315003</c:v>
                </c:pt>
                <c:pt idx="17">
                  <c:v>1.9270931116292502</c:v>
                </c:pt>
                <c:pt idx="18">
                  <c:v>1.9273167184270001</c:v>
                </c:pt>
                <c:pt idx="19">
                  <c:v>1.9275403252247503</c:v>
                </c:pt>
                <c:pt idx="20">
                  <c:v>1.9277639320225002</c:v>
                </c:pt>
                <c:pt idx="21">
                  <c:v>1.9279875388202501</c:v>
                </c:pt>
                <c:pt idx="22">
                  <c:v>1.928211145618</c:v>
                </c:pt>
                <c:pt idx="23">
                  <c:v>1.9284347524157501</c:v>
                </c:pt>
                <c:pt idx="24">
                  <c:v>1.9286583592135</c:v>
                </c:pt>
                <c:pt idx="25">
                  <c:v>1.9288819660112499</c:v>
                </c:pt>
                <c:pt idx="26">
                  <c:v>1.9291055728090001</c:v>
                </c:pt>
                <c:pt idx="27">
                  <c:v>1.92932917960675</c:v>
                </c:pt>
                <c:pt idx="28">
                  <c:v>1.9295527864044999</c:v>
                </c:pt>
                <c:pt idx="29">
                  <c:v>1.92977639320225</c:v>
                </c:pt>
                <c:pt idx="30">
                  <c:v>1.93</c:v>
                </c:pt>
                <c:pt idx="31">
                  <c:v>1.9302236067977498</c:v>
                </c:pt>
                <c:pt idx="32">
                  <c:v>1.9304472135955</c:v>
                </c:pt>
                <c:pt idx="33">
                  <c:v>1.9306708203932499</c:v>
                </c:pt>
                <c:pt idx="34">
                  <c:v>1.9308944271909998</c:v>
                </c:pt>
                <c:pt idx="35">
                  <c:v>1.9311180339887499</c:v>
                </c:pt>
                <c:pt idx="36">
                  <c:v>1.9313416407864998</c:v>
                </c:pt>
                <c:pt idx="37">
                  <c:v>1.9315652475842497</c:v>
                </c:pt>
                <c:pt idx="38">
                  <c:v>1.9317888543819999</c:v>
                </c:pt>
                <c:pt idx="39">
                  <c:v>1.9320124611797498</c:v>
                </c:pt>
                <c:pt idx="40">
                  <c:v>1.9322360679774997</c:v>
                </c:pt>
                <c:pt idx="41">
                  <c:v>1.9324596747752496</c:v>
                </c:pt>
                <c:pt idx="42">
                  <c:v>1.9326832815729997</c:v>
                </c:pt>
                <c:pt idx="43">
                  <c:v>1.9329068883707496</c:v>
                </c:pt>
                <c:pt idx="44">
                  <c:v>1.9331304951684996</c:v>
                </c:pt>
                <c:pt idx="45">
                  <c:v>1.9333541019662497</c:v>
                </c:pt>
                <c:pt idx="46">
                  <c:v>1.9335777087639996</c:v>
                </c:pt>
                <c:pt idx="47">
                  <c:v>1.9338013155617495</c:v>
                </c:pt>
                <c:pt idx="48">
                  <c:v>1.9340249223594996</c:v>
                </c:pt>
                <c:pt idx="49">
                  <c:v>1.9342485291572495</c:v>
                </c:pt>
                <c:pt idx="50">
                  <c:v>1.9344721359549994</c:v>
                </c:pt>
                <c:pt idx="51">
                  <c:v>1.9346957427527496</c:v>
                </c:pt>
                <c:pt idx="52">
                  <c:v>1.9349193495504995</c:v>
                </c:pt>
                <c:pt idx="53">
                  <c:v>1.9351429563482494</c:v>
                </c:pt>
                <c:pt idx="54">
                  <c:v>1.9353665631459995</c:v>
                </c:pt>
                <c:pt idx="55">
                  <c:v>1.9355901699437494</c:v>
                </c:pt>
                <c:pt idx="56">
                  <c:v>1.9358137767414993</c:v>
                </c:pt>
                <c:pt idx="57">
                  <c:v>1.9360373835392495</c:v>
                </c:pt>
                <c:pt idx="58">
                  <c:v>1.9362609903369994</c:v>
                </c:pt>
                <c:pt idx="59">
                  <c:v>1.9364845971347493</c:v>
                </c:pt>
                <c:pt idx="60">
                  <c:v>1.9367082039324992</c:v>
                </c:pt>
              </c:numCache>
            </c:numRef>
          </c:xVal>
          <c:yVal>
            <c:numRef>
              <c:f>Puissance!$Z$11:$Z$71</c:f>
              <c:numCache>
                <c:formatCode>0.00</c:formatCode>
                <c:ptCount val="61"/>
                <c:pt idx="0">
                  <c:v>1.9819828630138439</c:v>
                </c:pt>
                <c:pt idx="1">
                  <c:v>2.6620534257781356</c:v>
                </c:pt>
                <c:pt idx="2">
                  <c:v>3.5398975624301334</c:v>
                </c:pt>
                <c:pt idx="3">
                  <c:v>4.6603837268280044</c:v>
                </c:pt>
                <c:pt idx="4">
                  <c:v>6.0744885085621618</c:v>
                </c:pt>
                <c:pt idx="5">
                  <c:v>7.838894286732236</c:v>
                </c:pt>
                <c:pt idx="6">
                  <c:v>10.015138412688389</c:v>
                </c:pt>
                <c:pt idx="7">
                  <c:v>12.668236398285201</c:v>
                </c:pt>
                <c:pt idx="8">
                  <c:v>15.864720215660022</c:v>
                </c:pt>
                <c:pt idx="9">
                  <c:v>19.670062101422779</c:v>
                </c:pt>
                <c:pt idx="10">
                  <c:v>24.145494258882113</c:v>
                </c:pt>
                <c:pt idx="11">
                  <c:v>29.34428444704232</c:v>
                </c:pt>
                <c:pt idx="12">
                  <c:v>35.307584159031677</c:v>
                </c:pt>
                <c:pt idx="13">
                  <c:v>42.060026047173899</c:v>
                </c:pt>
                <c:pt idx="14">
                  <c:v>49.60530529285608</c:v>
                </c:pt>
                <c:pt idx="15">
                  <c:v>57.922029638250862</c:v>
                </c:pt>
                <c:pt idx="16">
                  <c:v>66.960158252061689</c:v>
                </c:pt>
                <c:pt idx="17">
                  <c:v>76.638364205466402</c:v>
                </c:pt>
                <c:pt idx="18">
                  <c:v>86.842643844992935</c:v>
                </c:pt>
                <c:pt idx="19">
                  <c:v>97.426455378225256</c:v>
                </c:pt>
                <c:pt idx="20">
                  <c:v>108.21259771793756</c:v>
                </c:pt>
                <c:pt idx="21">
                  <c:v>118.99694131672523</c:v>
                </c:pt>
                <c:pt idx="22">
                  <c:v>129.55400089642353</c:v>
                </c:pt>
                <c:pt idx="23">
                  <c:v>139.64420424995558</c:v>
                </c:pt>
                <c:pt idx="24">
                  <c:v>149.02257276828644</c:v>
                </c:pt>
                <c:pt idx="25">
                  <c:v>157.44840063312662</c:v>
                </c:pt>
                <c:pt idx="26">
                  <c:v>164.69541356032488</c:v>
                </c:pt>
                <c:pt idx="27">
                  <c:v>170.56181623197514</c:v>
                </c:pt>
                <c:pt idx="28">
                  <c:v>174.87960916675209</c:v>
                </c:pt>
                <c:pt idx="29">
                  <c:v>177.52257600006274</c:v>
                </c:pt>
                <c:pt idx="30">
                  <c:v>178.41241161527711</c:v>
                </c:pt>
                <c:pt idx="31">
                  <c:v>177.52257600006274</c:v>
                </c:pt>
                <c:pt idx="32">
                  <c:v>174.87960916675209</c:v>
                </c:pt>
                <c:pt idx="33">
                  <c:v>170.56181623197514</c:v>
                </c:pt>
                <c:pt idx="34">
                  <c:v>164.69541356032488</c:v>
                </c:pt>
                <c:pt idx="35">
                  <c:v>157.44840063312662</c:v>
                </c:pt>
                <c:pt idx="36">
                  <c:v>149.02257276828644</c:v>
                </c:pt>
                <c:pt idx="37">
                  <c:v>139.64420424995558</c:v>
                </c:pt>
                <c:pt idx="38">
                  <c:v>129.55400089642353</c:v>
                </c:pt>
                <c:pt idx="39">
                  <c:v>118.99694131672523</c:v>
                </c:pt>
                <c:pt idx="40">
                  <c:v>108.21259771793756</c:v>
                </c:pt>
                <c:pt idx="41">
                  <c:v>97.426455378225256</c:v>
                </c:pt>
                <c:pt idx="42">
                  <c:v>86.842643844992935</c:v>
                </c:pt>
                <c:pt idx="43">
                  <c:v>76.638364205466402</c:v>
                </c:pt>
                <c:pt idx="44">
                  <c:v>66.960158252061689</c:v>
                </c:pt>
                <c:pt idx="45">
                  <c:v>57.922029638250862</c:v>
                </c:pt>
                <c:pt idx="46">
                  <c:v>49.60530529285608</c:v>
                </c:pt>
                <c:pt idx="47">
                  <c:v>42.060026047173899</c:v>
                </c:pt>
                <c:pt idx="48">
                  <c:v>35.307584159031677</c:v>
                </c:pt>
                <c:pt idx="49">
                  <c:v>29.34428444704232</c:v>
                </c:pt>
                <c:pt idx="50">
                  <c:v>24.145494258882113</c:v>
                </c:pt>
                <c:pt idx="51">
                  <c:v>19.670062101422779</c:v>
                </c:pt>
                <c:pt idx="52">
                  <c:v>15.864720215660022</c:v>
                </c:pt>
                <c:pt idx="53">
                  <c:v>12.668236398285201</c:v>
                </c:pt>
                <c:pt idx="54">
                  <c:v>10.015138412688389</c:v>
                </c:pt>
                <c:pt idx="55">
                  <c:v>7.838894286732236</c:v>
                </c:pt>
                <c:pt idx="56">
                  <c:v>6.0744885085621618</c:v>
                </c:pt>
                <c:pt idx="57">
                  <c:v>4.6603837268280044</c:v>
                </c:pt>
                <c:pt idx="58">
                  <c:v>3.5398975624301334</c:v>
                </c:pt>
                <c:pt idx="59">
                  <c:v>2.6620534257781356</c:v>
                </c:pt>
                <c:pt idx="60">
                  <c:v>1.9819828630138439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AE1-4451-8E7D-A4782773ED3F}"/>
            </c:ext>
          </c:extLst>
        </c:ser>
        <c:ser>
          <c:idx val="1"/>
          <c:order val="1"/>
          <c:spPr>
            <a:ln w="101600">
              <a:solidFill>
                <a:schemeClr val="accent2"/>
              </a:solidFill>
            </a:ln>
          </c:spPr>
          <c:marker>
            <c:symbol val="none"/>
          </c:marker>
          <c:dLbls>
            <c:dLbl>
              <c:idx val="45"/>
              <c:layout>
                <c:manualLayout>
                  <c:x val="-7.988252446598873E-2"/>
                  <c:y val="1.1204481792717087E-2"/>
                </c:manualLayout>
              </c:layout>
              <c:tx>
                <c:rich>
                  <a:bodyPr/>
                  <a:lstStyle/>
                  <a:p>
                    <a:r>
                      <a:rPr lang="el-GR" sz="1600" b="1"/>
                      <a:t>1-</a:t>
                    </a:r>
                    <a:r>
                      <a:rPr lang="el-GR" sz="1600" b="1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β</a:t>
                    </a:r>
                    <a:endParaRPr lang="el-GR" sz="1600" b="1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AE1-4451-8E7D-A4782773ED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Puissance!$AA$11:$AA$71</c:f>
              <c:numCache>
                <c:formatCode>0.00</c:formatCode>
                <c:ptCount val="61"/>
                <c:pt idx="0">
                  <c:v>1.9432917960675007</c:v>
                </c:pt>
                <c:pt idx="1">
                  <c:v>1.9435154028652506</c:v>
                </c:pt>
                <c:pt idx="2">
                  <c:v>1.9437390096630005</c:v>
                </c:pt>
                <c:pt idx="3">
                  <c:v>1.9439626164607504</c:v>
                </c:pt>
                <c:pt idx="4">
                  <c:v>1.9441862232585005</c:v>
                </c:pt>
                <c:pt idx="5">
                  <c:v>1.9444098300562505</c:v>
                </c:pt>
                <c:pt idx="6">
                  <c:v>1.9446334368540004</c:v>
                </c:pt>
                <c:pt idx="7">
                  <c:v>1.9448570436517505</c:v>
                </c:pt>
                <c:pt idx="8">
                  <c:v>1.9450806504495004</c:v>
                </c:pt>
                <c:pt idx="9">
                  <c:v>1.9453042572472503</c:v>
                </c:pt>
                <c:pt idx="10">
                  <c:v>1.9455278640450004</c:v>
                </c:pt>
                <c:pt idx="11">
                  <c:v>1.9457514708427504</c:v>
                </c:pt>
                <c:pt idx="12">
                  <c:v>1.9459750776405003</c:v>
                </c:pt>
                <c:pt idx="13">
                  <c:v>1.9461986844382504</c:v>
                </c:pt>
                <c:pt idx="14">
                  <c:v>1.9464222912360003</c:v>
                </c:pt>
                <c:pt idx="15">
                  <c:v>1.9466458980337502</c:v>
                </c:pt>
                <c:pt idx="16">
                  <c:v>1.9468695048315003</c:v>
                </c:pt>
                <c:pt idx="17">
                  <c:v>1.9470931116292503</c:v>
                </c:pt>
                <c:pt idx="18">
                  <c:v>1.9473167184270002</c:v>
                </c:pt>
                <c:pt idx="19">
                  <c:v>1.9475403252247503</c:v>
                </c:pt>
                <c:pt idx="20">
                  <c:v>1.9477639320225002</c:v>
                </c:pt>
                <c:pt idx="21">
                  <c:v>1.9479875388202501</c:v>
                </c:pt>
                <c:pt idx="22">
                  <c:v>1.948211145618</c:v>
                </c:pt>
                <c:pt idx="23">
                  <c:v>1.9484347524157501</c:v>
                </c:pt>
                <c:pt idx="24">
                  <c:v>1.9486583592135001</c:v>
                </c:pt>
                <c:pt idx="25">
                  <c:v>1.94888196601125</c:v>
                </c:pt>
                <c:pt idx="26">
                  <c:v>1.9491055728090001</c:v>
                </c:pt>
                <c:pt idx="27">
                  <c:v>1.94932917960675</c:v>
                </c:pt>
                <c:pt idx="28">
                  <c:v>1.9495527864044999</c:v>
                </c:pt>
                <c:pt idx="29">
                  <c:v>1.94977639320225</c:v>
                </c:pt>
                <c:pt idx="30">
                  <c:v>1.95</c:v>
                </c:pt>
                <c:pt idx="31">
                  <c:v>1.9502236067977499</c:v>
                </c:pt>
                <c:pt idx="32">
                  <c:v>1.9504472135955</c:v>
                </c:pt>
                <c:pt idx="33">
                  <c:v>1.9506708203932499</c:v>
                </c:pt>
                <c:pt idx="34">
                  <c:v>1.9508944271909998</c:v>
                </c:pt>
                <c:pt idx="35">
                  <c:v>1.9511180339887499</c:v>
                </c:pt>
                <c:pt idx="36">
                  <c:v>1.9513416407864999</c:v>
                </c:pt>
                <c:pt idx="37">
                  <c:v>1.9515652475842498</c:v>
                </c:pt>
                <c:pt idx="38">
                  <c:v>1.9517888543819999</c:v>
                </c:pt>
                <c:pt idx="39">
                  <c:v>1.9520124611797498</c:v>
                </c:pt>
                <c:pt idx="40">
                  <c:v>1.9522360679774997</c:v>
                </c:pt>
                <c:pt idx="41">
                  <c:v>1.9524596747752496</c:v>
                </c:pt>
                <c:pt idx="42">
                  <c:v>1.9526832815729998</c:v>
                </c:pt>
                <c:pt idx="43">
                  <c:v>1.9529068883707497</c:v>
                </c:pt>
                <c:pt idx="44">
                  <c:v>1.9531304951684996</c:v>
                </c:pt>
                <c:pt idx="45">
                  <c:v>1.9533541019662497</c:v>
                </c:pt>
                <c:pt idx="46">
                  <c:v>1.9535777087639996</c:v>
                </c:pt>
                <c:pt idx="47">
                  <c:v>1.9538013155617495</c:v>
                </c:pt>
                <c:pt idx="48">
                  <c:v>1.9540249223594996</c:v>
                </c:pt>
                <c:pt idx="49">
                  <c:v>1.9542485291572496</c:v>
                </c:pt>
                <c:pt idx="50">
                  <c:v>1.9544721359549995</c:v>
                </c:pt>
                <c:pt idx="51">
                  <c:v>1.9546957427527496</c:v>
                </c:pt>
                <c:pt idx="52">
                  <c:v>1.9549193495504995</c:v>
                </c:pt>
                <c:pt idx="53">
                  <c:v>1.9551429563482494</c:v>
                </c:pt>
                <c:pt idx="54">
                  <c:v>1.9553665631459995</c:v>
                </c:pt>
                <c:pt idx="55">
                  <c:v>1.9555901699437495</c:v>
                </c:pt>
                <c:pt idx="56">
                  <c:v>1.9558137767414994</c:v>
                </c:pt>
                <c:pt idx="57">
                  <c:v>1.9560373835392495</c:v>
                </c:pt>
                <c:pt idx="58">
                  <c:v>1.9562609903369994</c:v>
                </c:pt>
                <c:pt idx="59">
                  <c:v>1.9564845971347493</c:v>
                </c:pt>
                <c:pt idx="60">
                  <c:v>1.9567082039324992</c:v>
                </c:pt>
              </c:numCache>
            </c:numRef>
          </c:xVal>
          <c:yVal>
            <c:numRef>
              <c:f>Puissance!$AB$11:$AB$71</c:f>
              <c:numCache>
                <c:formatCode>0.00</c:formatCode>
                <c:ptCount val="61"/>
                <c:pt idx="0">
                  <c:v>1.9819828630138439</c:v>
                </c:pt>
                <c:pt idx="1">
                  <c:v>2.6620534257781356</c:v>
                </c:pt>
                <c:pt idx="2">
                  <c:v>3.5398975624301334</c:v>
                </c:pt>
                <c:pt idx="3">
                  <c:v>4.6603837268280044</c:v>
                </c:pt>
                <c:pt idx="4">
                  <c:v>6.0744885085621618</c:v>
                </c:pt>
                <c:pt idx="5">
                  <c:v>7.838894286732236</c:v>
                </c:pt>
                <c:pt idx="6">
                  <c:v>10.015138412688389</c:v>
                </c:pt>
                <c:pt idx="7">
                  <c:v>12.668236398285201</c:v>
                </c:pt>
                <c:pt idx="8">
                  <c:v>15.864720215660022</c:v>
                </c:pt>
                <c:pt idx="9">
                  <c:v>19.670062101422779</c:v>
                </c:pt>
                <c:pt idx="10">
                  <c:v>24.145494258882113</c:v>
                </c:pt>
                <c:pt idx="11">
                  <c:v>29.34428444704232</c:v>
                </c:pt>
                <c:pt idx="12">
                  <c:v>35.307584159031677</c:v>
                </c:pt>
                <c:pt idx="13">
                  <c:v>42.060026047173899</c:v>
                </c:pt>
                <c:pt idx="14">
                  <c:v>49.60530529285608</c:v>
                </c:pt>
                <c:pt idx="15">
                  <c:v>57.922029638250862</c:v>
                </c:pt>
                <c:pt idx="16">
                  <c:v>66.960158252061689</c:v>
                </c:pt>
                <c:pt idx="17">
                  <c:v>76.638364205466402</c:v>
                </c:pt>
                <c:pt idx="18">
                  <c:v>86.842643844992935</c:v>
                </c:pt>
                <c:pt idx="19">
                  <c:v>97.426455378225256</c:v>
                </c:pt>
                <c:pt idx="20">
                  <c:v>108.21259771793756</c:v>
                </c:pt>
                <c:pt idx="21">
                  <c:v>118.99694131672523</c:v>
                </c:pt>
                <c:pt idx="22">
                  <c:v>129.55400089642353</c:v>
                </c:pt>
                <c:pt idx="23">
                  <c:v>139.64420424995558</c:v>
                </c:pt>
                <c:pt idx="24">
                  <c:v>149.02257276828644</c:v>
                </c:pt>
                <c:pt idx="25">
                  <c:v>157.44840063312662</c:v>
                </c:pt>
                <c:pt idx="26">
                  <c:v>164.69541356032488</c:v>
                </c:pt>
                <c:pt idx="27">
                  <c:v>170.56181623197514</c:v>
                </c:pt>
                <c:pt idx="28">
                  <c:v>174.87960916675209</c:v>
                </c:pt>
                <c:pt idx="29">
                  <c:v>177.52257600006274</c:v>
                </c:pt>
                <c:pt idx="30">
                  <c:v>178.41241161527711</c:v>
                </c:pt>
                <c:pt idx="31">
                  <c:v>177.52257600006274</c:v>
                </c:pt>
                <c:pt idx="32">
                  <c:v>174.87960916675209</c:v>
                </c:pt>
                <c:pt idx="33">
                  <c:v>170.56181623197514</c:v>
                </c:pt>
                <c:pt idx="34">
                  <c:v>164.69541356032488</c:v>
                </c:pt>
                <c:pt idx="35">
                  <c:v>157.44840063312662</c:v>
                </c:pt>
                <c:pt idx="36">
                  <c:v>149.02257276828644</c:v>
                </c:pt>
                <c:pt idx="37">
                  <c:v>139.64420424995558</c:v>
                </c:pt>
                <c:pt idx="38">
                  <c:v>129.55400089642353</c:v>
                </c:pt>
                <c:pt idx="39">
                  <c:v>118.99694131672523</c:v>
                </c:pt>
                <c:pt idx="40">
                  <c:v>108.21259771793756</c:v>
                </c:pt>
                <c:pt idx="41">
                  <c:v>97.426455378225256</c:v>
                </c:pt>
                <c:pt idx="42">
                  <c:v>86.842643844992935</c:v>
                </c:pt>
                <c:pt idx="43">
                  <c:v>76.638364205466402</c:v>
                </c:pt>
                <c:pt idx="44">
                  <c:v>66.960158252061689</c:v>
                </c:pt>
                <c:pt idx="45">
                  <c:v>57.922029638250862</c:v>
                </c:pt>
                <c:pt idx="46">
                  <c:v>49.60530529285608</c:v>
                </c:pt>
                <c:pt idx="47">
                  <c:v>42.060026047173899</c:v>
                </c:pt>
                <c:pt idx="48">
                  <c:v>35.307584159031677</c:v>
                </c:pt>
                <c:pt idx="49">
                  <c:v>29.34428444704232</c:v>
                </c:pt>
                <c:pt idx="50">
                  <c:v>24.145494258882113</c:v>
                </c:pt>
                <c:pt idx="51">
                  <c:v>19.670062101422779</c:v>
                </c:pt>
                <c:pt idx="52">
                  <c:v>15.864720215660022</c:v>
                </c:pt>
                <c:pt idx="53">
                  <c:v>12.668236398285201</c:v>
                </c:pt>
                <c:pt idx="54">
                  <c:v>10.015138412688389</c:v>
                </c:pt>
                <c:pt idx="55">
                  <c:v>7.838894286732236</c:v>
                </c:pt>
                <c:pt idx="56">
                  <c:v>6.0744885085621618</c:v>
                </c:pt>
                <c:pt idx="57">
                  <c:v>4.6603837268280044</c:v>
                </c:pt>
                <c:pt idx="58">
                  <c:v>3.5398975624301334</c:v>
                </c:pt>
                <c:pt idx="59">
                  <c:v>2.6620534257781356</c:v>
                </c:pt>
                <c:pt idx="60">
                  <c:v>1.9819828630138439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AE1-4451-8E7D-A4782773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9387072"/>
        <c:axId val="-29387616"/>
      </c:scatterChart>
      <c:valAx>
        <c:axId val="-2939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 sz="2000" i="1"/>
                  <a:t>X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29391968"/>
        <c:crosses val="autoZero"/>
        <c:crossBetween val="midCat"/>
      </c:valAx>
      <c:valAx>
        <c:axId val="-29391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 sz="2000" b="1" i="1"/>
                  <a:t>P(X)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29396320"/>
        <c:crosses val="autoZero"/>
        <c:crossBetween val="midCat"/>
      </c:valAx>
      <c:valAx>
        <c:axId val="-293876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-29387072"/>
        <c:crosses val="max"/>
        <c:crossBetween val="midCat"/>
      </c:valAx>
      <c:valAx>
        <c:axId val="-293870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29387616"/>
        <c:crosses val="autoZero"/>
        <c:crossBetween val="midCat"/>
      </c:valAx>
      <c:spPr>
        <a:ln>
          <a:prstDash val="dash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6394759171696"/>
          <c:y val="3.4539132036574709E-2"/>
          <c:w val="0.81773691788763958"/>
          <c:h val="0.81468450787579039"/>
        </c:manualLayout>
      </c:layout>
      <c:scatterChart>
        <c:scatterStyle val="smoothMarker"/>
        <c:varyColors val="0"/>
        <c:ser>
          <c:idx val="4"/>
          <c:order val="1"/>
          <c:tx>
            <c:v>my m1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tx2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3025-49DE-BB9C-50C16D247FA0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 sz="2000" b="1"/>
                      <a:t>m1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025-49DE-BB9C-50C16D247F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Capabilité!$F$31:$F$32</c:f>
              <c:numCache>
                <c:formatCode>0.00</c:formatCode>
                <c:ptCount val="2"/>
                <c:pt idx="0">
                  <c:v>1.8</c:v>
                </c:pt>
                <c:pt idx="1">
                  <c:v>1.8</c:v>
                </c:pt>
              </c:numCache>
            </c:numRef>
          </c:xVal>
          <c:yVal>
            <c:numRef>
              <c:f>Capabilité!$G$31:$G$32</c:f>
              <c:numCache>
                <c:formatCode>0.00</c:formatCode>
                <c:ptCount val="2"/>
                <c:pt idx="0">
                  <c:v>7.9788456080286538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25-49DE-BB9C-50C16D247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629504"/>
        <c:axId val="-92626784"/>
      </c:scatterChart>
      <c:scatterChart>
        <c:scatterStyle val="smoothMarker"/>
        <c:varyColors val="0"/>
        <c:ser>
          <c:idx val="0"/>
          <c:order val="0"/>
          <c:spPr>
            <a:ln w="101600"/>
          </c:spPr>
          <c:marker>
            <c:symbol val="none"/>
          </c:marker>
          <c:xVal>
            <c:numRef>
              <c:f>Capabilité!$G$35:$G$95</c:f>
              <c:numCache>
                <c:formatCode>0.00</c:formatCode>
                <c:ptCount val="61"/>
                <c:pt idx="0">
                  <c:v>1.65</c:v>
                </c:pt>
                <c:pt idx="1">
                  <c:v>1.655</c:v>
                </c:pt>
                <c:pt idx="2">
                  <c:v>1.6600000000000001</c:v>
                </c:pt>
                <c:pt idx="3">
                  <c:v>1.665</c:v>
                </c:pt>
                <c:pt idx="4">
                  <c:v>1.67</c:v>
                </c:pt>
                <c:pt idx="5">
                  <c:v>1.675</c:v>
                </c:pt>
                <c:pt idx="6">
                  <c:v>1.6800000000000002</c:v>
                </c:pt>
                <c:pt idx="7">
                  <c:v>1.6850000000000001</c:v>
                </c:pt>
                <c:pt idx="8">
                  <c:v>1.69</c:v>
                </c:pt>
                <c:pt idx="9">
                  <c:v>1.6950000000000001</c:v>
                </c:pt>
                <c:pt idx="10">
                  <c:v>1.7</c:v>
                </c:pt>
                <c:pt idx="11">
                  <c:v>1.7050000000000001</c:v>
                </c:pt>
                <c:pt idx="12">
                  <c:v>1.71</c:v>
                </c:pt>
                <c:pt idx="13">
                  <c:v>1.7150000000000001</c:v>
                </c:pt>
                <c:pt idx="14">
                  <c:v>1.72</c:v>
                </c:pt>
                <c:pt idx="15">
                  <c:v>1.7250000000000001</c:v>
                </c:pt>
                <c:pt idx="16">
                  <c:v>1.73</c:v>
                </c:pt>
                <c:pt idx="17">
                  <c:v>1.7350000000000001</c:v>
                </c:pt>
                <c:pt idx="18">
                  <c:v>1.74</c:v>
                </c:pt>
                <c:pt idx="19">
                  <c:v>1.7450000000000001</c:v>
                </c:pt>
                <c:pt idx="20">
                  <c:v>1.75</c:v>
                </c:pt>
                <c:pt idx="21">
                  <c:v>1.7550000000000001</c:v>
                </c:pt>
                <c:pt idx="22">
                  <c:v>1.76</c:v>
                </c:pt>
                <c:pt idx="23">
                  <c:v>1.7650000000000001</c:v>
                </c:pt>
                <c:pt idx="24">
                  <c:v>1.77</c:v>
                </c:pt>
                <c:pt idx="25">
                  <c:v>1.7750000000000001</c:v>
                </c:pt>
                <c:pt idx="26">
                  <c:v>1.78</c:v>
                </c:pt>
                <c:pt idx="27">
                  <c:v>1.7850000000000001</c:v>
                </c:pt>
                <c:pt idx="28">
                  <c:v>1.79</c:v>
                </c:pt>
                <c:pt idx="29">
                  <c:v>1.7950000000000002</c:v>
                </c:pt>
                <c:pt idx="30">
                  <c:v>1.8</c:v>
                </c:pt>
                <c:pt idx="31">
                  <c:v>1.8049999999999999</c:v>
                </c:pt>
                <c:pt idx="32">
                  <c:v>1.81</c:v>
                </c:pt>
                <c:pt idx="33">
                  <c:v>1.8149999999999999</c:v>
                </c:pt>
                <c:pt idx="34">
                  <c:v>1.82</c:v>
                </c:pt>
                <c:pt idx="35">
                  <c:v>1.825</c:v>
                </c:pt>
                <c:pt idx="36">
                  <c:v>1.83</c:v>
                </c:pt>
                <c:pt idx="37">
                  <c:v>1.835</c:v>
                </c:pt>
                <c:pt idx="38">
                  <c:v>1.84</c:v>
                </c:pt>
                <c:pt idx="39">
                  <c:v>1.845</c:v>
                </c:pt>
                <c:pt idx="40">
                  <c:v>1.85</c:v>
                </c:pt>
                <c:pt idx="41">
                  <c:v>1.855</c:v>
                </c:pt>
                <c:pt idx="42">
                  <c:v>1.86</c:v>
                </c:pt>
                <c:pt idx="43">
                  <c:v>1.865</c:v>
                </c:pt>
                <c:pt idx="44">
                  <c:v>1.87</c:v>
                </c:pt>
                <c:pt idx="45">
                  <c:v>1.875</c:v>
                </c:pt>
                <c:pt idx="46">
                  <c:v>1.8800000000000001</c:v>
                </c:pt>
                <c:pt idx="47">
                  <c:v>1.885</c:v>
                </c:pt>
                <c:pt idx="48">
                  <c:v>1.8900000000000001</c:v>
                </c:pt>
                <c:pt idx="49">
                  <c:v>1.895</c:v>
                </c:pt>
                <c:pt idx="50">
                  <c:v>1.9000000000000001</c:v>
                </c:pt>
                <c:pt idx="51">
                  <c:v>1.905</c:v>
                </c:pt>
                <c:pt idx="52">
                  <c:v>1.9100000000000001</c:v>
                </c:pt>
                <c:pt idx="53">
                  <c:v>1.915</c:v>
                </c:pt>
                <c:pt idx="54">
                  <c:v>1.92</c:v>
                </c:pt>
                <c:pt idx="55">
                  <c:v>1.925</c:v>
                </c:pt>
                <c:pt idx="56">
                  <c:v>1.9300000000000002</c:v>
                </c:pt>
                <c:pt idx="57">
                  <c:v>1.9350000000000001</c:v>
                </c:pt>
                <c:pt idx="58">
                  <c:v>1.94</c:v>
                </c:pt>
                <c:pt idx="59">
                  <c:v>1.9450000000000001</c:v>
                </c:pt>
                <c:pt idx="60">
                  <c:v>1.9500000000000002</c:v>
                </c:pt>
              </c:numCache>
            </c:numRef>
          </c:xVal>
          <c:yVal>
            <c:numRef>
              <c:f>Capabilité!$H$35:$H$95</c:f>
              <c:numCache>
                <c:formatCode>0.00</c:formatCode>
                <c:ptCount val="61"/>
                <c:pt idx="0">
                  <c:v>8.8636968238759439E-2</c:v>
                </c:pt>
                <c:pt idx="1">
                  <c:v>0.11905064839551695</c:v>
                </c:pt>
                <c:pt idx="2">
                  <c:v>0.15830903165960014</c:v>
                </c:pt>
                <c:pt idx="3">
                  <c:v>0.2084186962884518</c:v>
                </c:pt>
                <c:pt idx="4">
                  <c:v>0.2716593846737107</c:v>
                </c:pt>
                <c:pt idx="5">
                  <c:v>0.35056600987137082</c:v>
                </c:pt>
                <c:pt idx="6">
                  <c:v>0.44789060589686036</c:v>
                </c:pt>
                <c:pt idx="7">
                  <c:v>0.56654075483202371</c:v>
                </c:pt>
                <c:pt idx="8">
                  <c:v>0.70949185692462557</c:v>
                </c:pt>
                <c:pt idx="9">
                  <c:v>0.87967191960854463</c:v>
                </c:pt>
                <c:pt idx="10">
                  <c:v>1.0798193302637571</c:v>
                </c:pt>
                <c:pt idx="11">
                  <c:v>1.3123162954935332</c:v>
                </c:pt>
                <c:pt idx="12">
                  <c:v>1.5790031660178787</c:v>
                </c:pt>
                <c:pt idx="13">
                  <c:v>1.8809815475377407</c:v>
                </c:pt>
                <c:pt idx="14">
                  <c:v>2.2184166935891065</c:v>
                </c:pt>
                <c:pt idx="15">
                  <c:v>2.5903519133178383</c:v>
                </c:pt>
                <c:pt idx="16">
                  <c:v>2.9945493127148919</c:v>
                </c:pt>
                <c:pt idx="17">
                  <c:v>3.4273718409561518</c:v>
                </c:pt>
                <c:pt idx="18">
                  <c:v>3.8837210996642537</c:v>
                </c:pt>
                <c:pt idx="19">
                  <c:v>4.3570435406510173</c:v>
                </c:pt>
                <c:pt idx="20">
                  <c:v>4.8394144903828629</c:v>
                </c:pt>
                <c:pt idx="21">
                  <c:v>5.321704997975103</c:v>
                </c:pt>
                <c:pt idx="22">
                  <c:v>5.793831055229651</c:v>
                </c:pt>
                <c:pt idx="23">
                  <c:v>6.2450786673352319</c:v>
                </c:pt>
                <c:pt idx="24">
                  <c:v>6.6644920578359903</c:v>
                </c:pt>
                <c:pt idx="25">
                  <c:v>7.0413065352859956</c:v>
                </c:pt>
                <c:pt idx="26">
                  <c:v>7.3654028060664647</c:v>
                </c:pt>
                <c:pt idx="27">
                  <c:v>7.6277563092104872</c:v>
                </c:pt>
                <c:pt idx="28">
                  <c:v>7.8208538795091176</c:v>
                </c:pt>
                <c:pt idx="29">
                  <c:v>7.9390509495402375</c:v>
                </c:pt>
                <c:pt idx="30">
                  <c:v>7.9788456080286538</c:v>
                </c:pt>
                <c:pt idx="31">
                  <c:v>7.9390509495402375</c:v>
                </c:pt>
                <c:pt idx="32">
                  <c:v>7.8208538795091176</c:v>
                </c:pt>
                <c:pt idx="33">
                  <c:v>7.6277563092104872</c:v>
                </c:pt>
                <c:pt idx="34">
                  <c:v>7.3654028060664647</c:v>
                </c:pt>
                <c:pt idx="35">
                  <c:v>7.0413065352859956</c:v>
                </c:pt>
                <c:pt idx="36">
                  <c:v>6.6644920578359903</c:v>
                </c:pt>
                <c:pt idx="37">
                  <c:v>6.2450786673352319</c:v>
                </c:pt>
                <c:pt idx="38">
                  <c:v>5.793831055229651</c:v>
                </c:pt>
                <c:pt idx="39">
                  <c:v>5.321704997975103</c:v>
                </c:pt>
                <c:pt idx="40">
                  <c:v>4.8394144903828629</c:v>
                </c:pt>
                <c:pt idx="41">
                  <c:v>4.3570435406510173</c:v>
                </c:pt>
                <c:pt idx="42">
                  <c:v>3.8837210996642537</c:v>
                </c:pt>
                <c:pt idx="43">
                  <c:v>3.4273718409561518</c:v>
                </c:pt>
                <c:pt idx="44">
                  <c:v>2.9945493127148919</c:v>
                </c:pt>
                <c:pt idx="45">
                  <c:v>2.5903519133178383</c:v>
                </c:pt>
                <c:pt idx="46">
                  <c:v>2.2184166935891065</c:v>
                </c:pt>
                <c:pt idx="47">
                  <c:v>1.8809815475377407</c:v>
                </c:pt>
                <c:pt idx="48">
                  <c:v>1.5790031660178787</c:v>
                </c:pt>
                <c:pt idx="49">
                  <c:v>1.3123162954935332</c:v>
                </c:pt>
                <c:pt idx="50">
                  <c:v>1.0798193302637571</c:v>
                </c:pt>
                <c:pt idx="51">
                  <c:v>0.87967191960854463</c:v>
                </c:pt>
                <c:pt idx="52">
                  <c:v>0.70949185692462557</c:v>
                </c:pt>
                <c:pt idx="53">
                  <c:v>0.56654075483202371</c:v>
                </c:pt>
                <c:pt idx="54">
                  <c:v>0.44789060589686036</c:v>
                </c:pt>
                <c:pt idx="55">
                  <c:v>0.35056600987137082</c:v>
                </c:pt>
                <c:pt idx="56">
                  <c:v>0.2716593846737107</c:v>
                </c:pt>
                <c:pt idx="57">
                  <c:v>0.2084186962884518</c:v>
                </c:pt>
                <c:pt idx="58">
                  <c:v>0.15830903165960014</c:v>
                </c:pt>
                <c:pt idx="59">
                  <c:v>0.11905064839551695</c:v>
                </c:pt>
                <c:pt idx="60">
                  <c:v>8.8636968238759439E-2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25-49DE-BB9C-50C16D247FA0}"/>
            </c:ext>
          </c:extLst>
        </c:ser>
        <c:ser>
          <c:idx val="1"/>
          <c:order val="2"/>
          <c:tx>
            <c:v>T-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dPt>
            <c:idx val="0"/>
            <c:bubble3D val="0"/>
            <c:spPr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025-49DE-BB9C-50C16D247FA0}"/>
              </c:ext>
            </c:extLst>
          </c:dPt>
          <c:dPt>
            <c:idx val="1"/>
            <c:bubble3D val="0"/>
            <c:spPr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025-49DE-BB9C-50C16D247FA0}"/>
              </c:ext>
            </c:extLst>
          </c:dPt>
          <c:xVal>
            <c:numRef>
              <c:f>Capabilité!$J$31:$J$32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Capabilité!$K$31:$K$32</c:f>
              <c:numCache>
                <c:formatCode>0.00</c:formatCode>
                <c:ptCount val="2"/>
                <c:pt idx="0">
                  <c:v>7.9788456080286538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025-49DE-BB9C-50C16D247FA0}"/>
            </c:ext>
          </c:extLst>
        </c:ser>
        <c:ser>
          <c:idx val="5"/>
          <c:order val="3"/>
          <c:tx>
            <c:v>T+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Capabilité!$H$31:$H$32</c:f>
              <c:numCache>
                <c:formatCode>0.00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xVal>
          <c:yVal>
            <c:numRef>
              <c:f>Capabilité!$I$31:$I$32</c:f>
              <c:numCache>
                <c:formatCode>0.00</c:formatCode>
                <c:ptCount val="2"/>
                <c:pt idx="0">
                  <c:v>7.9788456080286538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025-49DE-BB9C-50C16D247FA0}"/>
            </c:ext>
          </c:extLst>
        </c:ser>
        <c:ser>
          <c:idx val="2"/>
          <c:order val="4"/>
          <c:tx>
            <c:v>BDG+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Capabilité!$L$31:$L$32</c:f>
              <c:numCache>
                <c:formatCode>0.00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xVal>
          <c:yVal>
            <c:numRef>
              <c:f>Capabilité!$M$31:$M$32</c:f>
              <c:numCache>
                <c:formatCode>0.00</c:formatCode>
                <c:ptCount val="2"/>
                <c:pt idx="0">
                  <c:v>7.9788456080286538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25-49DE-BB9C-50C16D247FA0}"/>
            </c:ext>
          </c:extLst>
        </c:ser>
        <c:ser>
          <c:idx val="3"/>
          <c:order val="5"/>
          <c:tx>
            <c:v>BDG-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Capabilité!$N$31:$N$32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Capabilité!$O$31:$O$32</c:f>
              <c:numCache>
                <c:formatCode>0.00</c:formatCode>
                <c:ptCount val="2"/>
                <c:pt idx="0">
                  <c:v>7.9788456080286538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025-49DE-BB9C-50C16D247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22484288"/>
        <c:axId val="-1922474496"/>
      </c:scatterChart>
      <c:valAx>
        <c:axId val="-9262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 sz="2000" i="1"/>
                  <a:t>X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92626784"/>
        <c:crosses val="autoZero"/>
        <c:crossBetween val="midCat"/>
      </c:valAx>
      <c:valAx>
        <c:axId val="-926267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 sz="2000" b="1" i="1"/>
                  <a:t>P(X)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92629504"/>
        <c:crosses val="autoZero"/>
        <c:crossBetween val="midCat"/>
      </c:valAx>
      <c:valAx>
        <c:axId val="-1922474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-1922484288"/>
        <c:crosses val="max"/>
        <c:crossBetween val="midCat"/>
      </c:valAx>
      <c:valAx>
        <c:axId val="-19224842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1922474496"/>
        <c:crosses val="autoZero"/>
        <c:crossBetween val="midCat"/>
      </c:valAx>
      <c:spPr>
        <a:ln>
          <a:prstDash val="dash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246529</xdr:colOff>
      <xdr:row>1</xdr:row>
      <xdr:rowOff>28576</xdr:rowOff>
    </xdr:from>
    <xdr:to>
      <xdr:col>16</xdr:col>
      <xdr:colOff>257735</xdr:colOff>
      <xdr:row>24</xdr:row>
      <xdr:rowOff>180976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28671</xdr:colOff>
      <xdr:row>8</xdr:row>
      <xdr:rowOff>63105</xdr:rowOff>
    </xdr:from>
    <xdr:to>
      <xdr:col>19</xdr:col>
      <xdr:colOff>281212</xdr:colOff>
      <xdr:row>10</xdr:row>
      <xdr:rowOff>101205</xdr:rowOff>
    </xdr:to>
    <xdr:sp macro="" textlink="">
      <xdr:nvSpPr>
        <xdr:cNvPr id="3" name="Accolade ouvran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15477314" y="1523605"/>
          <a:ext cx="252541" cy="400957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399649</xdr:colOff>
      <xdr:row>1</xdr:row>
      <xdr:rowOff>164645</xdr:rowOff>
    </xdr:from>
    <xdr:to>
      <xdr:col>18</xdr:col>
      <xdr:colOff>470647</xdr:colOff>
      <xdr:row>23</xdr:row>
      <xdr:rowOff>56029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38</xdr:row>
      <xdr:rowOff>85725</xdr:rowOff>
    </xdr:from>
    <xdr:to>
      <xdr:col>1</xdr:col>
      <xdr:colOff>704850</xdr:colOff>
      <xdr:row>41</xdr:row>
      <xdr:rowOff>142875</xdr:rowOff>
    </xdr:to>
    <xdr:sp macro="" textlink="">
      <xdr:nvSpPr>
        <xdr:cNvPr id="2" name="Accolade ouvran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47775" y="7324725"/>
          <a:ext cx="219075" cy="6286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9</xdr:col>
      <xdr:colOff>654105</xdr:colOff>
      <xdr:row>4</xdr:row>
      <xdr:rowOff>76200</xdr:rowOff>
    </xdr:from>
    <xdr:to>
      <xdr:col>14</xdr:col>
      <xdr:colOff>476929</xdr:colOff>
      <xdr:row>29</xdr:row>
      <xdr:rowOff>24654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97" t="11780" r="3318" b="12157"/>
        <a:stretch/>
      </xdr:blipFill>
      <xdr:spPr>
        <a:xfrm>
          <a:off x="7512105" y="838200"/>
          <a:ext cx="3632824" cy="4710954"/>
        </a:xfrm>
        <a:prstGeom prst="rect">
          <a:avLst/>
        </a:prstGeom>
      </xdr:spPr>
    </xdr:pic>
    <xdr:clientData/>
  </xdr:twoCellAnchor>
  <xdr:twoCellAnchor editAs="oneCell">
    <xdr:from>
      <xdr:col>8</xdr:col>
      <xdr:colOff>299976</xdr:colOff>
      <xdr:row>44</xdr:row>
      <xdr:rowOff>151906</xdr:rowOff>
    </xdr:from>
    <xdr:to>
      <xdr:col>12</xdr:col>
      <xdr:colOff>713114</xdr:colOff>
      <xdr:row>68</xdr:row>
      <xdr:rowOff>92529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742" t="10183" r="23266" b="7008"/>
        <a:stretch/>
      </xdr:blipFill>
      <xdr:spPr>
        <a:xfrm>
          <a:off x="6395976" y="8533906"/>
          <a:ext cx="3461138" cy="4512623"/>
        </a:xfrm>
        <a:prstGeom prst="rect">
          <a:avLst/>
        </a:prstGeom>
      </xdr:spPr>
    </xdr:pic>
    <xdr:clientData/>
  </xdr:twoCellAnchor>
  <xdr:twoCellAnchor editAs="oneCell">
    <xdr:from>
      <xdr:col>10</xdr:col>
      <xdr:colOff>57829</xdr:colOff>
      <xdr:row>31</xdr:row>
      <xdr:rowOff>86245</xdr:rowOff>
    </xdr:from>
    <xdr:to>
      <xdr:col>14</xdr:col>
      <xdr:colOff>487578</xdr:colOff>
      <xdr:row>40</xdr:row>
      <xdr:rowOff>161764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2339" t="37505" r="26937" b="44636"/>
        <a:stretch/>
      </xdr:blipFill>
      <xdr:spPr>
        <a:xfrm>
          <a:off x="7677829" y="5991745"/>
          <a:ext cx="3477749" cy="1790019"/>
        </a:xfrm>
        <a:prstGeom prst="rect">
          <a:avLst/>
        </a:prstGeom>
      </xdr:spPr>
    </xdr:pic>
    <xdr:clientData/>
  </xdr:twoCellAnchor>
  <xdr:twoCellAnchor editAs="oneCell">
    <xdr:from>
      <xdr:col>15</xdr:col>
      <xdr:colOff>241401</xdr:colOff>
      <xdr:row>5</xdr:row>
      <xdr:rowOff>94690</xdr:rowOff>
    </xdr:from>
    <xdr:to>
      <xdr:col>21</xdr:col>
      <xdr:colOff>452889</xdr:colOff>
      <xdr:row>24</xdr:row>
      <xdr:rowOff>71798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269" t="11012" r="3757" b="4279"/>
        <a:stretch/>
      </xdr:blipFill>
      <xdr:spPr>
        <a:xfrm>
          <a:off x="11671401" y="856690"/>
          <a:ext cx="4783488" cy="3596608"/>
        </a:xfrm>
        <a:prstGeom prst="rect">
          <a:avLst/>
        </a:prstGeom>
      </xdr:spPr>
    </xdr:pic>
    <xdr:clientData/>
  </xdr:twoCellAnchor>
  <xdr:twoCellAnchor>
    <xdr:from>
      <xdr:col>1</xdr:col>
      <xdr:colOff>522218</xdr:colOff>
      <xdr:row>22</xdr:row>
      <xdr:rowOff>122997</xdr:rowOff>
    </xdr:from>
    <xdr:to>
      <xdr:col>1</xdr:col>
      <xdr:colOff>732597</xdr:colOff>
      <xdr:row>24</xdr:row>
      <xdr:rowOff>129623</xdr:rowOff>
    </xdr:to>
    <xdr:sp macro="" textlink="">
      <xdr:nvSpPr>
        <xdr:cNvPr id="7" name="Accolade ouvrant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84218" y="4313997"/>
          <a:ext cx="210379" cy="38762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486409</xdr:colOff>
      <xdr:row>83</xdr:row>
      <xdr:rowOff>111579</xdr:rowOff>
    </xdr:from>
    <xdr:to>
      <xdr:col>1</xdr:col>
      <xdr:colOff>705484</xdr:colOff>
      <xdr:row>86</xdr:row>
      <xdr:rowOff>168729</xdr:rowOff>
    </xdr:to>
    <xdr:sp macro="" textlink="">
      <xdr:nvSpPr>
        <xdr:cNvPr id="8" name="Accolade ouvrant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48409" y="15351579"/>
          <a:ext cx="219075" cy="6286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200025</xdr:colOff>
      <xdr:row>6</xdr:row>
      <xdr:rowOff>76200</xdr:rowOff>
    </xdr:from>
    <xdr:to>
      <xdr:col>11</xdr:col>
      <xdr:colOff>504825</xdr:colOff>
      <xdr:row>7</xdr:row>
      <xdr:rowOff>152400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7820025" y="1219200"/>
          <a:ext cx="10668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puissance test</a:t>
          </a:r>
        </a:p>
      </xdr:txBody>
    </xdr:sp>
    <xdr:clientData/>
  </xdr:twoCellAnchor>
  <xdr:twoCellAnchor>
    <xdr:from>
      <xdr:col>19</xdr:col>
      <xdr:colOff>285750</xdr:colOff>
      <xdr:row>11</xdr:row>
      <xdr:rowOff>76200</xdr:rowOff>
    </xdr:from>
    <xdr:to>
      <xdr:col>20</xdr:col>
      <xdr:colOff>590550</xdr:colOff>
      <xdr:row>12</xdr:row>
      <xdr:rowOff>152400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4763750" y="1981200"/>
          <a:ext cx="10668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recherche de n</a:t>
          </a:r>
        </a:p>
      </xdr:txBody>
    </xdr:sp>
    <xdr:clientData/>
  </xdr:twoCellAnchor>
  <xdr:twoCellAnchor>
    <xdr:from>
      <xdr:col>10</xdr:col>
      <xdr:colOff>367393</xdr:colOff>
      <xdr:row>49</xdr:row>
      <xdr:rowOff>24493</xdr:rowOff>
    </xdr:from>
    <xdr:to>
      <xdr:col>11</xdr:col>
      <xdr:colOff>672193</xdr:colOff>
      <xdr:row>50</xdr:row>
      <xdr:rowOff>100693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7987393" y="9358993"/>
          <a:ext cx="10668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puissance test</a:t>
          </a:r>
        </a:p>
      </xdr:txBody>
    </xdr:sp>
    <xdr:clientData/>
  </xdr:twoCellAnchor>
  <xdr:twoCellAnchor editAs="oneCell">
    <xdr:from>
      <xdr:col>19</xdr:col>
      <xdr:colOff>265508</xdr:colOff>
      <xdr:row>44</xdr:row>
      <xdr:rowOff>165489</xdr:rowOff>
    </xdr:from>
    <xdr:to>
      <xdr:col>23</xdr:col>
      <xdr:colOff>521148</xdr:colOff>
      <xdr:row>67</xdr:row>
      <xdr:rowOff>117661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550" t="9857" r="19213" b="7201"/>
        <a:stretch/>
      </xdr:blipFill>
      <xdr:spPr>
        <a:xfrm>
          <a:off x="14743508" y="8547489"/>
          <a:ext cx="3303640" cy="4333672"/>
        </a:xfrm>
        <a:prstGeom prst="rect">
          <a:avLst/>
        </a:prstGeom>
      </xdr:spPr>
    </xdr:pic>
    <xdr:clientData/>
  </xdr:twoCellAnchor>
  <xdr:twoCellAnchor editAs="oneCell">
    <xdr:from>
      <xdr:col>19</xdr:col>
      <xdr:colOff>69337</xdr:colOff>
      <xdr:row>72</xdr:row>
      <xdr:rowOff>88247</xdr:rowOff>
    </xdr:from>
    <xdr:to>
      <xdr:col>23</xdr:col>
      <xdr:colOff>470846</xdr:colOff>
      <xdr:row>96</xdr:row>
      <xdr:rowOff>36293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6388" t="13916" r="11998" b="8523"/>
        <a:stretch/>
      </xdr:blipFill>
      <xdr:spPr>
        <a:xfrm>
          <a:off x="14547337" y="13804247"/>
          <a:ext cx="3449509" cy="4520046"/>
        </a:xfrm>
        <a:prstGeom prst="rect">
          <a:avLst/>
        </a:prstGeom>
      </xdr:spPr>
    </xdr:pic>
    <xdr:clientData/>
  </xdr:twoCellAnchor>
  <xdr:twoCellAnchor editAs="oneCell">
    <xdr:from>
      <xdr:col>23</xdr:col>
      <xdr:colOff>567223</xdr:colOff>
      <xdr:row>48</xdr:row>
      <xdr:rowOff>142622</xdr:rowOff>
    </xdr:from>
    <xdr:to>
      <xdr:col>33</xdr:col>
      <xdr:colOff>753801</xdr:colOff>
      <xdr:row>82</xdr:row>
      <xdr:rowOff>159436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3223" y="9286622"/>
          <a:ext cx="7806578" cy="6493814"/>
        </a:xfrm>
        <a:prstGeom prst="rect">
          <a:avLst/>
        </a:prstGeom>
      </xdr:spPr>
    </xdr:pic>
    <xdr:clientData/>
  </xdr:twoCellAnchor>
  <xdr:twoCellAnchor>
    <xdr:from>
      <xdr:col>1</xdr:col>
      <xdr:colOff>495301</xdr:colOff>
      <xdr:row>67</xdr:row>
      <xdr:rowOff>76200</xdr:rowOff>
    </xdr:from>
    <xdr:to>
      <xdr:col>1</xdr:col>
      <xdr:colOff>666751</xdr:colOff>
      <xdr:row>69</xdr:row>
      <xdr:rowOff>114300</xdr:rowOff>
    </xdr:to>
    <xdr:sp macro="" textlink="">
      <xdr:nvSpPr>
        <xdr:cNvPr id="15" name="Accolade ouvrant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257301" y="12649200"/>
          <a:ext cx="171450" cy="4191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X162"/>
  <sheetViews>
    <sheetView showGridLines="0" tabSelected="1" zoomScale="70" zoomScaleNormal="70" workbookViewId="0">
      <selection activeCell="K68" sqref="K68"/>
    </sheetView>
  </sheetViews>
  <sheetFormatPr baseColWidth="10" defaultColWidth="11.42578125" defaultRowHeight="15" x14ac:dyDescent="0.25"/>
  <cols>
    <col min="1" max="1" width="4.42578125" style="114" customWidth="1"/>
    <col min="2" max="2" width="14" style="114" customWidth="1"/>
    <col min="3" max="3" width="13.28515625" style="114" customWidth="1"/>
    <col min="4" max="4" width="11.42578125" style="114"/>
    <col min="5" max="5" width="15.140625" style="114" customWidth="1"/>
    <col min="6" max="8" width="11.42578125" style="114"/>
    <col min="9" max="9" width="14.28515625" style="114" customWidth="1"/>
    <col min="10" max="10" width="11.42578125" style="114"/>
    <col min="11" max="11" width="13" style="114" customWidth="1"/>
    <col min="12" max="12" width="13.28515625" style="114" customWidth="1"/>
    <col min="13" max="17" width="11.42578125" style="114"/>
    <col min="18" max="18" width="11.85546875" style="114" customWidth="1"/>
    <col min="19" max="19" width="11.42578125" style="114"/>
    <col min="20" max="20" width="12.5703125" style="114" customWidth="1"/>
    <col min="21" max="21" width="11.42578125" style="114"/>
    <col min="22" max="50" width="11.42578125" style="234"/>
    <col min="51" max="16384" width="11.42578125" style="114"/>
  </cols>
  <sheetData>
    <row r="1" spans="1:50" ht="15.75" thickBot="1" x14ac:dyDescent="0.3"/>
    <row r="2" spans="1:50" x14ac:dyDescent="0.25">
      <c r="B2" s="11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</row>
    <row r="3" spans="1:50" x14ac:dyDescent="0.25">
      <c r="B3" s="176" t="s">
        <v>161</v>
      </c>
      <c r="C3" s="180" t="s">
        <v>163</v>
      </c>
      <c r="D3" s="180"/>
      <c r="E3" s="210" t="s">
        <v>158</v>
      </c>
      <c r="F3" s="211"/>
      <c r="G3" s="97"/>
      <c r="H3" s="59"/>
      <c r="I3" s="111"/>
      <c r="J3" s="111"/>
      <c r="K3" s="111"/>
      <c r="L3" s="111"/>
      <c r="M3" s="111"/>
      <c r="N3" s="111"/>
      <c r="O3" s="111"/>
      <c r="P3" s="111"/>
      <c r="Q3" s="111"/>
      <c r="R3" s="121" t="s">
        <v>189</v>
      </c>
      <c r="S3" s="121"/>
      <c r="T3" s="173"/>
      <c r="V3" s="234" t="s">
        <v>40</v>
      </c>
    </row>
    <row r="4" spans="1:50" x14ac:dyDescent="0.25">
      <c r="B4" s="105"/>
      <c r="C4" s="212" t="s">
        <v>184</v>
      </c>
      <c r="D4" s="213"/>
      <c r="E4" s="212" t="str">
        <f>IF(E3="1 population","cible","population 2")</f>
        <v>cible</v>
      </c>
      <c r="F4" s="213"/>
      <c r="G4" s="97"/>
      <c r="H4" s="59"/>
      <c r="I4" s="111"/>
      <c r="J4" s="111"/>
      <c r="K4" s="111"/>
      <c r="L4" s="111"/>
      <c r="M4" s="111"/>
      <c r="N4" s="111"/>
      <c r="O4" s="111"/>
      <c r="P4" s="111"/>
      <c r="Q4" s="111"/>
      <c r="T4" s="173"/>
      <c r="V4" s="234" t="s">
        <v>182</v>
      </c>
    </row>
    <row r="5" spans="1:50" x14ac:dyDescent="0.25">
      <c r="B5" s="122"/>
      <c r="C5" s="123" t="s">
        <v>27</v>
      </c>
      <c r="D5" s="124">
        <v>1.93</v>
      </c>
      <c r="E5" s="123" t="s">
        <v>29</v>
      </c>
      <c r="F5" s="125">
        <v>1.95</v>
      </c>
      <c r="G5" s="97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26" t="s">
        <v>27</v>
      </c>
      <c r="S5" s="129">
        <f>D5</f>
        <v>1.93</v>
      </c>
      <c r="T5" s="118"/>
      <c r="V5" s="234" t="s">
        <v>157</v>
      </c>
    </row>
    <row r="6" spans="1:50" x14ac:dyDescent="0.25">
      <c r="B6" s="122"/>
      <c r="C6" s="123" t="s">
        <v>31</v>
      </c>
      <c r="D6" s="124">
        <v>1E-4</v>
      </c>
      <c r="E6" s="178" t="s">
        <v>32</v>
      </c>
      <c r="F6" s="125"/>
      <c r="G6" s="97"/>
      <c r="H6" s="126"/>
      <c r="I6" s="128"/>
      <c r="J6" s="128"/>
      <c r="K6" s="128"/>
      <c r="L6" s="128"/>
      <c r="M6" s="128"/>
      <c r="N6" s="128"/>
      <c r="O6" s="128"/>
      <c r="P6" s="128"/>
      <c r="Q6" s="97"/>
      <c r="R6" s="26" t="s">
        <v>29</v>
      </c>
      <c r="S6" s="129">
        <f>F5</f>
        <v>1.95</v>
      </c>
      <c r="T6" s="118"/>
      <c r="V6" s="234" t="s">
        <v>158</v>
      </c>
    </row>
    <row r="7" spans="1:50" x14ac:dyDescent="0.25">
      <c r="B7" s="122"/>
      <c r="C7" s="123" t="s">
        <v>28</v>
      </c>
      <c r="D7" s="154">
        <v>20</v>
      </c>
      <c r="E7" s="123" t="s">
        <v>30</v>
      </c>
      <c r="F7" s="155"/>
      <c r="G7" s="97"/>
      <c r="H7" s="126"/>
      <c r="I7" s="128"/>
      <c r="J7" s="128"/>
      <c r="K7" s="128"/>
      <c r="L7" s="128"/>
      <c r="M7" s="128"/>
      <c r="N7" s="128"/>
      <c r="O7" s="128"/>
      <c r="P7" s="128"/>
      <c r="Q7" s="97"/>
      <c r="R7" s="160" t="s">
        <v>204</v>
      </c>
      <c r="S7" s="172">
        <f>ABS(S6-S5)</f>
        <v>2.0000000000000018E-2</v>
      </c>
      <c r="T7" s="118"/>
      <c r="W7" s="60"/>
      <c r="X7" s="235"/>
    </row>
    <row r="8" spans="1:50" x14ac:dyDescent="0.25">
      <c r="B8" s="176" t="s">
        <v>161</v>
      </c>
      <c r="C8" s="215" t="s">
        <v>159</v>
      </c>
      <c r="D8" s="215"/>
      <c r="E8" s="216" t="s">
        <v>182</v>
      </c>
      <c r="F8" s="217"/>
      <c r="G8" s="97"/>
      <c r="H8" s="126"/>
      <c r="I8" s="128"/>
      <c r="J8" s="128"/>
      <c r="K8" s="128"/>
      <c r="L8" s="128"/>
      <c r="M8" s="128"/>
      <c r="N8" s="128"/>
      <c r="O8" s="128"/>
      <c r="P8" s="128"/>
      <c r="Q8" s="97"/>
      <c r="R8" s="123" t="s">
        <v>150</v>
      </c>
      <c r="S8" s="129">
        <f>IF(E3="2 populations",S18,SQRT(D6))</f>
        <v>0.01</v>
      </c>
      <c r="T8" s="118"/>
    </row>
    <row r="9" spans="1:50" x14ac:dyDescent="0.25">
      <c r="B9" s="122"/>
      <c r="C9" s="180" t="s">
        <v>134</v>
      </c>
      <c r="D9" s="180"/>
      <c r="E9" s="180" t="str">
        <f>IF(D5&lt;F5,"H1 : m2 &gt; m1","H1 : m2 ≠ m1")</f>
        <v>H1 : m2 &gt; m1</v>
      </c>
      <c r="F9" s="180"/>
      <c r="G9" s="97"/>
      <c r="H9" s="126"/>
      <c r="I9" s="128"/>
      <c r="J9" s="128"/>
      <c r="K9" s="128"/>
      <c r="L9" s="128"/>
      <c r="M9" s="128"/>
      <c r="N9" s="128"/>
      <c r="O9" s="128"/>
      <c r="P9" s="128"/>
      <c r="Q9" s="97"/>
      <c r="R9" s="119" t="s">
        <v>188</v>
      </c>
      <c r="S9" s="131">
        <f>S7/S8</f>
        <v>2.0000000000000018</v>
      </c>
      <c r="T9" s="118"/>
    </row>
    <row r="10" spans="1:50" x14ac:dyDescent="0.25">
      <c r="B10" s="122"/>
      <c r="C10" s="174" t="s">
        <v>121</v>
      </c>
      <c r="D10" s="156">
        <f>IF(E8="bilatéral",0.05/2,0.05)</f>
        <v>2.5000000000000001E-2</v>
      </c>
      <c r="E10" s="130" t="s">
        <v>259</v>
      </c>
      <c r="F10" s="157">
        <f>1-F11</f>
        <v>0.99999922757019033</v>
      </c>
      <c r="G10" s="97"/>
      <c r="H10" s="126"/>
      <c r="I10" s="128"/>
      <c r="J10" s="128"/>
      <c r="K10" s="128"/>
      <c r="L10" s="128"/>
      <c r="M10" s="128"/>
      <c r="N10" s="128"/>
      <c r="O10" s="128"/>
      <c r="P10" s="128"/>
      <c r="Q10" s="97"/>
      <c r="R10" s="97"/>
      <c r="S10" s="132"/>
      <c r="T10" s="118"/>
      <c r="X10" s="60" t="s">
        <v>118</v>
      </c>
      <c r="Y10" s="60" t="s">
        <v>27</v>
      </c>
      <c r="Z10" s="60" t="s">
        <v>104</v>
      </c>
      <c r="AA10" s="60" t="s">
        <v>29</v>
      </c>
      <c r="AB10" s="60" t="s">
        <v>108</v>
      </c>
      <c r="AE10" s="234" t="s">
        <v>135</v>
      </c>
    </row>
    <row r="11" spans="1:50" x14ac:dyDescent="0.25">
      <c r="B11" s="122"/>
      <c r="C11" s="123" t="s">
        <v>258</v>
      </c>
      <c r="D11" s="133">
        <f>1-D10</f>
        <v>0.97499999999999998</v>
      </c>
      <c r="E11" s="175" t="s">
        <v>122</v>
      </c>
      <c r="F11" s="156">
        <f>IF(E3="2 populations",IF(S20&gt;S21,TDIST(S23,F7+D7-2,1),1-TDIST(S23,F7+D7-2,1)),IF(S20&gt;S21,TDIST(S23,D7-1,1),1-TDIST(S23,D7-1,1)))</f>
        <v>7.7242980970367753E-7</v>
      </c>
      <c r="G11" s="97"/>
      <c r="H11" s="126"/>
      <c r="I11" s="128"/>
      <c r="J11" s="128"/>
      <c r="K11" s="128"/>
      <c r="L11" s="128"/>
      <c r="M11" s="128"/>
      <c r="N11" s="128"/>
      <c r="O11" s="128"/>
      <c r="P11" s="128"/>
      <c r="Q11" s="97"/>
      <c r="R11" s="119" t="s">
        <v>188</v>
      </c>
      <c r="S11" s="131">
        <f>IF(E3="2 populations",SQRT(2/S12)*(S14+S16),SQRT(1/S12)*(S14+S16))</f>
        <v>0.32050477050967324</v>
      </c>
      <c r="T11" s="118"/>
      <c r="W11" s="238" t="s">
        <v>102</v>
      </c>
      <c r="X11" s="60">
        <v>3</v>
      </c>
      <c r="Y11" s="239">
        <f t="shared" ref="Y11:Y40" si="0">$Y$41-X11*$S$19</f>
        <v>1.9232917960675007</v>
      </c>
      <c r="Z11" s="239">
        <f t="shared" ref="Z11:Z42" si="1">NORMDIST(Y11,$D$5,$S$19,0)</f>
        <v>1.9819828630138439</v>
      </c>
      <c r="AA11" s="239">
        <f t="shared" ref="AA11:AA40" si="2">$AA$41-X11*$S$19</f>
        <v>1.9432917960675007</v>
      </c>
      <c r="AB11" s="239">
        <f t="shared" ref="AB11:AB42" si="3">NORMDIST(AA11,$F$5,$S$19,0)</f>
        <v>1.9819828630138439</v>
      </c>
      <c r="AE11" s="60" t="s">
        <v>264</v>
      </c>
      <c r="AF11" s="239" t="s">
        <v>114</v>
      </c>
      <c r="AG11" s="60" t="s">
        <v>115</v>
      </c>
      <c r="AI11" s="240" t="s">
        <v>105</v>
      </c>
      <c r="AJ11" s="240"/>
      <c r="AK11" s="240" t="s">
        <v>106</v>
      </c>
      <c r="AL11" s="240"/>
      <c r="AN11" s="241"/>
    </row>
    <row r="12" spans="1:50" x14ac:dyDescent="0.25">
      <c r="B12" s="122"/>
      <c r="C12" s="38"/>
      <c r="D12" s="97"/>
      <c r="E12" s="97"/>
      <c r="F12" s="97"/>
      <c r="G12" s="97"/>
      <c r="H12" s="126"/>
      <c r="I12" s="128"/>
      <c r="J12" s="128"/>
      <c r="K12" s="128"/>
      <c r="L12" s="128"/>
      <c r="M12" s="128"/>
      <c r="N12" s="128"/>
      <c r="O12" s="128"/>
      <c r="P12" s="128"/>
      <c r="Q12" s="97"/>
      <c r="R12" s="130" t="s">
        <v>162</v>
      </c>
      <c r="S12" s="135">
        <v>85</v>
      </c>
      <c r="T12" s="118" t="s">
        <v>185</v>
      </c>
      <c r="U12" s="134"/>
      <c r="X12" s="60">
        <v>2.9</v>
      </c>
      <c r="Y12" s="239">
        <f t="shared" si="0"/>
        <v>1.9235154028652506</v>
      </c>
      <c r="Z12" s="239">
        <f t="shared" si="1"/>
        <v>2.6620534257781356</v>
      </c>
      <c r="AA12" s="239">
        <f t="shared" si="2"/>
        <v>1.9435154028652506</v>
      </c>
      <c r="AB12" s="239">
        <f t="shared" si="3"/>
        <v>2.6620534257781356</v>
      </c>
      <c r="AE12" s="239">
        <f>NORMINV(AF12,D5,S19)</f>
        <v>1.9343826127028829</v>
      </c>
      <c r="AF12" s="239">
        <f>1-D10</f>
        <v>0.97499999999999998</v>
      </c>
      <c r="AG12" s="239">
        <f>NORMDIST(AE12,F5,S19,0)</f>
        <v>4.5589166916935453E-9</v>
      </c>
      <c r="AI12" s="239">
        <f>D5</f>
        <v>1.93</v>
      </c>
      <c r="AJ12" s="239">
        <f>Z41</f>
        <v>178.41241161527711</v>
      </c>
      <c r="AK12" s="239">
        <f>AA41</f>
        <v>1.95</v>
      </c>
      <c r="AL12" s="239">
        <f>AB41</f>
        <v>178.41241161527711</v>
      </c>
    </row>
    <row r="13" spans="1:50" x14ac:dyDescent="0.25">
      <c r="B13" s="207" t="s">
        <v>116</v>
      </c>
      <c r="C13" s="97" t="s">
        <v>260</v>
      </c>
      <c r="D13" s="97"/>
      <c r="E13" s="97"/>
      <c r="F13" s="97"/>
      <c r="G13" s="97"/>
      <c r="H13" s="126"/>
      <c r="I13" s="128"/>
      <c r="J13" s="128"/>
      <c r="K13" s="128"/>
      <c r="L13" s="128"/>
      <c r="M13" s="128"/>
      <c r="N13" s="128"/>
      <c r="O13" s="128"/>
      <c r="P13" s="128"/>
      <c r="Q13" s="97"/>
      <c r="R13" s="123" t="s">
        <v>4</v>
      </c>
      <c r="S13" s="177">
        <v>0.05</v>
      </c>
      <c r="T13" s="118" t="s">
        <v>186</v>
      </c>
      <c r="U13" s="134"/>
      <c r="X13" s="60">
        <v>2.8</v>
      </c>
      <c r="Y13" s="239">
        <f t="shared" si="0"/>
        <v>1.9237390096630005</v>
      </c>
      <c r="Z13" s="239">
        <f t="shared" si="1"/>
        <v>3.5398975624301334</v>
      </c>
      <c r="AA13" s="239">
        <f t="shared" si="2"/>
        <v>1.9437390096630005</v>
      </c>
      <c r="AB13" s="239">
        <f t="shared" si="3"/>
        <v>3.5398975624301334</v>
      </c>
      <c r="AE13" s="239">
        <f>AE12</f>
        <v>1.9343826127028829</v>
      </c>
      <c r="AF13" s="239">
        <v>0</v>
      </c>
      <c r="AG13" s="239">
        <f>NORMDIST(AE13,D5,S19,0)</f>
        <v>26.137429806754199</v>
      </c>
      <c r="AI13" s="239">
        <f>AI12</f>
        <v>1.93</v>
      </c>
      <c r="AJ13" s="239">
        <v>0</v>
      </c>
      <c r="AK13" s="239">
        <f>AA41</f>
        <v>1.95</v>
      </c>
      <c r="AL13" s="239">
        <v>0</v>
      </c>
    </row>
    <row r="14" spans="1:50" x14ac:dyDescent="0.25">
      <c r="A14" s="97"/>
      <c r="B14" s="208"/>
      <c r="C14" s="136" t="s">
        <v>261</v>
      </c>
      <c r="D14" s="137"/>
      <c r="E14" s="137"/>
      <c r="F14" s="137"/>
      <c r="G14" s="97"/>
      <c r="H14" s="126"/>
      <c r="I14" s="128"/>
      <c r="J14" s="128"/>
      <c r="K14" s="128"/>
      <c r="L14" s="128"/>
      <c r="M14" s="128"/>
      <c r="N14" s="128"/>
      <c r="O14" s="128"/>
      <c r="P14" s="128"/>
      <c r="Q14" s="97"/>
      <c r="R14" s="26" t="s">
        <v>5</v>
      </c>
      <c r="S14" s="138">
        <f>IF(E3="2 populations",TINV(S13*2,2*S12-2),TINV(2*S13,S12-1))</f>
        <v>1.6631966790489103</v>
      </c>
      <c r="T14" s="118" t="s">
        <v>187</v>
      </c>
      <c r="U14" s="134"/>
      <c r="X14" s="60">
        <v>2.7</v>
      </c>
      <c r="Y14" s="239">
        <f t="shared" si="0"/>
        <v>1.9239626164607504</v>
      </c>
      <c r="Z14" s="239">
        <f t="shared" si="1"/>
        <v>4.6603837268280044</v>
      </c>
      <c r="AA14" s="239">
        <f t="shared" si="2"/>
        <v>1.9439626164607504</v>
      </c>
      <c r="AB14" s="239">
        <f t="shared" si="3"/>
        <v>4.6603837268280044</v>
      </c>
      <c r="AE14" s="239" t="s">
        <v>4</v>
      </c>
      <c r="AF14" s="239" t="s">
        <v>136</v>
      </c>
    </row>
    <row r="15" spans="1:50" x14ac:dyDescent="0.25">
      <c r="B15" s="209" t="s">
        <v>117</v>
      </c>
      <c r="C15" s="97" t="s">
        <v>262</v>
      </c>
      <c r="D15" s="97"/>
      <c r="E15" s="97"/>
      <c r="F15" s="97"/>
      <c r="G15" s="97"/>
      <c r="H15" s="126"/>
      <c r="I15" s="128"/>
      <c r="J15" s="128"/>
      <c r="K15" s="128"/>
      <c r="L15" s="128"/>
      <c r="M15" s="128"/>
      <c r="N15" s="128"/>
      <c r="O15" s="128"/>
      <c r="P15" s="128"/>
      <c r="Q15" s="97"/>
      <c r="R15" s="123" t="s">
        <v>3</v>
      </c>
      <c r="S15" s="177">
        <v>0.1</v>
      </c>
      <c r="T15" s="118"/>
      <c r="X15" s="60">
        <v>2.6</v>
      </c>
      <c r="Y15" s="239">
        <f t="shared" si="0"/>
        <v>1.9241862232585005</v>
      </c>
      <c r="Z15" s="239">
        <f t="shared" si="1"/>
        <v>6.0744885085621618</v>
      </c>
      <c r="AA15" s="239">
        <f t="shared" si="2"/>
        <v>1.9441862232585005</v>
      </c>
      <c r="AB15" s="239">
        <f t="shared" si="3"/>
        <v>6.0744885085621618</v>
      </c>
      <c r="AE15" s="239">
        <f>NORMINV(AF15,D5,S19)</f>
        <v>1.925617387297117</v>
      </c>
      <c r="AF15" s="242">
        <f>D10</f>
        <v>2.5000000000000001E-2</v>
      </c>
      <c r="AU15" s="60" t="s">
        <v>139</v>
      </c>
      <c r="AV15" s="60"/>
      <c r="AW15" s="60" t="s">
        <v>141</v>
      </c>
    </row>
    <row r="16" spans="1:50" x14ac:dyDescent="0.25">
      <c r="B16" s="207"/>
      <c r="C16" s="111" t="s">
        <v>263</v>
      </c>
      <c r="D16" s="97"/>
      <c r="E16" s="97"/>
      <c r="F16" s="97"/>
      <c r="G16" s="97"/>
      <c r="H16" s="126"/>
      <c r="I16" s="128"/>
      <c r="J16" s="128"/>
      <c r="K16" s="128"/>
      <c r="L16" s="128"/>
      <c r="M16" s="128"/>
      <c r="N16" s="128"/>
      <c r="O16" s="128"/>
      <c r="P16" s="128"/>
      <c r="Q16" s="97"/>
      <c r="R16" s="26" t="s">
        <v>6</v>
      </c>
      <c r="S16" s="138">
        <f>IF(E3="2 populations",TINV(S15*2,2*S12-2),TINV(2*S15,S12-1))</f>
        <v>1.2917113014394768</v>
      </c>
      <c r="T16" s="118"/>
      <c r="X16" s="60">
        <v>2.5</v>
      </c>
      <c r="Y16" s="239">
        <f t="shared" si="0"/>
        <v>1.9244098300562504</v>
      </c>
      <c r="Z16" s="239">
        <f t="shared" si="1"/>
        <v>7.838894286732236</v>
      </c>
      <c r="AA16" s="239">
        <f t="shared" si="2"/>
        <v>1.9444098300562505</v>
      </c>
      <c r="AB16" s="239">
        <f t="shared" si="3"/>
        <v>7.838894286732236</v>
      </c>
      <c r="AE16" s="239">
        <f>AE15</f>
        <v>1.925617387297117</v>
      </c>
      <c r="AF16" s="239">
        <v>0</v>
      </c>
      <c r="AP16" s="60" t="s">
        <v>109</v>
      </c>
      <c r="AQ16" s="234" t="s">
        <v>265</v>
      </c>
      <c r="AR16" s="241" t="s">
        <v>139</v>
      </c>
      <c r="AS16" s="241" t="s">
        <v>140</v>
      </c>
      <c r="AT16" s="234" t="s">
        <v>110</v>
      </c>
      <c r="AU16" s="234" t="s">
        <v>104</v>
      </c>
      <c r="AV16" s="234" t="s">
        <v>107</v>
      </c>
      <c r="AW16" s="234" t="s">
        <v>107</v>
      </c>
      <c r="AX16" s="234" t="s">
        <v>110</v>
      </c>
    </row>
    <row r="17" spans="2:50" x14ac:dyDescent="0.25">
      <c r="B17" s="139"/>
      <c r="C17" s="97"/>
      <c r="D17" s="97"/>
      <c r="E17" s="97"/>
      <c r="F17" s="97"/>
      <c r="G17" s="97"/>
      <c r="H17" s="126"/>
      <c r="I17" s="128"/>
      <c r="J17" s="128"/>
      <c r="K17" s="128"/>
      <c r="L17" s="128"/>
      <c r="M17" s="128"/>
      <c r="N17" s="128"/>
      <c r="O17" s="128"/>
      <c r="P17" s="128"/>
      <c r="Q17" s="97"/>
      <c r="R17" s="97"/>
      <c r="S17" s="97"/>
      <c r="T17" s="118"/>
      <c r="X17" s="60">
        <v>2.4</v>
      </c>
      <c r="Y17" s="239">
        <f t="shared" si="0"/>
        <v>1.9246334368540003</v>
      </c>
      <c r="Z17" s="239">
        <f t="shared" si="1"/>
        <v>10.015138412688389</v>
      </c>
      <c r="AA17" s="239">
        <f t="shared" si="2"/>
        <v>1.9446334368540004</v>
      </c>
      <c r="AB17" s="239">
        <f t="shared" si="3"/>
        <v>10.015138412688389</v>
      </c>
      <c r="AI17" s="234" t="s">
        <v>142</v>
      </c>
      <c r="AK17" s="234" t="s">
        <v>143</v>
      </c>
      <c r="AP17" s="239">
        <v>0</v>
      </c>
      <c r="AQ17" s="239">
        <f>(Y71-Y11)-AF19</f>
        <v>1.109081663538225E-2</v>
      </c>
      <c r="AR17" s="239"/>
      <c r="AS17" s="239"/>
      <c r="AT17" s="239"/>
      <c r="AU17" s="239"/>
      <c r="AV17" s="239"/>
      <c r="AW17" s="239"/>
      <c r="AX17" s="239"/>
    </row>
    <row r="18" spans="2:50" x14ac:dyDescent="0.25">
      <c r="B18" s="139"/>
      <c r="C18" s="97"/>
      <c r="D18" s="97"/>
      <c r="E18" s="97"/>
      <c r="F18" s="97"/>
      <c r="G18" s="97"/>
      <c r="H18" s="126"/>
      <c r="I18" s="128"/>
      <c r="J18" s="128"/>
      <c r="K18" s="128"/>
      <c r="L18" s="128"/>
      <c r="M18" s="128"/>
      <c r="N18" s="128"/>
      <c r="O18" s="128"/>
      <c r="P18" s="128"/>
      <c r="Q18" s="128"/>
      <c r="R18" s="119" t="s">
        <v>150</v>
      </c>
      <c r="S18" s="120">
        <f>(SQRT(((D7-1)*D6+(F7-1)*F6)/(D7+F7-2)))</f>
        <v>1.0274023338281627E-2</v>
      </c>
      <c r="T18" s="140"/>
      <c r="X18" s="60">
        <v>2.2999999999999998</v>
      </c>
      <c r="Y18" s="239">
        <f t="shared" si="0"/>
        <v>1.9248570436517505</v>
      </c>
      <c r="Z18" s="239">
        <f t="shared" si="1"/>
        <v>12.668236398285201</v>
      </c>
      <c r="AA18" s="239">
        <f t="shared" si="2"/>
        <v>1.9448570436517505</v>
      </c>
      <c r="AB18" s="239">
        <f t="shared" si="3"/>
        <v>12.668236398285201</v>
      </c>
      <c r="AE18" s="60" t="s">
        <v>109</v>
      </c>
      <c r="AF18" s="234" t="s">
        <v>266</v>
      </c>
      <c r="AH18" s="234" t="s">
        <v>104</v>
      </c>
      <c r="AI18" s="234" t="s">
        <v>137</v>
      </c>
      <c r="AK18" s="234" t="s">
        <v>138</v>
      </c>
      <c r="AL18" s="234" t="str">
        <f>AH18</f>
        <v>p(x1)</v>
      </c>
      <c r="AP18" s="239">
        <v>0.01</v>
      </c>
      <c r="AQ18" s="239">
        <f t="shared" ref="AQ18:AQ49" si="4">$AQ$17-AP18*$AQ$17</f>
        <v>1.0979908469028427E-2</v>
      </c>
      <c r="AT18" s="241"/>
      <c r="AX18" s="239"/>
    </row>
    <row r="19" spans="2:50" x14ac:dyDescent="0.25">
      <c r="B19" s="122" t="s">
        <v>256</v>
      </c>
      <c r="C19" s="97"/>
      <c r="D19" s="97"/>
      <c r="E19" s="97"/>
      <c r="F19" s="97"/>
      <c r="G19" s="97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19" t="s">
        <v>160</v>
      </c>
      <c r="S19" s="120">
        <f>IF(E3="2 populations",(SQRT(((D7-1)*D6+(F7-1)*F6)/(D7+F7-2)))/SQRT((D7*F7)/(D7+F7)),SQRT(D6/D7))</f>
        <v>2.2360679774997899E-3</v>
      </c>
      <c r="T19" s="141"/>
      <c r="X19" s="60">
        <v>2.2000000000000002</v>
      </c>
      <c r="Y19" s="239">
        <f t="shared" si="0"/>
        <v>1.9250806504495004</v>
      </c>
      <c r="Z19" s="239">
        <f t="shared" si="1"/>
        <v>15.864720215660022</v>
      </c>
      <c r="AA19" s="239">
        <f t="shared" si="2"/>
        <v>1.9450806504495004</v>
      </c>
      <c r="AB19" s="239">
        <f t="shared" si="3"/>
        <v>15.864720215660022</v>
      </c>
      <c r="AE19" s="239">
        <v>0</v>
      </c>
      <c r="AF19" s="239">
        <f>(Y71-AE12)</f>
        <v>2.3255912296162862E-3</v>
      </c>
      <c r="AH19" s="239">
        <f>IF($D$5&gt;$F$5,IF($E$8="unilatéral","",NORMDIST(AI19,$D$5,$S$19,0)),NORMDIST(AI19,$D$5,$S$19,0))</f>
        <v>1.9819828630138439</v>
      </c>
      <c r="AI19" s="239">
        <f>$AE$12+AF19</f>
        <v>1.9367082039324992</v>
      </c>
      <c r="AK19" s="239">
        <f>$AE$15-AF19</f>
        <v>1.9232917960675007</v>
      </c>
      <c r="AL19" s="239">
        <f>IF($D$5&lt;=$F$5,IF($E$8="unilatéral","",NORMDIST(AI19,$D$5,$S$19,0)),NORMDIST(AI19,$D$5,$S$19,0))</f>
        <v>1.9819828630138439</v>
      </c>
      <c r="AP19" s="239">
        <v>0.02</v>
      </c>
      <c r="AQ19" s="239">
        <f t="shared" si="4"/>
        <v>1.0869000302674604E-2</v>
      </c>
      <c r="AR19" s="239">
        <f>IF($Y$11+AQ19&gt;$AE$15,$Y$11+AQ19,"")</f>
        <v>1.9341607963701752</v>
      </c>
      <c r="AS19" s="241">
        <f>$AK$60+AQ19</f>
        <v>1.9364863875997915</v>
      </c>
      <c r="AT19" s="239">
        <f t="shared" ref="AT19:AT20" si="5">IF($D$5&lt;=$F$5,AR19,AS19)</f>
        <v>1.9341607963701752</v>
      </c>
      <c r="AU19" s="239">
        <f>NORMDIST(AR19,$D$5,$S$19,0)</f>
        <v>31.591090863865748</v>
      </c>
      <c r="AV19" s="239">
        <f>NORMDIST(AR19,$F$5,$S$19,0)</f>
        <v>2.2689710885949973E-9</v>
      </c>
      <c r="AW19" s="239">
        <f>NORMDIST(AS19,$F$5,$S$19,0)</f>
        <v>2.0914055192864062E-6</v>
      </c>
      <c r="AX19" s="239">
        <f t="shared" ref="AX19" si="6">IF($D$5&lt;=$F$5,IF(AT19=AR19,AV19,AU19),AW19)</f>
        <v>2.2689710885949973E-9</v>
      </c>
    </row>
    <row r="20" spans="2:50" x14ac:dyDescent="0.25">
      <c r="B20" s="122" t="s">
        <v>183</v>
      </c>
      <c r="C20" s="97"/>
      <c r="D20" s="97"/>
      <c r="E20" s="97"/>
      <c r="F20" s="97"/>
      <c r="G20" s="97"/>
      <c r="H20" s="111"/>
      <c r="I20" s="60"/>
      <c r="J20" s="60"/>
      <c r="K20" s="60"/>
      <c r="L20" s="60"/>
      <c r="M20" s="60"/>
      <c r="N20" s="60"/>
      <c r="O20" s="60"/>
      <c r="P20" s="60"/>
      <c r="Q20" s="60"/>
      <c r="R20" s="119" t="s">
        <v>111</v>
      </c>
      <c r="S20" s="127">
        <f>((MAX(D5,F5)-MIN(D5,F5))/S19)</f>
        <v>8.9442719099991663</v>
      </c>
      <c r="T20" s="81"/>
      <c r="X20" s="60">
        <v>2.1</v>
      </c>
      <c r="Y20" s="239">
        <f t="shared" si="0"/>
        <v>1.9253042572472503</v>
      </c>
      <c r="Z20" s="239">
        <f t="shared" si="1"/>
        <v>19.670062101422779</v>
      </c>
      <c r="AA20" s="239">
        <f t="shared" si="2"/>
        <v>1.9453042572472503</v>
      </c>
      <c r="AB20" s="239">
        <f t="shared" si="3"/>
        <v>19.670062101422779</v>
      </c>
      <c r="AE20" s="239">
        <v>0.05</v>
      </c>
      <c r="AF20" s="239">
        <f t="shared" ref="AF20:AF39" si="7">$AF$19-AE20*$AF$19</f>
        <v>2.2093116681354717E-3</v>
      </c>
      <c r="AH20" s="234">
        <v>0</v>
      </c>
      <c r="AI20" s="241">
        <f>AI19</f>
        <v>1.9367082039324992</v>
      </c>
      <c r="AK20" s="241">
        <f>AK19</f>
        <v>1.9232917960675007</v>
      </c>
      <c r="AL20" s="243">
        <v>0</v>
      </c>
      <c r="AP20" s="239">
        <v>0.03</v>
      </c>
      <c r="AQ20" s="239">
        <f t="shared" si="4"/>
        <v>1.0758092136320783E-2</v>
      </c>
      <c r="AR20" s="241">
        <f>AR19</f>
        <v>1.9341607963701752</v>
      </c>
      <c r="AS20" s="241">
        <f>AS19</f>
        <v>1.9364863875997915</v>
      </c>
      <c r="AT20" s="239">
        <f t="shared" si="5"/>
        <v>1.9341607963701752</v>
      </c>
      <c r="AU20" s="243">
        <v>0</v>
      </c>
      <c r="AV20" s="243">
        <v>0</v>
      </c>
      <c r="AW20" s="243">
        <v>0</v>
      </c>
      <c r="AX20" s="243">
        <v>0</v>
      </c>
    </row>
    <row r="21" spans="2:50" x14ac:dyDescent="0.25">
      <c r="B21" s="122" t="s">
        <v>257</v>
      </c>
      <c r="C21" s="97"/>
      <c r="D21" s="97"/>
      <c r="E21" s="97"/>
      <c r="F21" s="97"/>
      <c r="G21" s="97"/>
      <c r="H21" s="126"/>
      <c r="I21" s="142"/>
      <c r="J21" s="111"/>
      <c r="K21" s="111"/>
      <c r="L21" s="111"/>
      <c r="M21" s="111"/>
      <c r="N21" s="111"/>
      <c r="O21" s="111"/>
      <c r="P21" s="111"/>
      <c r="Q21" s="111"/>
      <c r="R21" s="119" t="s">
        <v>5</v>
      </c>
      <c r="S21" s="127">
        <f>IF(E3="2 populations",TINV(D10*2,D7+F7-2),TINV(D10*2,D7-1))</f>
        <v>2.0930240544083096</v>
      </c>
      <c r="T21" s="143"/>
      <c r="X21" s="60">
        <v>2</v>
      </c>
      <c r="Y21" s="239">
        <f t="shared" si="0"/>
        <v>1.9255278640450004</v>
      </c>
      <c r="Z21" s="239">
        <f t="shared" si="1"/>
        <v>24.145494258882113</v>
      </c>
      <c r="AA21" s="239">
        <f t="shared" si="2"/>
        <v>1.9455278640450004</v>
      </c>
      <c r="AB21" s="239">
        <f t="shared" si="3"/>
        <v>24.145494258882113</v>
      </c>
      <c r="AE21" s="239">
        <v>0.1</v>
      </c>
      <c r="AF21" s="239">
        <f t="shared" si="7"/>
        <v>2.0930321066546576E-3</v>
      </c>
      <c r="AH21" s="239">
        <f>IF($D$5&gt;$F$5,IF($E$8="unilatéral","",NORMDIST(AI21,$D$5,$S$19,0)),NORMDIST(AI21,$D$5,$S$19,0))</f>
        <v>2.3134758677132075</v>
      </c>
      <c r="AI21" s="239">
        <f>$AE$12+AF20</f>
        <v>1.9365919243710183</v>
      </c>
      <c r="AK21" s="239">
        <f>$AE$15-AF20</f>
        <v>1.9234080756289815</v>
      </c>
      <c r="AL21" s="239">
        <f>IF($D$5&lt;=$F$5,IF($E$8="unilatéral","",NORMDIST(AI21,$D$5,$S$19,0)),NORMDIST(AI21,$D$5,$S$19,0))</f>
        <v>2.3134758677132075</v>
      </c>
      <c r="AP21" s="239">
        <v>0.04</v>
      </c>
      <c r="AQ21" s="239">
        <f t="shared" si="4"/>
        <v>1.064718396996696E-2</v>
      </c>
      <c r="AR21" s="239">
        <f>IF($Y$11+AQ21&gt;$AE$15,$Y$11+AQ21,"")</f>
        <v>1.9339389800374676</v>
      </c>
      <c r="AS21" s="241">
        <f>$AK$60+AQ21</f>
        <v>1.9362645712670838</v>
      </c>
      <c r="AT21" s="239">
        <f t="shared" ref="AT21:AT83" si="8">IF($D$5&lt;=$F$5,AR21,AS21)</f>
        <v>1.9339389800374676</v>
      </c>
      <c r="AU21" s="239">
        <f>NORMDIST(AR21,$D$5,$S$19,0)</f>
        <v>37.808782465792198</v>
      </c>
      <c r="AV21" s="239">
        <f>NORMDIST(AR21,$F$5,$S$19,0)</f>
        <v>1.1182079987480408E-9</v>
      </c>
      <c r="AW21" s="239">
        <f>NORMDIST(AS21,$F$5,$S$19,0)</f>
        <v>1.1427162454841899E-6</v>
      </c>
      <c r="AX21" s="239">
        <f t="shared" ref="AX21:AX52" si="9">IF($D$5&lt;=$F$5,IF(AT21=AR21,AV21,AU21),AW21)</f>
        <v>1.1182079987480408E-9</v>
      </c>
    </row>
    <row r="22" spans="2:50" x14ac:dyDescent="0.25">
      <c r="B22" s="122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19" t="s">
        <v>112</v>
      </c>
      <c r="S22" s="130" t="str">
        <f>IF(ABS(S20)&gt;S21, "H1","H0")</f>
        <v>H1</v>
      </c>
      <c r="T22" s="118"/>
      <c r="X22" s="60">
        <v>1.9</v>
      </c>
      <c r="Y22" s="239">
        <f t="shared" si="0"/>
        <v>1.9257514708427503</v>
      </c>
      <c r="Z22" s="239">
        <f t="shared" si="1"/>
        <v>29.34428444704232</v>
      </c>
      <c r="AA22" s="239">
        <f t="shared" si="2"/>
        <v>1.9457514708427504</v>
      </c>
      <c r="AB22" s="239">
        <f t="shared" si="3"/>
        <v>29.34428444704232</v>
      </c>
      <c r="AE22" s="239">
        <v>0.15</v>
      </c>
      <c r="AF22" s="239">
        <f t="shared" si="7"/>
        <v>1.9767525451738432E-3</v>
      </c>
      <c r="AH22" s="234">
        <v>0</v>
      </c>
      <c r="AI22" s="241">
        <f>AI21</f>
        <v>1.9365919243710183</v>
      </c>
      <c r="AK22" s="241">
        <f>AK21</f>
        <v>1.9234080756289815</v>
      </c>
      <c r="AL22" s="243">
        <v>0</v>
      </c>
      <c r="AP22" s="239">
        <v>0.05</v>
      </c>
      <c r="AQ22" s="239">
        <f t="shared" si="4"/>
        <v>1.0536275803613137E-2</v>
      </c>
      <c r="AR22" s="241">
        <f>AR21</f>
        <v>1.9339389800374676</v>
      </c>
      <c r="AS22" s="241">
        <f>AS21</f>
        <v>1.9362645712670838</v>
      </c>
      <c r="AT22" s="239">
        <f t="shared" si="8"/>
        <v>1.9339389800374676</v>
      </c>
      <c r="AU22" s="234">
        <v>0</v>
      </c>
      <c r="AV22" s="234">
        <v>0</v>
      </c>
      <c r="AW22" s="234">
        <v>0</v>
      </c>
      <c r="AX22" s="239">
        <f t="shared" si="9"/>
        <v>0</v>
      </c>
    </row>
    <row r="23" spans="2:50" x14ac:dyDescent="0.25">
      <c r="B23" s="122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19" t="s">
        <v>6</v>
      </c>
      <c r="S23" s="129">
        <f>MAX(S20,S21)-MIN(S20,S21)</f>
        <v>6.8512478555908567</v>
      </c>
      <c r="T23" s="118"/>
      <c r="X23" s="60">
        <v>1.8</v>
      </c>
      <c r="Y23" s="239">
        <f t="shared" si="0"/>
        <v>1.9259750776405002</v>
      </c>
      <c r="Z23" s="239">
        <f t="shared" si="1"/>
        <v>35.307584159031677</v>
      </c>
      <c r="AA23" s="239">
        <f t="shared" si="2"/>
        <v>1.9459750776405003</v>
      </c>
      <c r="AB23" s="239">
        <f t="shared" si="3"/>
        <v>35.307584159031677</v>
      </c>
      <c r="AE23" s="239">
        <v>0.2</v>
      </c>
      <c r="AF23" s="239">
        <f t="shared" si="7"/>
        <v>1.8604729836930289E-3</v>
      </c>
      <c r="AH23" s="239">
        <f>IF($D$5&gt;$F$5,IF($E$8="unilatéral","",NORMDIST(AI23,$D$5,$S$19,0)),NORMDIST(AI23,$D$5,$S$19,0))</f>
        <v>2.693119587479659</v>
      </c>
      <c r="AI23" s="239">
        <f>$AE$12+AF21</f>
        <v>1.9364756448095375</v>
      </c>
      <c r="AK23" s="239">
        <f>$AE$15-AF21</f>
        <v>1.9235243551904624</v>
      </c>
      <c r="AL23" s="239">
        <f>IF($D$5&lt;=$F$5,IF($E$8="unilatéral","",NORMDIST(AI23,$D$5,$S$19,0)),NORMDIST(AI23,$D$5,$S$19,0))</f>
        <v>2.693119587479659</v>
      </c>
      <c r="AP23" s="239">
        <v>0.06</v>
      </c>
      <c r="AQ23" s="239">
        <f t="shared" si="4"/>
        <v>1.0425367637259314E-2</v>
      </c>
      <c r="AR23" s="239">
        <f>IF($Y$11+AQ23&gt;$AE$15,$Y$11+AQ23,"")</f>
        <v>1.9337171637047599</v>
      </c>
      <c r="AS23" s="241">
        <f>$AK$60+AQ23</f>
        <v>1.9360427549343762</v>
      </c>
      <c r="AT23" s="239">
        <f t="shared" si="8"/>
        <v>1.9337171637047599</v>
      </c>
      <c r="AU23" s="239">
        <f>NORMDIST(AR23,$D$5,$S$19,0)</f>
        <v>44.807125977153234</v>
      </c>
      <c r="AV23" s="239">
        <f>NORMDIST(AR23,$F$5,$S$19,0)</f>
        <v>5.456856753109141E-10</v>
      </c>
      <c r="AW23" s="239">
        <f>NORMDIST(AS23,$F$5,$S$19,0)</f>
        <v>6.1825107446832584E-7</v>
      </c>
      <c r="AX23" s="239">
        <f t="shared" si="9"/>
        <v>5.456856753109141E-10</v>
      </c>
    </row>
    <row r="24" spans="2:50" x14ac:dyDescent="0.25">
      <c r="B24" s="122"/>
      <c r="C24" s="97"/>
      <c r="D24" s="144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84"/>
      <c r="T24" s="140"/>
      <c r="X24" s="60">
        <v>1.7</v>
      </c>
      <c r="Y24" s="239">
        <f t="shared" si="0"/>
        <v>1.9261986844382504</v>
      </c>
      <c r="Z24" s="239">
        <f t="shared" si="1"/>
        <v>42.060026047173899</v>
      </c>
      <c r="AA24" s="239">
        <f t="shared" si="2"/>
        <v>1.9461986844382504</v>
      </c>
      <c r="AB24" s="239">
        <f t="shared" si="3"/>
        <v>42.060026047173899</v>
      </c>
      <c r="AE24" s="239">
        <v>0.25</v>
      </c>
      <c r="AF24" s="239">
        <f t="shared" si="7"/>
        <v>1.7441934222122146E-3</v>
      </c>
      <c r="AH24" s="234">
        <v>0</v>
      </c>
      <c r="AI24" s="241">
        <f>AI23</f>
        <v>1.9364756448095375</v>
      </c>
      <c r="AK24" s="241">
        <f>AK23</f>
        <v>1.9235243551904624</v>
      </c>
      <c r="AL24" s="243">
        <v>0</v>
      </c>
      <c r="AP24" s="239">
        <v>7.0000000000000007E-2</v>
      </c>
      <c r="AQ24" s="239">
        <f t="shared" si="4"/>
        <v>1.0314459470905493E-2</v>
      </c>
      <c r="AR24" s="241">
        <f>AR23</f>
        <v>1.9337171637047599</v>
      </c>
      <c r="AS24" s="241">
        <f>AS23</f>
        <v>1.9360427549343762</v>
      </c>
      <c r="AT24" s="239">
        <f t="shared" si="8"/>
        <v>1.9337171637047599</v>
      </c>
      <c r="AU24" s="234">
        <v>0</v>
      </c>
      <c r="AV24" s="234">
        <v>0</v>
      </c>
      <c r="AW24" s="234">
        <v>0</v>
      </c>
      <c r="AX24" s="239">
        <f t="shared" si="9"/>
        <v>0</v>
      </c>
    </row>
    <row r="25" spans="2:50" ht="15.75" thickBot="1" x14ac:dyDescent="0.3">
      <c r="B25" s="145"/>
      <c r="C25" s="146"/>
      <c r="D25" s="147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8"/>
      <c r="T25" s="149"/>
      <c r="X25" s="60">
        <v>1.6</v>
      </c>
      <c r="Y25" s="239">
        <f t="shared" si="0"/>
        <v>1.9264222912360003</v>
      </c>
      <c r="Z25" s="239">
        <f t="shared" si="1"/>
        <v>49.60530529285608</v>
      </c>
      <c r="AA25" s="239">
        <f t="shared" si="2"/>
        <v>1.9464222912360003</v>
      </c>
      <c r="AB25" s="239">
        <f t="shared" si="3"/>
        <v>49.60530529285608</v>
      </c>
      <c r="AE25" s="239">
        <v>0.3</v>
      </c>
      <c r="AF25" s="239">
        <f t="shared" si="7"/>
        <v>1.6279138607314004E-3</v>
      </c>
      <c r="AH25" s="239">
        <f>IF($D$5&gt;$F$5,IF($E$8="unilatéral","",NORMDIST(AI25,$D$5,$S$19,0)),NORMDIST(AI25,$D$5,$S$19,0))</f>
        <v>3.1265968783413665</v>
      </c>
      <c r="AI25" s="239">
        <f>$AE$12+AF22</f>
        <v>1.9363593652480569</v>
      </c>
      <c r="AK25" s="239">
        <f>$AE$15-AF22</f>
        <v>1.923640634751943</v>
      </c>
      <c r="AL25" s="239">
        <f>IF($D$5&lt;=$F$5,IF($E$8="unilatéral","",NORMDIST(AI25,$D$5,$S$19,0)),NORMDIST(AI25,$D$5,$S$19,0))</f>
        <v>3.1265968783413665</v>
      </c>
      <c r="AP25" s="239">
        <v>0.08</v>
      </c>
      <c r="AQ25" s="239">
        <f t="shared" si="4"/>
        <v>1.020355130455167E-2</v>
      </c>
      <c r="AR25" s="239">
        <f>IF($Y$11+AQ25&gt;$AE$15,$Y$11+AQ25,"")</f>
        <v>1.9334953473720524</v>
      </c>
      <c r="AS25" s="241">
        <f>$AK$60+AQ25</f>
        <v>1.9358209386016687</v>
      </c>
      <c r="AT25" s="239">
        <f t="shared" si="8"/>
        <v>1.9334953473720524</v>
      </c>
      <c r="AU25" s="239">
        <f>NORMDIST(AR25,$D$5,$S$19,0)</f>
        <v>52.580875208075284</v>
      </c>
      <c r="AV25" s="239">
        <f>NORMDIST(AR25,$F$5,$S$19,0)</f>
        <v>2.6368707247928324E-10</v>
      </c>
      <c r="AW25" s="239">
        <f>NORMDIST(AS25,$F$5,$S$19,0)</f>
        <v>3.3122086302157973E-7</v>
      </c>
      <c r="AX25" s="239">
        <f t="shared" si="9"/>
        <v>2.6368707247928324E-10</v>
      </c>
    </row>
    <row r="26" spans="2:50" x14ac:dyDescent="0.25">
      <c r="B26" s="115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7"/>
      <c r="X26" s="60">
        <v>1.5</v>
      </c>
      <c r="Y26" s="239">
        <f t="shared" si="0"/>
        <v>1.9266458980337502</v>
      </c>
      <c r="Z26" s="239">
        <f t="shared" si="1"/>
        <v>57.922029638250862</v>
      </c>
      <c r="AA26" s="239">
        <f t="shared" si="2"/>
        <v>1.9466458980337502</v>
      </c>
      <c r="AB26" s="239">
        <f t="shared" si="3"/>
        <v>57.922029638250862</v>
      </c>
      <c r="AE26" s="239">
        <v>0.35</v>
      </c>
      <c r="AF26" s="239">
        <f t="shared" si="7"/>
        <v>1.5116342992505861E-3</v>
      </c>
      <c r="AH26" s="234">
        <v>0</v>
      </c>
      <c r="AI26" s="241">
        <f>AI25</f>
        <v>1.9363593652480569</v>
      </c>
      <c r="AK26" s="241">
        <f>AK25</f>
        <v>1.923640634751943</v>
      </c>
      <c r="AL26" s="243">
        <v>0</v>
      </c>
      <c r="AP26" s="239">
        <v>0.09</v>
      </c>
      <c r="AQ26" s="239">
        <f t="shared" si="4"/>
        <v>1.0092643138197847E-2</v>
      </c>
      <c r="AR26" s="241">
        <f>AR25</f>
        <v>1.9334953473720524</v>
      </c>
      <c r="AS26" s="241">
        <f>AS25</f>
        <v>1.9358209386016687</v>
      </c>
      <c r="AT26" s="239">
        <f t="shared" si="8"/>
        <v>1.9334953473720524</v>
      </c>
      <c r="AU26" s="234">
        <v>0</v>
      </c>
      <c r="AV26" s="234">
        <v>0</v>
      </c>
      <c r="AW26" s="234">
        <v>0</v>
      </c>
      <c r="AX26" s="239">
        <f t="shared" si="9"/>
        <v>0</v>
      </c>
    </row>
    <row r="27" spans="2:50" x14ac:dyDescent="0.25">
      <c r="B27" s="122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118"/>
      <c r="X27" s="60">
        <v>1.4</v>
      </c>
      <c r="Y27" s="239">
        <f t="shared" si="0"/>
        <v>1.9268695048315003</v>
      </c>
      <c r="Z27" s="239">
        <f t="shared" si="1"/>
        <v>66.960158252061689</v>
      </c>
      <c r="AA27" s="239">
        <f t="shared" si="2"/>
        <v>1.9468695048315003</v>
      </c>
      <c r="AB27" s="239">
        <f t="shared" si="3"/>
        <v>66.960158252061689</v>
      </c>
      <c r="AE27" s="239">
        <v>0.4</v>
      </c>
      <c r="AF27" s="239">
        <f t="shared" si="7"/>
        <v>1.3953547377697716E-3</v>
      </c>
      <c r="AH27" s="239">
        <f>IF($D$5&gt;$F$5,IF($E$8="unilatéral","",NORMDIST(AI27,$D$5,$S$19,0)),NORMDIST(AI27,$D$5,$S$19,0))</f>
        <v>3.6200429867765731</v>
      </c>
      <c r="AI27" s="239">
        <f>$AE$12+AF23</f>
        <v>1.936243085686576</v>
      </c>
      <c r="AK27" s="239">
        <f>$AE$15-AF23</f>
        <v>1.9237569143134239</v>
      </c>
      <c r="AL27" s="239">
        <f>IF($D$5&lt;=$F$5,IF($E$8="unilatéral","",NORMDIST(AI27,$D$5,$S$19,0)),NORMDIST(AI27,$D$5,$S$19,0))</f>
        <v>3.6200429867765731</v>
      </c>
      <c r="AP27" s="239">
        <v>0.1</v>
      </c>
      <c r="AQ27" s="239">
        <f t="shared" si="4"/>
        <v>9.9817349718440244E-3</v>
      </c>
      <c r="AR27" s="239">
        <f>IF($Y$11+AQ27&gt;$AE$15,$Y$11+AQ27,"")</f>
        <v>1.9332735310393447</v>
      </c>
      <c r="AS27" s="241">
        <f>$AK$60+AQ27</f>
        <v>1.935599122268961</v>
      </c>
      <c r="AT27" s="239">
        <f t="shared" si="8"/>
        <v>1.9332735310393447</v>
      </c>
      <c r="AU27" s="239">
        <f>NORMDIST(AR27,$D$5,$S$19,0)</f>
        <v>61.099106530691678</v>
      </c>
      <c r="AV27" s="239">
        <f>NORMDIST(AR27,$F$5,$S$19,0)</f>
        <v>1.2617155346167494E-10</v>
      </c>
      <c r="AW27" s="239">
        <f>NORMDIST(AS27,$F$5,$S$19,0)</f>
        <v>1.7571013622867141E-7</v>
      </c>
      <c r="AX27" s="239">
        <f t="shared" si="9"/>
        <v>1.2617155346167494E-10</v>
      </c>
    </row>
    <row r="28" spans="2:50" x14ac:dyDescent="0.25">
      <c r="B28" s="122"/>
      <c r="C28" s="97"/>
      <c r="D28" s="214" t="s">
        <v>192</v>
      </c>
      <c r="E28" s="214"/>
      <c r="F28" s="97"/>
      <c r="G28" s="181" t="s">
        <v>227</v>
      </c>
      <c r="H28" s="181"/>
      <c r="I28" s="181"/>
      <c r="J28" s="181"/>
      <c r="K28" s="181"/>
      <c r="L28" s="181"/>
      <c r="M28" s="97"/>
      <c r="P28" s="97"/>
      <c r="Q28" s="97"/>
      <c r="R28" s="97"/>
      <c r="S28" s="97"/>
      <c r="T28" s="118"/>
      <c r="X28" s="60">
        <v>1.3</v>
      </c>
      <c r="Y28" s="239">
        <f t="shared" si="0"/>
        <v>1.9270931116292502</v>
      </c>
      <c r="Z28" s="239">
        <f t="shared" si="1"/>
        <v>76.638364205466402</v>
      </c>
      <c r="AA28" s="239">
        <f t="shared" si="2"/>
        <v>1.9470931116292503</v>
      </c>
      <c r="AB28" s="239">
        <f t="shared" si="3"/>
        <v>76.638364205466402</v>
      </c>
      <c r="AE28" s="239">
        <v>0.45</v>
      </c>
      <c r="AF28" s="239">
        <f t="shared" si="7"/>
        <v>1.2790751762889574E-3</v>
      </c>
      <c r="AH28" s="234">
        <v>0</v>
      </c>
      <c r="AI28" s="241">
        <f>AI27</f>
        <v>1.936243085686576</v>
      </c>
      <c r="AK28" s="241">
        <f>AK27</f>
        <v>1.9237569143134239</v>
      </c>
      <c r="AL28" s="243">
        <v>0</v>
      </c>
      <c r="AP28" s="239">
        <v>0.11</v>
      </c>
      <c r="AQ28" s="239">
        <f t="shared" si="4"/>
        <v>9.8708268054902033E-3</v>
      </c>
      <c r="AR28" s="241">
        <f>AR27</f>
        <v>1.9332735310393447</v>
      </c>
      <c r="AS28" s="241">
        <f>AS27</f>
        <v>1.935599122268961</v>
      </c>
      <c r="AT28" s="239">
        <f t="shared" si="8"/>
        <v>1.9332735310393447</v>
      </c>
      <c r="AU28" s="234">
        <v>0</v>
      </c>
      <c r="AV28" s="234">
        <v>0</v>
      </c>
      <c r="AW28" s="234">
        <v>0</v>
      </c>
      <c r="AX28" s="239">
        <f t="shared" si="9"/>
        <v>0</v>
      </c>
    </row>
    <row r="29" spans="2:50" x14ac:dyDescent="0.25">
      <c r="B29" s="122"/>
      <c r="C29" s="162" t="s">
        <v>171</v>
      </c>
      <c r="D29" s="163" t="s">
        <v>248</v>
      </c>
      <c r="E29" s="163" t="s">
        <v>249</v>
      </c>
      <c r="F29" s="97"/>
      <c r="G29" s="195" t="s">
        <v>1</v>
      </c>
      <c r="H29" s="195"/>
      <c r="I29" s="195"/>
      <c r="J29" s="195"/>
      <c r="K29" s="150">
        <f>COUNT(D30:D59)</f>
        <v>20</v>
      </c>
      <c r="L29" s="150">
        <f>COUNT(E30:E59)</f>
        <v>20</v>
      </c>
      <c r="M29" s="97"/>
      <c r="P29" s="97"/>
      <c r="Q29" s="97"/>
      <c r="R29" s="97"/>
      <c r="S29" s="97"/>
      <c r="T29" s="118"/>
      <c r="X29" s="60">
        <v>1.2</v>
      </c>
      <c r="Y29" s="239">
        <f t="shared" si="0"/>
        <v>1.9273167184270001</v>
      </c>
      <c r="Z29" s="239">
        <f t="shared" si="1"/>
        <v>86.842643844992935</v>
      </c>
      <c r="AA29" s="239">
        <f t="shared" si="2"/>
        <v>1.9473167184270002</v>
      </c>
      <c r="AB29" s="239">
        <f t="shared" si="3"/>
        <v>86.842643844992935</v>
      </c>
      <c r="AE29" s="239">
        <v>0.5</v>
      </c>
      <c r="AF29" s="239">
        <f t="shared" si="7"/>
        <v>1.1627956148081431E-3</v>
      </c>
      <c r="AH29" s="239">
        <f>IF($D$5&gt;$F$5,IF($E$8="unilatéral","",NORMDIST(AI29,$D$5,$S$19,0)),NORMDIST(AI29,$D$5,$S$19,0))</f>
        <v>4.1800468729994025</v>
      </c>
      <c r="AI29" s="239">
        <f>$AE$12+AF24</f>
        <v>1.9361268061250951</v>
      </c>
      <c r="AK29" s="239">
        <f>$AE$15-AF24</f>
        <v>1.9238731938749047</v>
      </c>
      <c r="AL29" s="239">
        <f>IF($D$5&lt;=$F$5,IF($E$8="unilatéral","",NORMDIST(AI29,$D$5,$S$19,0)),NORMDIST(AI29,$D$5,$S$19,0))</f>
        <v>4.1800468729994025</v>
      </c>
      <c r="AP29" s="239">
        <v>0.12</v>
      </c>
      <c r="AQ29" s="239">
        <f t="shared" si="4"/>
        <v>9.7599186391363803E-3</v>
      </c>
      <c r="AR29" s="239">
        <f>IF($Y$11+AQ29&gt;$AE$15,$Y$11+AQ29,"")</f>
        <v>1.9330517147066371</v>
      </c>
      <c r="AS29" s="241">
        <f>$AK$60+AQ29</f>
        <v>1.9353773059362533</v>
      </c>
      <c r="AT29" s="239">
        <f t="shared" si="8"/>
        <v>1.9330517147066371</v>
      </c>
      <c r="AU29" s="239">
        <f>NORMDIST(AR29,$D$5,$S$19,0)</f>
        <v>70.302089745890015</v>
      </c>
      <c r="AV29" s="239">
        <f>NORMDIST(AR29,$F$5,$S$19,0)</f>
        <v>5.9780616341617146E-11</v>
      </c>
      <c r="AW29" s="239">
        <f>NORMDIST(AS29,$F$5,$S$19,0)</f>
        <v>9.2300121541180085E-8</v>
      </c>
      <c r="AX29" s="239">
        <f t="shared" si="9"/>
        <v>5.9780616341617146E-11</v>
      </c>
    </row>
    <row r="30" spans="2:50" ht="15" customHeight="1" x14ac:dyDescent="0.25">
      <c r="B30" s="122"/>
      <c r="C30" s="161">
        <v>1</v>
      </c>
      <c r="D30" s="164">
        <v>45.76</v>
      </c>
      <c r="E30" s="165">
        <v>45.69</v>
      </c>
      <c r="F30" s="97"/>
      <c r="G30" s="195" t="s">
        <v>207</v>
      </c>
      <c r="H30" s="195"/>
      <c r="I30" s="195"/>
      <c r="J30" s="195"/>
      <c r="K30" s="120">
        <f>AVERAGE(D30:D59)</f>
        <v>45.758499999999998</v>
      </c>
      <c r="L30" s="120">
        <f>AVERAGE(E30:E59)</f>
        <v>45.752000000000002</v>
      </c>
      <c r="M30" s="97"/>
      <c r="P30" s="97"/>
      <c r="Q30" s="97"/>
      <c r="R30" s="97"/>
      <c r="S30" s="97"/>
      <c r="T30" s="118"/>
      <c r="X30" s="60">
        <v>1.1000000000000001</v>
      </c>
      <c r="Y30" s="239">
        <f t="shared" si="0"/>
        <v>1.9275403252247503</v>
      </c>
      <c r="Z30" s="239">
        <f t="shared" si="1"/>
        <v>97.426455378225256</v>
      </c>
      <c r="AA30" s="239">
        <f t="shared" si="2"/>
        <v>1.9475403252247503</v>
      </c>
      <c r="AB30" s="239">
        <f t="shared" si="3"/>
        <v>97.426455378225256</v>
      </c>
      <c r="AE30" s="239">
        <v>0.55000000000000004</v>
      </c>
      <c r="AF30" s="239">
        <f t="shared" si="7"/>
        <v>1.0465160533273286E-3</v>
      </c>
      <c r="AH30" s="234">
        <v>0</v>
      </c>
      <c r="AI30" s="241">
        <f>AI29</f>
        <v>1.9361268061250951</v>
      </c>
      <c r="AK30" s="241">
        <f>AK29</f>
        <v>1.9238731938749047</v>
      </c>
      <c r="AL30" s="243">
        <v>0</v>
      </c>
      <c r="AP30" s="239">
        <v>0.13</v>
      </c>
      <c r="AQ30" s="239">
        <f t="shared" si="4"/>
        <v>9.6490104727825574E-3</v>
      </c>
      <c r="AR30" s="241">
        <f>AR29</f>
        <v>1.9330517147066371</v>
      </c>
      <c r="AS30" s="241">
        <f>AS29</f>
        <v>1.9353773059362533</v>
      </c>
      <c r="AT30" s="239">
        <f t="shared" si="8"/>
        <v>1.9330517147066371</v>
      </c>
      <c r="AU30" s="234">
        <v>0</v>
      </c>
      <c r="AV30" s="234">
        <v>0</v>
      </c>
      <c r="AW30" s="234">
        <v>0</v>
      </c>
      <c r="AX30" s="239">
        <f t="shared" si="9"/>
        <v>0</v>
      </c>
    </row>
    <row r="31" spans="2:50" ht="15" customHeight="1" x14ac:dyDescent="0.25">
      <c r="B31" s="122"/>
      <c r="C31" s="161">
        <v>2</v>
      </c>
      <c r="D31" s="164">
        <v>45.78</v>
      </c>
      <c r="E31" s="165">
        <v>45.71</v>
      </c>
      <c r="F31" s="97"/>
      <c r="G31" s="195" t="s">
        <v>209</v>
      </c>
      <c r="H31" s="195"/>
      <c r="I31" s="195"/>
      <c r="J31" s="195"/>
      <c r="K31" s="190">
        <f>ABS(K30-L30)</f>
        <v>6.4999999999955094E-3</v>
      </c>
      <c r="L31" s="191"/>
      <c r="M31" s="97"/>
      <c r="P31" s="97"/>
      <c r="Q31" s="159"/>
      <c r="R31" s="97"/>
      <c r="S31" s="97"/>
      <c r="T31" s="118"/>
      <c r="X31" s="60">
        <v>1</v>
      </c>
      <c r="Y31" s="239">
        <f t="shared" si="0"/>
        <v>1.9277639320225002</v>
      </c>
      <c r="Z31" s="239">
        <f t="shared" si="1"/>
        <v>108.21259771793756</v>
      </c>
      <c r="AA31" s="239">
        <f t="shared" si="2"/>
        <v>1.9477639320225002</v>
      </c>
      <c r="AB31" s="239">
        <f t="shared" si="3"/>
        <v>108.21259771793756</v>
      </c>
      <c r="AE31" s="239">
        <v>0.6</v>
      </c>
      <c r="AF31" s="239">
        <f t="shared" si="7"/>
        <v>9.3023649184651456E-4</v>
      </c>
      <c r="AH31" s="239">
        <f>IF($D$5&gt;$F$5,IF($E$8="unilatéral","",NORMDIST(AI31,$D$5,$S$19,0)),NORMDIST(AI31,$D$5,$S$19,0))</f>
        <v>4.8136461503467309</v>
      </c>
      <c r="AI31" s="239">
        <f>$AE$12+AF25</f>
        <v>1.9360105265636143</v>
      </c>
      <c r="AK31" s="239">
        <f>$AE$15-AF25</f>
        <v>1.9239894734363856</v>
      </c>
      <c r="AL31" s="239">
        <f>IF($D$5&lt;=$F$5,IF($E$8="unilatéral","",NORMDIST(AI31,$D$5,$S$19,0)),NORMDIST(AI31,$D$5,$S$19,0))</f>
        <v>4.8136461503467309</v>
      </c>
      <c r="AP31" s="239">
        <v>0.14000000000000001</v>
      </c>
      <c r="AQ31" s="239">
        <f t="shared" si="4"/>
        <v>9.5381023064287345E-3</v>
      </c>
      <c r="AR31" s="239">
        <f>IF($Y$11+AQ31&gt;$AE$15,$Y$11+AQ31,"")</f>
        <v>1.9328298983739294</v>
      </c>
      <c r="AS31" s="241">
        <f>$AK$60+AQ31</f>
        <v>1.9351554896035457</v>
      </c>
      <c r="AT31" s="239">
        <f t="shared" si="8"/>
        <v>1.9328298983739294</v>
      </c>
      <c r="AU31" s="239">
        <f>NORMDIST(AR31,$D$5,$S$19,0)</f>
        <v>80.099155334674663</v>
      </c>
      <c r="AV31" s="239">
        <f>NORMDIST(AR31,$F$5,$S$19,0)</f>
        <v>2.8046950809883225E-11</v>
      </c>
      <c r="AW31" s="239">
        <f>NORMDIST(AS31,$F$5,$S$19,0)</f>
        <v>4.8010259874993588E-8</v>
      </c>
      <c r="AX31" s="239">
        <f t="shared" si="9"/>
        <v>2.8046950809883225E-11</v>
      </c>
    </row>
    <row r="32" spans="2:50" x14ac:dyDescent="0.25">
      <c r="B32" s="122"/>
      <c r="C32" s="161">
        <v>3</v>
      </c>
      <c r="D32" s="164">
        <v>45.78</v>
      </c>
      <c r="E32" s="165">
        <v>45.76</v>
      </c>
      <c r="F32" s="97"/>
      <c r="G32" s="195" t="s">
        <v>210</v>
      </c>
      <c r="H32" s="195"/>
      <c r="I32" s="195"/>
      <c r="J32" s="195"/>
      <c r="K32" s="120">
        <f>VAR(D30:D59)</f>
        <v>4.2394736842105417E-4</v>
      </c>
      <c r="L32" s="120">
        <f>VAR(E30:E59)</f>
        <v>1.5957894736842628E-3</v>
      </c>
      <c r="M32" s="97"/>
      <c r="P32" s="97"/>
      <c r="Q32" s="97"/>
      <c r="R32" s="97"/>
      <c r="S32" s="97"/>
      <c r="T32" s="118"/>
      <c r="X32" s="60">
        <v>0.9</v>
      </c>
      <c r="Y32" s="239">
        <f t="shared" si="0"/>
        <v>1.9279875388202501</v>
      </c>
      <c r="Z32" s="239">
        <f t="shared" si="1"/>
        <v>118.99694131672523</v>
      </c>
      <c r="AA32" s="239">
        <f t="shared" si="2"/>
        <v>1.9479875388202501</v>
      </c>
      <c r="AB32" s="239">
        <f t="shared" si="3"/>
        <v>118.99694131672523</v>
      </c>
      <c r="AE32" s="239">
        <v>0.65</v>
      </c>
      <c r="AF32" s="239">
        <f t="shared" si="7"/>
        <v>8.1395693036570007E-4</v>
      </c>
      <c r="AH32" s="234">
        <v>0</v>
      </c>
      <c r="AI32" s="241">
        <f>AI31</f>
        <v>1.9360105265636143</v>
      </c>
      <c r="AK32" s="241">
        <f>AK31</f>
        <v>1.9239894734363856</v>
      </c>
      <c r="AL32" s="243">
        <v>0</v>
      </c>
      <c r="AP32" s="239">
        <v>0.15</v>
      </c>
      <c r="AQ32" s="239">
        <f t="shared" si="4"/>
        <v>9.4271941400749133E-3</v>
      </c>
      <c r="AR32" s="241">
        <f>AR31</f>
        <v>1.9328298983739294</v>
      </c>
      <c r="AS32" s="241">
        <f>AS31</f>
        <v>1.9351554896035457</v>
      </c>
      <c r="AT32" s="239">
        <f t="shared" si="8"/>
        <v>1.9328298983739294</v>
      </c>
      <c r="AU32" s="234">
        <v>0</v>
      </c>
      <c r="AV32" s="234">
        <v>0</v>
      </c>
      <c r="AW32" s="234">
        <v>0</v>
      </c>
      <c r="AX32" s="239">
        <f t="shared" si="9"/>
        <v>0</v>
      </c>
    </row>
    <row r="33" spans="2:50" x14ac:dyDescent="0.25">
      <c r="B33" s="122"/>
      <c r="C33" s="161">
        <v>4</v>
      </c>
      <c r="D33" s="164">
        <v>45.75</v>
      </c>
      <c r="E33" s="165">
        <v>45.73</v>
      </c>
      <c r="F33" s="97"/>
      <c r="G33" s="195" t="s">
        <v>208</v>
      </c>
      <c r="H33" s="195"/>
      <c r="I33" s="195"/>
      <c r="J33" s="195"/>
      <c r="K33" s="26" t="str">
        <f>IF(C118&lt;=E118,"oui","non")</f>
        <v>oui</v>
      </c>
      <c r="L33" s="26" t="str">
        <f>IF(O118&lt;=Q118,"oui","non")</f>
        <v>oui</v>
      </c>
      <c r="M33" s="97"/>
      <c r="P33" s="97"/>
      <c r="Q33" s="97"/>
      <c r="R33" s="97"/>
      <c r="S33" s="97"/>
      <c r="T33" s="118"/>
      <c r="X33" s="60">
        <v>0.8</v>
      </c>
      <c r="Y33" s="239">
        <f t="shared" si="0"/>
        <v>1.928211145618</v>
      </c>
      <c r="Z33" s="239">
        <f t="shared" si="1"/>
        <v>129.55400089642353</v>
      </c>
      <c r="AA33" s="239">
        <f t="shared" si="2"/>
        <v>1.948211145618</v>
      </c>
      <c r="AB33" s="239">
        <f t="shared" si="3"/>
        <v>129.55400089642353</v>
      </c>
      <c r="AE33" s="239">
        <v>0.7</v>
      </c>
      <c r="AF33" s="239">
        <f t="shared" si="7"/>
        <v>6.9767736888488602E-4</v>
      </c>
      <c r="AH33" s="239">
        <f>IF($D$5&gt;$F$5,IF($E$8="unilatéral","",NORMDIST(AI33,$D$5,$S$19,0)),NORMDIST(AI33,$D$5,$S$19,0))</f>
        <v>5.5283147228582799</v>
      </c>
      <c r="AI33" s="239">
        <f>$AE$12+AF26</f>
        <v>1.9358942470021334</v>
      </c>
      <c r="AK33" s="239">
        <f>$AE$15-AF26</f>
        <v>1.9241057529978665</v>
      </c>
      <c r="AL33" s="239">
        <f>IF($D$5&lt;=$F$5,IF($E$8="unilatéral","",NORMDIST(AI33,$D$5,$S$19,0)),NORMDIST(AI33,$D$5,$S$19,0))</f>
        <v>5.5283147228582799</v>
      </c>
      <c r="AP33" s="239">
        <v>0.16</v>
      </c>
      <c r="AQ33" s="239">
        <f t="shared" si="4"/>
        <v>9.3162859737210904E-3</v>
      </c>
      <c r="AR33" s="239">
        <f>IF($Y$11+AQ33&gt;$AE$15,$Y$11+AQ33,"")</f>
        <v>1.9326080820412217</v>
      </c>
      <c r="AS33" s="241">
        <f>$AK$60+AQ33</f>
        <v>1.934933673270838</v>
      </c>
      <c r="AT33" s="239">
        <f t="shared" si="8"/>
        <v>1.9326080820412217</v>
      </c>
      <c r="AU33" s="239">
        <f>NORMDIST(AR33,$D$5,$S$19,0)</f>
        <v>90.367853039642583</v>
      </c>
      <c r="AV33" s="239">
        <f>NORMDIST(AR33,$F$5,$S$19,0)</f>
        <v>1.3029784822595675E-11</v>
      </c>
      <c r="AW33" s="239">
        <f>NORMDIST(AS33,$F$5,$S$19,0)</f>
        <v>2.4728180779426949E-8</v>
      </c>
      <c r="AX33" s="239">
        <f t="shared" si="9"/>
        <v>1.3029784822595675E-11</v>
      </c>
    </row>
    <row r="34" spans="2:50" x14ac:dyDescent="0.25">
      <c r="B34" s="122"/>
      <c r="C34" s="161">
        <v>5</v>
      </c>
      <c r="D34" s="164">
        <v>45.77</v>
      </c>
      <c r="E34" s="165">
        <v>45.7</v>
      </c>
      <c r="F34" s="97"/>
      <c r="G34" s="195" t="s">
        <v>211</v>
      </c>
      <c r="H34" s="195"/>
      <c r="I34" s="195"/>
      <c r="J34" s="195"/>
      <c r="K34" s="112" t="str">
        <f>IF(J118&lt;K118,"non",I118)</f>
        <v>non</v>
      </c>
      <c r="L34" s="112" t="str">
        <f>IF(V118&lt;W118,"non",U118)</f>
        <v>non</v>
      </c>
      <c r="M34" s="97"/>
      <c r="N34" s="97"/>
      <c r="O34" s="97"/>
      <c r="P34" s="97"/>
      <c r="Q34" s="97"/>
      <c r="R34" s="97"/>
      <c r="S34" s="97"/>
      <c r="T34" s="118"/>
      <c r="X34" s="60">
        <v>0.7</v>
      </c>
      <c r="Y34" s="239">
        <f t="shared" si="0"/>
        <v>1.9284347524157501</v>
      </c>
      <c r="Z34" s="239">
        <f t="shared" si="1"/>
        <v>139.64420424995558</v>
      </c>
      <c r="AA34" s="239">
        <f t="shared" si="2"/>
        <v>1.9484347524157501</v>
      </c>
      <c r="AB34" s="239">
        <f t="shared" si="3"/>
        <v>139.64420424995558</v>
      </c>
      <c r="AE34" s="239">
        <v>0.75</v>
      </c>
      <c r="AF34" s="239">
        <f t="shared" si="7"/>
        <v>5.8139780740407154E-4</v>
      </c>
      <c r="AH34" s="234">
        <v>0</v>
      </c>
      <c r="AI34" s="241">
        <f>AI33</f>
        <v>1.9358942470021334</v>
      </c>
      <c r="AK34" s="241">
        <f>AK33</f>
        <v>1.9241057529978665</v>
      </c>
      <c r="AL34" s="243">
        <v>0</v>
      </c>
      <c r="AP34" s="239">
        <v>0.17</v>
      </c>
      <c r="AQ34" s="239">
        <f t="shared" si="4"/>
        <v>9.2053778073672675E-3</v>
      </c>
      <c r="AR34" s="241">
        <f>AR33</f>
        <v>1.9326080820412217</v>
      </c>
      <c r="AS34" s="241">
        <f>AS33</f>
        <v>1.934933673270838</v>
      </c>
      <c r="AT34" s="239">
        <f t="shared" si="8"/>
        <v>1.9326080820412217</v>
      </c>
      <c r="AU34" s="234">
        <v>0</v>
      </c>
      <c r="AV34" s="234">
        <v>0</v>
      </c>
      <c r="AW34" s="234">
        <v>0</v>
      </c>
      <c r="AX34" s="239">
        <f t="shared" si="9"/>
        <v>0</v>
      </c>
    </row>
    <row r="35" spans="2:50" x14ac:dyDescent="0.25">
      <c r="B35" s="122"/>
      <c r="C35" s="161">
        <v>6</v>
      </c>
      <c r="D35" s="164">
        <v>45.72</v>
      </c>
      <c r="E35" s="165">
        <v>45.76</v>
      </c>
      <c r="F35" s="97"/>
      <c r="G35" s="195" t="s">
        <v>212</v>
      </c>
      <c r="H35" s="195"/>
      <c r="I35" s="195"/>
      <c r="J35" s="195"/>
      <c r="K35" s="112" t="str">
        <f>IF(J119&lt;K118,"non",I119)</f>
        <v>non</v>
      </c>
      <c r="L35" s="112" t="str">
        <f>IF(V119&lt;W118,"non",U119)</f>
        <v>non</v>
      </c>
      <c r="M35" s="97"/>
      <c r="N35" s="97"/>
      <c r="O35" s="97"/>
      <c r="P35" s="97"/>
      <c r="Q35" s="97"/>
      <c r="R35" s="97"/>
      <c r="S35" s="97"/>
      <c r="T35" s="118"/>
      <c r="X35" s="60">
        <v>0.6</v>
      </c>
      <c r="Y35" s="239">
        <f t="shared" si="0"/>
        <v>1.9286583592135</v>
      </c>
      <c r="Z35" s="239">
        <f t="shared" si="1"/>
        <v>149.02257276828644</v>
      </c>
      <c r="AA35" s="239">
        <f t="shared" si="2"/>
        <v>1.9486583592135001</v>
      </c>
      <c r="AB35" s="239">
        <f t="shared" si="3"/>
        <v>149.02257276828644</v>
      </c>
      <c r="AE35" s="239">
        <v>0.8</v>
      </c>
      <c r="AF35" s="239">
        <f t="shared" si="7"/>
        <v>4.6511824592325706E-4</v>
      </c>
      <c r="AH35" s="239">
        <f>IF($D$5&gt;$F$5,IF($E$8="unilatéral","",NORMDIST(AI35,$D$5,$S$19,0)),NORMDIST(AI35,$D$5,$S$19,0))</f>
        <v>6.3319422082087273</v>
      </c>
      <c r="AI35" s="239">
        <f>$AE$12+AF27</f>
        <v>1.9357779674406528</v>
      </c>
      <c r="AK35" s="239">
        <f>$AE$15-AF27</f>
        <v>1.9242220325593471</v>
      </c>
      <c r="AL35" s="239">
        <f>IF($D$5&lt;=$F$5,IF($E$8="unilatéral","",NORMDIST(AI35,$D$5,$S$19,0)),NORMDIST(AI35,$D$5,$S$19,0))</f>
        <v>6.3319422082087273</v>
      </c>
      <c r="AP35" s="239">
        <v>0.18</v>
      </c>
      <c r="AQ35" s="239">
        <f t="shared" si="4"/>
        <v>9.0944696410134446E-3</v>
      </c>
      <c r="AR35" s="239">
        <f>IF($Y$11+AQ35&gt;$AE$15,$Y$11+AQ35,"")</f>
        <v>1.932386265708514</v>
      </c>
      <c r="AS35" s="241">
        <f>$AK$60+AQ35</f>
        <v>1.9347118569381303</v>
      </c>
      <c r="AT35" s="239">
        <f t="shared" si="8"/>
        <v>1.932386265708514</v>
      </c>
      <c r="AU35" s="239">
        <f>NORMDIST(AR35,$D$5,$S$19,0)</f>
        <v>100.95464801041155</v>
      </c>
      <c r="AV35" s="239">
        <f>NORMDIST(AR35,$F$5,$S$19,0)</f>
        <v>5.9939782267609981E-12</v>
      </c>
      <c r="AW35" s="239">
        <f>NORMDIST(AS35,$F$5,$S$19,0)</f>
        <v>1.2611786314231128E-8</v>
      </c>
      <c r="AX35" s="239">
        <f t="shared" si="9"/>
        <v>5.9939782267609981E-12</v>
      </c>
    </row>
    <row r="36" spans="2:50" x14ac:dyDescent="0.25">
      <c r="B36" s="122"/>
      <c r="C36" s="161">
        <v>7</v>
      </c>
      <c r="D36" s="164">
        <v>45.76</v>
      </c>
      <c r="E36" s="165">
        <v>45.72</v>
      </c>
      <c r="F36" s="97"/>
      <c r="G36" s="152" t="s">
        <v>213</v>
      </c>
      <c r="H36" s="152"/>
      <c r="I36" s="152"/>
      <c r="J36" s="182" t="str">
        <f>IF(D137&lt;D138,"égalité des variances","différence entre les variances")</f>
        <v>différence entre les variances</v>
      </c>
      <c r="K36" s="182"/>
      <c r="L36" s="183"/>
      <c r="M36" s="97"/>
      <c r="N36" s="97"/>
      <c r="O36" s="97"/>
      <c r="P36" s="97"/>
      <c r="Q36" s="97"/>
      <c r="R36" s="97"/>
      <c r="S36" s="97"/>
      <c r="T36" s="118"/>
      <c r="X36" s="60">
        <v>0.5</v>
      </c>
      <c r="Y36" s="239">
        <f t="shared" si="0"/>
        <v>1.9288819660112499</v>
      </c>
      <c r="Z36" s="239">
        <f t="shared" si="1"/>
        <v>157.44840063312662</v>
      </c>
      <c r="AA36" s="239">
        <f t="shared" si="2"/>
        <v>1.94888196601125</v>
      </c>
      <c r="AB36" s="239">
        <f t="shared" si="3"/>
        <v>157.44840063312662</v>
      </c>
      <c r="AE36" s="239">
        <v>0.85</v>
      </c>
      <c r="AF36" s="239">
        <f t="shared" si="7"/>
        <v>3.4883868444244301E-4</v>
      </c>
      <c r="AH36" s="234">
        <v>0</v>
      </c>
      <c r="AI36" s="241">
        <f>AI35</f>
        <v>1.9357779674406528</v>
      </c>
      <c r="AK36" s="241">
        <f>AK35</f>
        <v>1.9242220325593471</v>
      </c>
      <c r="AL36" s="243">
        <v>0</v>
      </c>
      <c r="AP36" s="239">
        <v>0.19</v>
      </c>
      <c r="AQ36" s="239">
        <f t="shared" si="4"/>
        <v>8.9835614746596217E-3</v>
      </c>
      <c r="AR36" s="241">
        <f>AR35</f>
        <v>1.932386265708514</v>
      </c>
      <c r="AS36" s="241">
        <f>AS35</f>
        <v>1.9347118569381303</v>
      </c>
      <c r="AT36" s="239">
        <f t="shared" si="8"/>
        <v>1.932386265708514</v>
      </c>
      <c r="AU36" s="234">
        <v>0</v>
      </c>
      <c r="AV36" s="234">
        <v>0</v>
      </c>
      <c r="AW36" s="234">
        <v>0</v>
      </c>
      <c r="AX36" s="239">
        <f t="shared" si="9"/>
        <v>0</v>
      </c>
    </row>
    <row r="37" spans="2:50" x14ac:dyDescent="0.25">
      <c r="B37" s="122"/>
      <c r="C37" s="161">
        <v>8</v>
      </c>
      <c r="D37" s="164">
        <v>45.75</v>
      </c>
      <c r="E37" s="165">
        <v>45.78</v>
      </c>
      <c r="F37" s="97"/>
      <c r="G37" s="197" t="s">
        <v>215</v>
      </c>
      <c r="H37" s="197"/>
      <c r="I37" s="197"/>
      <c r="J37" s="197"/>
      <c r="K37" s="197"/>
      <c r="L37" s="197"/>
      <c r="M37" s="97"/>
      <c r="N37" s="97"/>
      <c r="O37" s="97"/>
      <c r="P37" s="97"/>
      <c r="Q37" s="97"/>
      <c r="R37" s="97"/>
      <c r="S37" s="97"/>
      <c r="T37" s="118"/>
      <c r="X37" s="60">
        <v>0.4</v>
      </c>
      <c r="Y37" s="239">
        <f t="shared" si="0"/>
        <v>1.9291055728090001</v>
      </c>
      <c r="Z37" s="239">
        <f t="shared" si="1"/>
        <v>164.69541356032488</v>
      </c>
      <c r="AA37" s="239">
        <f t="shared" si="2"/>
        <v>1.9491055728090001</v>
      </c>
      <c r="AB37" s="239">
        <f t="shared" si="3"/>
        <v>164.69541356032488</v>
      </c>
      <c r="AE37" s="239">
        <v>0.9</v>
      </c>
      <c r="AF37" s="239">
        <f t="shared" si="7"/>
        <v>2.3255912296162853E-4</v>
      </c>
      <c r="AH37" s="239">
        <f>IF($D$5&gt;$F$5,IF($E$8="unilatéral","",NORMDIST(AI37,$D$5,$S$19,0)),NORMDIST(AI37,$D$5,$S$19,0))</f>
        <v>7.2328042601428706</v>
      </c>
      <c r="AI37" s="239">
        <f>$AE$12+AF28</f>
        <v>1.9356616878791719</v>
      </c>
      <c r="AK37" s="239">
        <f>$AE$15-AF28</f>
        <v>1.924338312120828</v>
      </c>
      <c r="AL37" s="239">
        <f>IF($D$5&lt;=$F$5,IF($E$8="unilatéral","",NORMDIST(AI37,$D$5,$S$19,0)),NORMDIST(AI37,$D$5,$S$19,0))</f>
        <v>7.2328042601428706</v>
      </c>
      <c r="AP37" s="239">
        <v>0.2</v>
      </c>
      <c r="AQ37" s="239">
        <f t="shared" si="4"/>
        <v>8.8726533083058005E-3</v>
      </c>
      <c r="AR37" s="239">
        <f>IF($Y$11+AQ37&gt;$AE$15,$Y$11+AQ37,"")</f>
        <v>1.9321644493758066</v>
      </c>
      <c r="AS37" s="241">
        <f>$AK$60+AQ37</f>
        <v>1.9344900406054228</v>
      </c>
      <c r="AT37" s="239">
        <f t="shared" si="8"/>
        <v>1.9321644493758066</v>
      </c>
      <c r="AU37" s="239">
        <f>NORMDIST(AR37,$D$5,$S$19,0)</f>
        <v>111.67732423547312</v>
      </c>
      <c r="AV37" s="239">
        <f>NORMDIST(AR37,$F$5,$S$19,0)</f>
        <v>2.7303568055831245E-12</v>
      </c>
      <c r="AW37" s="239">
        <f>NORMDIST(AS37,$F$5,$S$19,0)</f>
        <v>6.3692363769210098E-9</v>
      </c>
      <c r="AX37" s="239">
        <f t="shared" si="9"/>
        <v>2.7303568055831245E-12</v>
      </c>
    </row>
    <row r="38" spans="2:50" x14ac:dyDescent="0.25">
      <c r="B38" s="122"/>
      <c r="C38" s="161">
        <v>9</v>
      </c>
      <c r="D38" s="164">
        <v>45.77</v>
      </c>
      <c r="E38" s="165">
        <v>45.81</v>
      </c>
      <c r="F38" s="97"/>
      <c r="G38" s="192" t="s">
        <v>205</v>
      </c>
      <c r="H38" s="193"/>
      <c r="I38" s="193"/>
      <c r="J38" s="194"/>
      <c r="K38" s="151" t="s">
        <v>216</v>
      </c>
      <c r="L38" s="153" t="s">
        <v>206</v>
      </c>
      <c r="M38" s="97"/>
      <c r="N38" s="97"/>
      <c r="O38" s="97"/>
      <c r="P38" s="97"/>
      <c r="Q38" s="97"/>
      <c r="R38" s="97"/>
      <c r="S38" s="97"/>
      <c r="T38" s="118"/>
      <c r="X38" s="60">
        <v>0.3</v>
      </c>
      <c r="Y38" s="239">
        <f t="shared" si="0"/>
        <v>1.92932917960675</v>
      </c>
      <c r="Z38" s="239">
        <f t="shared" si="1"/>
        <v>170.56181623197514</v>
      </c>
      <c r="AA38" s="239">
        <f t="shared" si="2"/>
        <v>1.94932917960675</v>
      </c>
      <c r="AB38" s="239">
        <f t="shared" si="3"/>
        <v>170.56181623197514</v>
      </c>
      <c r="AE38" s="239">
        <v>0.95</v>
      </c>
      <c r="AF38" s="239">
        <f t="shared" si="7"/>
        <v>1.1627956148081448E-4</v>
      </c>
      <c r="AH38" s="234">
        <v>0</v>
      </c>
      <c r="AI38" s="241">
        <f>AI37</f>
        <v>1.9356616878791719</v>
      </c>
      <c r="AK38" s="241">
        <f>AK37</f>
        <v>1.924338312120828</v>
      </c>
      <c r="AL38" s="243">
        <v>0</v>
      </c>
      <c r="AP38" s="239">
        <v>0.21</v>
      </c>
      <c r="AQ38" s="239">
        <f t="shared" si="4"/>
        <v>8.7617451419519776E-3</v>
      </c>
      <c r="AR38" s="241">
        <f>AR37</f>
        <v>1.9321644493758066</v>
      </c>
      <c r="AS38" s="241">
        <f>AS37</f>
        <v>1.9344900406054228</v>
      </c>
      <c r="AT38" s="239">
        <f t="shared" si="8"/>
        <v>1.9321644493758066</v>
      </c>
      <c r="AU38" s="234">
        <v>0</v>
      </c>
      <c r="AV38" s="234">
        <v>0</v>
      </c>
      <c r="AW38" s="234">
        <v>0</v>
      </c>
      <c r="AX38" s="239">
        <f t="shared" si="9"/>
        <v>0</v>
      </c>
    </row>
    <row r="39" spans="2:50" ht="15" customHeight="1" x14ac:dyDescent="0.25">
      <c r="B39" s="122"/>
      <c r="C39" s="161">
        <v>10</v>
      </c>
      <c r="D39" s="164">
        <v>45.76</v>
      </c>
      <c r="E39" s="165">
        <v>45.72</v>
      </c>
      <c r="F39" s="97"/>
      <c r="G39" s="195" t="s">
        <v>217</v>
      </c>
      <c r="H39" s="195"/>
      <c r="I39" s="195"/>
      <c r="J39" s="195"/>
      <c r="K39" s="120">
        <f>(DEVSQ(D30:D59)+DEVSQ(E30:E59))/(K29-1+L29-1)</f>
        <v>1.0098684210526584E-3</v>
      </c>
      <c r="L39" s="184" t="s">
        <v>255</v>
      </c>
      <c r="M39" s="97"/>
      <c r="N39" s="97"/>
      <c r="O39" s="97"/>
      <c r="P39" s="97"/>
      <c r="Q39" s="97"/>
      <c r="R39" s="97"/>
      <c r="S39" s="97"/>
      <c r="T39" s="118"/>
      <c r="X39" s="60">
        <v>0.2</v>
      </c>
      <c r="Y39" s="239">
        <f t="shared" si="0"/>
        <v>1.9295527864044999</v>
      </c>
      <c r="Z39" s="239">
        <f t="shared" si="1"/>
        <v>174.87960916675209</v>
      </c>
      <c r="AA39" s="239">
        <f t="shared" si="2"/>
        <v>1.9495527864044999</v>
      </c>
      <c r="AB39" s="239">
        <f t="shared" si="3"/>
        <v>174.87960916675209</v>
      </c>
      <c r="AE39" s="239">
        <v>1</v>
      </c>
      <c r="AF39" s="239">
        <f t="shared" si="7"/>
        <v>0</v>
      </c>
      <c r="AH39" s="239">
        <f>IF($D$5&gt;$F$5,IF($E$8="unilatéral","",NORMDIST(AI39,$D$5,$S$19,0)),NORMDIST(AI39,$D$5,$S$19,0))</f>
        <v>8.2395229561027268</v>
      </c>
      <c r="AI39" s="239">
        <f>$AE$12+AF29</f>
        <v>1.9355454083176911</v>
      </c>
      <c r="AK39" s="239">
        <f>$AE$15-AF29</f>
        <v>1.9244545916823088</v>
      </c>
      <c r="AL39" s="239">
        <f>IF($D$5&lt;=$F$5,IF($E$8="unilatéral","",NORMDIST(AI39,$D$5,$S$19,0)),NORMDIST(AI39,$D$5,$S$19,0))</f>
        <v>8.2395229561027268</v>
      </c>
      <c r="AP39" s="239">
        <v>0.22</v>
      </c>
      <c r="AQ39" s="239">
        <f t="shared" si="4"/>
        <v>8.6508369755981546E-3</v>
      </c>
      <c r="AR39" s="239">
        <f>IF($Y$11+AQ39&gt;$AE$15,$Y$11+AQ39,"")</f>
        <v>1.9319426330430989</v>
      </c>
      <c r="AS39" s="241">
        <f>$AK$60+AQ39</f>
        <v>1.9342682242727152</v>
      </c>
      <c r="AT39" s="239">
        <f t="shared" si="8"/>
        <v>1.9319426330430989</v>
      </c>
      <c r="AU39" s="239">
        <f>NORMDIST(AR39,$D$5,$S$19,0)</f>
        <v>122.3291638146265</v>
      </c>
      <c r="AV39" s="239">
        <f>NORMDIST(AR39,$F$5,$S$19,0)</f>
        <v>1.2315441196376619E-12</v>
      </c>
      <c r="AW39" s="239">
        <f>NORMDIST(AS39,$F$5,$S$19,0)</f>
        <v>3.1851101523397164E-9</v>
      </c>
      <c r="AX39" s="239">
        <f t="shared" si="9"/>
        <v>1.2315441196376619E-12</v>
      </c>
    </row>
    <row r="40" spans="2:50" ht="15.75" customHeight="1" x14ac:dyDescent="0.25">
      <c r="B40" s="122"/>
      <c r="C40" s="161">
        <v>11</v>
      </c>
      <c r="D40" s="164">
        <v>45.79</v>
      </c>
      <c r="E40" s="165">
        <v>45.81</v>
      </c>
      <c r="F40" s="97"/>
      <c r="G40" s="195" t="s">
        <v>219</v>
      </c>
      <c r="H40" s="195"/>
      <c r="I40" s="195"/>
      <c r="J40" s="195"/>
      <c r="K40" s="120">
        <f>(K30-L30)/SQRT(K39)*SQRT((K29*L29)/(K29+L29))</f>
        <v>0.64681630738896556</v>
      </c>
      <c r="L40" s="185"/>
      <c r="M40" s="97"/>
      <c r="N40" s="97"/>
      <c r="O40" s="97"/>
      <c r="P40" s="97"/>
      <c r="Q40" s="97"/>
      <c r="R40" s="97"/>
      <c r="S40" s="97"/>
      <c r="T40" s="118"/>
      <c r="X40" s="60">
        <v>0.1</v>
      </c>
      <c r="Y40" s="239">
        <f t="shared" si="0"/>
        <v>1.92977639320225</v>
      </c>
      <c r="Z40" s="239">
        <f t="shared" si="1"/>
        <v>177.52257600006274</v>
      </c>
      <c r="AA40" s="239">
        <f t="shared" si="2"/>
        <v>1.94977639320225</v>
      </c>
      <c r="AB40" s="239">
        <f t="shared" si="3"/>
        <v>177.52257600006274</v>
      </c>
      <c r="AH40" s="234">
        <v>0</v>
      </c>
      <c r="AI40" s="241">
        <f>AI39</f>
        <v>1.9355454083176911</v>
      </c>
      <c r="AK40" s="241">
        <f>AK39</f>
        <v>1.9244545916823088</v>
      </c>
      <c r="AL40" s="243">
        <v>0</v>
      </c>
      <c r="AP40" s="239">
        <v>0.23</v>
      </c>
      <c r="AQ40" s="239">
        <f t="shared" si="4"/>
        <v>8.5399288092443335E-3</v>
      </c>
      <c r="AR40" s="241">
        <f>AR39</f>
        <v>1.9319426330430989</v>
      </c>
      <c r="AS40" s="241">
        <f>AS39</f>
        <v>1.9342682242727152</v>
      </c>
      <c r="AT40" s="239">
        <f t="shared" si="8"/>
        <v>1.9319426330430989</v>
      </c>
      <c r="AU40" s="234">
        <v>0</v>
      </c>
      <c r="AV40" s="234">
        <v>0</v>
      </c>
      <c r="AW40" s="234">
        <v>0</v>
      </c>
      <c r="AX40" s="239">
        <f t="shared" si="9"/>
        <v>0</v>
      </c>
    </row>
    <row r="41" spans="2:50" x14ac:dyDescent="0.25">
      <c r="B41" s="122"/>
      <c r="C41" s="161">
        <v>12</v>
      </c>
      <c r="D41" s="164">
        <v>45.72</v>
      </c>
      <c r="E41" s="165">
        <v>45.79</v>
      </c>
      <c r="F41" s="97"/>
      <c r="G41" s="195" t="s">
        <v>220</v>
      </c>
      <c r="H41" s="195"/>
      <c r="I41" s="195"/>
      <c r="J41" s="195"/>
      <c r="K41" s="127">
        <f>TINV(0.05,COUNT(D30:E59)-2)</f>
        <v>2.0243941639119702</v>
      </c>
      <c r="L41" s="186"/>
      <c r="M41" s="97"/>
      <c r="N41" s="97"/>
      <c r="O41" s="97"/>
      <c r="P41" s="97"/>
      <c r="Q41" s="97"/>
      <c r="R41" s="97"/>
      <c r="S41" s="97"/>
      <c r="T41" s="118"/>
      <c r="W41" s="238" t="s">
        <v>119</v>
      </c>
      <c r="X41" s="60">
        <v>0</v>
      </c>
      <c r="Y41" s="239">
        <f>D5</f>
        <v>1.93</v>
      </c>
      <c r="Z41" s="239">
        <f t="shared" si="1"/>
        <v>178.41241161527711</v>
      </c>
      <c r="AA41" s="239">
        <f>F5</f>
        <v>1.95</v>
      </c>
      <c r="AB41" s="239">
        <f t="shared" si="3"/>
        <v>178.41241161527711</v>
      </c>
      <c r="AH41" s="239">
        <f>IF($D$5&gt;$F$5,IF($E$8="unilatéral","",NORMDIST(AI41,$D$5,$S$19,0)),NORMDIST(AI41,$D$5,$S$19,0))</f>
        <v>9.361016494282655</v>
      </c>
      <c r="AI41" s="239">
        <f>$AE$12+AF30</f>
        <v>1.9354291287562102</v>
      </c>
      <c r="AK41" s="239">
        <f>$AE$15-AF30</f>
        <v>1.9245708712437897</v>
      </c>
      <c r="AL41" s="239">
        <f>IF($D$5&lt;=$F$5,IF($E$8="unilatéral","",NORMDIST(AI41,$D$5,$S$19,0)),NORMDIST(AI41,$D$5,$S$19,0))</f>
        <v>9.361016494282655</v>
      </c>
      <c r="AP41" s="239">
        <v>0.24</v>
      </c>
      <c r="AQ41" s="239">
        <f t="shared" si="4"/>
        <v>8.4290206428905105E-3</v>
      </c>
      <c r="AR41" s="239">
        <f>IF($Y$11+AQ41&gt;$AE$15,$Y$11+AQ41,"")</f>
        <v>1.9317208167103912</v>
      </c>
      <c r="AS41" s="241">
        <f>$AK$60+AQ41</f>
        <v>1.9340464079400075</v>
      </c>
      <c r="AT41" s="239">
        <f t="shared" si="8"/>
        <v>1.9317208167103912</v>
      </c>
      <c r="AU41" s="239">
        <f>NORMDIST(AR41,$D$5,$S$19,0)</f>
        <v>132.68485092326151</v>
      </c>
      <c r="AV41" s="239">
        <f>NORMDIST(AR41,$F$5,$S$19,0)</f>
        <v>5.5005595584957942E-13</v>
      </c>
      <c r="AW41" s="239">
        <f>NORMDIST(AS41,$F$5,$S$19,0)</f>
        <v>1.5772040089636111E-9</v>
      </c>
      <c r="AX41" s="239">
        <f t="shared" si="9"/>
        <v>5.5005595584957942E-13</v>
      </c>
    </row>
    <row r="42" spans="2:50" x14ac:dyDescent="0.25">
      <c r="B42" s="122"/>
      <c r="C42" s="161">
        <v>13</v>
      </c>
      <c r="D42" s="164">
        <v>45.76</v>
      </c>
      <c r="E42" s="165">
        <v>45.75</v>
      </c>
      <c r="F42" s="97"/>
      <c r="G42" s="195" t="s">
        <v>214</v>
      </c>
      <c r="H42" s="195"/>
      <c r="I42" s="195"/>
      <c r="J42" s="195"/>
      <c r="K42" s="113" t="str">
        <f>IF(ABS(K40)&lt;K41,"H0 accepté","H0 rejeté")</f>
        <v>H0 accepté</v>
      </c>
      <c r="L42" s="127">
        <f>SQRT(2*K41^2*K39/K29)</f>
        <v>2.0343584283668597E-2</v>
      </c>
      <c r="M42" s="97"/>
      <c r="N42" s="97"/>
      <c r="O42" s="97"/>
      <c r="P42" s="97"/>
      <c r="Q42" s="97"/>
      <c r="R42" s="97"/>
      <c r="S42" s="97"/>
      <c r="T42" s="118"/>
      <c r="X42" s="60">
        <v>0.1</v>
      </c>
      <c r="Y42" s="239">
        <f t="shared" ref="Y42:Y71" si="10">$Y$41+X42*$S$19</f>
        <v>1.9302236067977498</v>
      </c>
      <c r="Z42" s="239">
        <f t="shared" si="1"/>
        <v>177.52257600006274</v>
      </c>
      <c r="AA42" s="239">
        <f t="shared" ref="AA42:AA71" si="11">$AA$41+X42*$S$19</f>
        <v>1.9502236067977499</v>
      </c>
      <c r="AB42" s="239">
        <f t="shared" si="3"/>
        <v>177.52257600006274</v>
      </c>
      <c r="AH42" s="234">
        <v>0</v>
      </c>
      <c r="AI42" s="241">
        <f>AI41</f>
        <v>1.9354291287562102</v>
      </c>
      <c r="AK42" s="241">
        <f>AK41</f>
        <v>1.9245708712437897</v>
      </c>
      <c r="AL42" s="243">
        <v>0</v>
      </c>
      <c r="AP42" s="239">
        <v>0.25</v>
      </c>
      <c r="AQ42" s="239">
        <f t="shared" si="4"/>
        <v>8.3181124765366876E-3</v>
      </c>
      <c r="AR42" s="241">
        <f>AR41</f>
        <v>1.9317208167103912</v>
      </c>
      <c r="AS42" s="241">
        <f>AS41</f>
        <v>1.9340464079400075</v>
      </c>
      <c r="AT42" s="239">
        <f t="shared" si="8"/>
        <v>1.9317208167103912</v>
      </c>
      <c r="AU42" s="234">
        <v>0</v>
      </c>
      <c r="AV42" s="234">
        <v>0</v>
      </c>
      <c r="AW42" s="234">
        <v>0</v>
      </c>
      <c r="AX42" s="239">
        <f t="shared" si="9"/>
        <v>0</v>
      </c>
    </row>
    <row r="43" spans="2:50" x14ac:dyDescent="0.25">
      <c r="B43" s="122"/>
      <c r="C43" s="161">
        <v>14</v>
      </c>
      <c r="D43" s="164">
        <v>45.75</v>
      </c>
      <c r="E43" s="165">
        <v>45.74</v>
      </c>
      <c r="F43" s="97"/>
      <c r="G43" s="197" t="s">
        <v>221</v>
      </c>
      <c r="H43" s="197"/>
      <c r="I43" s="197"/>
      <c r="J43" s="197"/>
      <c r="K43" s="197"/>
      <c r="L43" s="197"/>
      <c r="M43" s="97"/>
      <c r="N43" s="97"/>
      <c r="O43" s="97"/>
      <c r="P43" s="97"/>
      <c r="Q43" s="97"/>
      <c r="R43" s="97"/>
      <c r="S43" s="97"/>
      <c r="T43" s="118"/>
      <c r="X43" s="60">
        <v>0.2</v>
      </c>
      <c r="Y43" s="239">
        <f t="shared" si="10"/>
        <v>1.9304472135955</v>
      </c>
      <c r="Z43" s="239">
        <f t="shared" ref="Z43:Z71" si="12">NORMDIST(Y43,$D$5,$S$19,0)</f>
        <v>174.87960916675209</v>
      </c>
      <c r="AA43" s="239">
        <f t="shared" si="11"/>
        <v>1.9504472135955</v>
      </c>
      <c r="AB43" s="239">
        <f t="shared" ref="AB43:AB71" si="13">NORMDIST(AA43,$F$5,$S$19,0)</f>
        <v>174.87960916675209</v>
      </c>
      <c r="AH43" s="239">
        <f>IF($D$5&gt;$F$5,IF($E$8="unilatéral","",NORMDIST(AI43,$D$5,$S$19,0)),NORMDIST(AI43,$D$5,$S$19,0))</f>
        <v>10.606437551619798</v>
      </c>
      <c r="AI43" s="239">
        <f>$AE$12+AF31</f>
        <v>1.9353128491947293</v>
      </c>
      <c r="AK43" s="239">
        <f>$AE$15-AF31</f>
        <v>1.9246871508052705</v>
      </c>
      <c r="AL43" s="239">
        <f>IF($D$5&lt;=$F$5,IF($E$8="unilatéral","",NORMDIST(AI43,$D$5,$S$19,0)),NORMDIST(AI43,$D$5,$S$19,0))</f>
        <v>10.606437551619798</v>
      </c>
      <c r="AP43" s="239">
        <v>0.26</v>
      </c>
      <c r="AQ43" s="239">
        <f t="shared" si="4"/>
        <v>8.2072043101828647E-3</v>
      </c>
      <c r="AR43" s="239">
        <f>IF($Y$11+AQ43&gt;$AE$15,$Y$11+AQ43,"")</f>
        <v>1.9314990003776835</v>
      </c>
      <c r="AS43" s="241">
        <f>$AK$60+AQ43</f>
        <v>1.9338245916072998</v>
      </c>
      <c r="AT43" s="239">
        <f t="shared" si="8"/>
        <v>1.9314990003776835</v>
      </c>
      <c r="AU43" s="239">
        <f>NORMDIST(AR43,$D$5,$S$19,0)</f>
        <v>142.50791988873576</v>
      </c>
      <c r="AV43" s="239">
        <f>NORMDIST(AR43,$F$5,$S$19,0)</f>
        <v>2.4327086223585007E-13</v>
      </c>
      <c r="AW43" s="239">
        <f>NORMDIST(AS43,$F$5,$S$19,0)</f>
        <v>7.733527151912722E-10</v>
      </c>
      <c r="AX43" s="239">
        <f t="shared" si="9"/>
        <v>2.4327086223585007E-13</v>
      </c>
    </row>
    <row r="44" spans="2:50" x14ac:dyDescent="0.25">
      <c r="B44" s="122"/>
      <c r="C44" s="161">
        <v>15</v>
      </c>
      <c r="D44" s="164">
        <v>45.8</v>
      </c>
      <c r="E44" s="165">
        <v>45.81</v>
      </c>
      <c r="F44" s="97"/>
      <c r="G44" s="195" t="s">
        <v>222</v>
      </c>
      <c r="H44" s="195"/>
      <c r="I44" s="195"/>
      <c r="J44" s="195"/>
      <c r="K44" s="120">
        <f>VAR(D30:D59)/K29+VAR(E30:E59)/L29</f>
        <v>1.0098684210526585E-4</v>
      </c>
      <c r="L44" s="187"/>
      <c r="M44" s="97"/>
      <c r="N44" s="97"/>
      <c r="O44" s="97"/>
      <c r="P44" s="97"/>
      <c r="Q44" s="97"/>
      <c r="R44" s="97"/>
      <c r="S44" s="97"/>
      <c r="T44" s="118"/>
      <c r="X44" s="60">
        <v>0.3</v>
      </c>
      <c r="Y44" s="239">
        <f t="shared" si="10"/>
        <v>1.9306708203932499</v>
      </c>
      <c r="Z44" s="239">
        <f t="shared" si="12"/>
        <v>170.56181623197514</v>
      </c>
      <c r="AA44" s="239">
        <f t="shared" si="11"/>
        <v>1.9506708203932499</v>
      </c>
      <c r="AB44" s="239">
        <f t="shared" si="13"/>
        <v>170.56181623197514</v>
      </c>
      <c r="AH44" s="234">
        <v>0</v>
      </c>
      <c r="AI44" s="241">
        <f>AI43</f>
        <v>1.9353128491947293</v>
      </c>
      <c r="AK44" s="241">
        <f>AK43</f>
        <v>1.9246871508052705</v>
      </c>
      <c r="AL44" s="243">
        <v>0</v>
      </c>
      <c r="AP44" s="239">
        <v>0.27</v>
      </c>
      <c r="AQ44" s="239">
        <f t="shared" si="4"/>
        <v>8.0962961438290418E-3</v>
      </c>
      <c r="AR44" s="241">
        <f>AR43</f>
        <v>1.9314990003776835</v>
      </c>
      <c r="AS44" s="241">
        <f>AS43</f>
        <v>1.9338245916072998</v>
      </c>
      <c r="AT44" s="239">
        <f t="shared" si="8"/>
        <v>1.9314990003776835</v>
      </c>
      <c r="AU44" s="234">
        <v>0</v>
      </c>
      <c r="AV44" s="234">
        <v>0</v>
      </c>
      <c r="AW44" s="234">
        <v>0</v>
      </c>
      <c r="AX44" s="239">
        <f t="shared" si="9"/>
        <v>0</v>
      </c>
    </row>
    <row r="45" spans="2:50" x14ac:dyDescent="0.25">
      <c r="B45" s="122"/>
      <c r="C45" s="161">
        <v>16</v>
      </c>
      <c r="D45" s="164">
        <v>45.75</v>
      </c>
      <c r="E45" s="165">
        <v>45.76</v>
      </c>
      <c r="F45" s="97"/>
      <c r="G45" s="195" t="s">
        <v>223</v>
      </c>
      <c r="H45" s="195"/>
      <c r="I45" s="195"/>
      <c r="J45" s="195"/>
      <c r="K45" s="127">
        <f>1/(((VAR(D30:D59)/K29/K44)^2/(K29-1))+(VAR(E30:E59)/L29/K44)^2/(L29-1))</f>
        <v>28.429776711029593</v>
      </c>
      <c r="L45" s="188"/>
      <c r="M45" s="97"/>
      <c r="N45" s="97"/>
      <c r="O45" s="97"/>
      <c r="P45" s="97"/>
      <c r="Q45" s="97"/>
      <c r="R45" s="97"/>
      <c r="S45" s="97"/>
      <c r="T45" s="118"/>
      <c r="X45" s="60">
        <v>0.4</v>
      </c>
      <c r="Y45" s="239">
        <f t="shared" si="10"/>
        <v>1.9308944271909998</v>
      </c>
      <c r="Z45" s="239">
        <f t="shared" si="12"/>
        <v>164.69541356032488</v>
      </c>
      <c r="AA45" s="239">
        <f t="shared" si="11"/>
        <v>1.9508944271909998</v>
      </c>
      <c r="AB45" s="239">
        <f t="shared" si="13"/>
        <v>164.69541356032488</v>
      </c>
      <c r="AH45" s="239">
        <f>IF($D$5&gt;$F$5,IF($E$8="unilatéral","",NORMDIST(AI45,$D$5,$S$19,0)),NORMDIST(AI45,$D$5,$S$19,0))</f>
        <v>11.985099791765027</v>
      </c>
      <c r="AI45" s="239">
        <f>$AE$12+AF32</f>
        <v>1.9351965696332487</v>
      </c>
      <c r="AK45" s="239">
        <f>$AE$15-AF32</f>
        <v>1.9248034303667512</v>
      </c>
      <c r="AL45" s="239">
        <f>IF($D$5&lt;=$F$5,IF($E$8="unilatéral","",NORMDIST(AI45,$D$5,$S$19,0)),NORMDIST(AI45,$D$5,$S$19,0))</f>
        <v>11.985099791765027</v>
      </c>
      <c r="AP45" s="239">
        <v>0.28000000000000003</v>
      </c>
      <c r="AQ45" s="239">
        <f t="shared" si="4"/>
        <v>7.9853879774752189E-3</v>
      </c>
      <c r="AR45" s="239">
        <f>IF($Y$11+AQ45&gt;$AE$15,$Y$11+AQ45,"")</f>
        <v>1.9312771840449758</v>
      </c>
      <c r="AS45" s="241">
        <f>$AK$60+AQ45</f>
        <v>1.9336027752745921</v>
      </c>
      <c r="AT45" s="239">
        <f t="shared" si="8"/>
        <v>1.9312771840449758</v>
      </c>
      <c r="AU45" s="239">
        <f>NORMDIST(AR45,$D$5,$S$19,0)</f>
        <v>151.55943846152744</v>
      </c>
      <c r="AV45" s="239">
        <f>NORMDIST(AR45,$F$5,$S$19,0)</f>
        <v>1.0653679899110827E-13</v>
      </c>
      <c r="AW45" s="239">
        <f>NORMDIST(AS45,$F$5,$S$19,0)</f>
        <v>3.7548594332004373E-10</v>
      </c>
      <c r="AX45" s="239">
        <f t="shared" si="9"/>
        <v>1.0653679899110827E-13</v>
      </c>
    </row>
    <row r="46" spans="2:50" x14ac:dyDescent="0.25">
      <c r="B46" s="122"/>
      <c r="C46" s="161">
        <v>17</v>
      </c>
      <c r="D46" s="164">
        <v>45.74</v>
      </c>
      <c r="E46" s="165">
        <v>45.82</v>
      </c>
      <c r="F46" s="97"/>
      <c r="G46" s="195" t="s">
        <v>224</v>
      </c>
      <c r="H46" s="195"/>
      <c r="I46" s="195"/>
      <c r="J46" s="195"/>
      <c r="K46" s="120">
        <f>(K30-L30)/SQRT(K44)</f>
        <v>0.64681630738896556</v>
      </c>
      <c r="L46" s="188"/>
      <c r="M46" s="97"/>
      <c r="N46" s="97"/>
      <c r="O46" s="97"/>
      <c r="P46" s="97"/>
      <c r="Q46" s="97"/>
      <c r="R46" s="97"/>
      <c r="S46" s="97"/>
      <c r="T46" s="118"/>
      <c r="X46" s="60">
        <v>0.5</v>
      </c>
      <c r="Y46" s="239">
        <f t="shared" si="10"/>
        <v>1.9311180339887499</v>
      </c>
      <c r="Z46" s="239">
        <f t="shared" si="12"/>
        <v>157.44840063312662</v>
      </c>
      <c r="AA46" s="239">
        <f t="shared" si="11"/>
        <v>1.9511180339887499</v>
      </c>
      <c r="AB46" s="239">
        <f t="shared" si="13"/>
        <v>157.44840063312662</v>
      </c>
      <c r="AH46" s="234">
        <v>0</v>
      </c>
      <c r="AI46" s="241">
        <f>AI45</f>
        <v>1.9351965696332487</v>
      </c>
      <c r="AK46" s="241">
        <f>AK45</f>
        <v>1.9248034303667512</v>
      </c>
      <c r="AL46" s="243">
        <v>0</v>
      </c>
      <c r="AP46" s="239">
        <v>0.28999999999999998</v>
      </c>
      <c r="AQ46" s="239">
        <f t="shared" si="4"/>
        <v>7.8744798111213977E-3</v>
      </c>
      <c r="AR46" s="241">
        <f>AR45</f>
        <v>1.9312771840449758</v>
      </c>
      <c r="AS46" s="241">
        <f>AS45</f>
        <v>1.9336027752745921</v>
      </c>
      <c r="AT46" s="239">
        <f t="shared" si="8"/>
        <v>1.9312771840449758</v>
      </c>
      <c r="AU46" s="234">
        <v>0</v>
      </c>
      <c r="AV46" s="234">
        <v>0</v>
      </c>
      <c r="AW46" s="234">
        <v>0</v>
      </c>
      <c r="AX46" s="239">
        <f t="shared" si="9"/>
        <v>0</v>
      </c>
    </row>
    <row r="47" spans="2:50" x14ac:dyDescent="0.25">
      <c r="B47" s="122"/>
      <c r="C47" s="161">
        <v>18</v>
      </c>
      <c r="D47" s="164">
        <v>45.77</v>
      </c>
      <c r="E47" s="165">
        <v>45.72</v>
      </c>
      <c r="F47" s="97"/>
      <c r="G47" s="195" t="s">
        <v>225</v>
      </c>
      <c r="H47" s="195"/>
      <c r="I47" s="195"/>
      <c r="J47" s="195"/>
      <c r="K47" s="127">
        <f>TINV(0.05,INT(K45))</f>
        <v>2.0484071417952445</v>
      </c>
      <c r="L47" s="188"/>
      <c r="M47" s="97"/>
      <c r="N47" s="97"/>
      <c r="O47" s="97"/>
      <c r="P47" s="97"/>
      <c r="Q47" s="97"/>
      <c r="R47" s="97"/>
      <c r="S47" s="97"/>
      <c r="T47" s="118"/>
      <c r="X47" s="60">
        <v>0.6</v>
      </c>
      <c r="Y47" s="239">
        <f t="shared" si="10"/>
        <v>1.9313416407864998</v>
      </c>
      <c r="Z47" s="239">
        <f t="shared" si="12"/>
        <v>149.02257276828644</v>
      </c>
      <c r="AA47" s="239">
        <f t="shared" si="11"/>
        <v>1.9513416407864999</v>
      </c>
      <c r="AB47" s="239">
        <f t="shared" si="13"/>
        <v>149.02257276828644</v>
      </c>
      <c r="AH47" s="239">
        <f>IF($D$5&gt;$F$5,IF($E$8="unilatéral","",NORMDIST(AI47,$D$5,$S$19,0)),NORMDIST(AI47,$D$5,$S$19,0))</f>
        <v>13.506392180461258</v>
      </c>
      <c r="AI47" s="239">
        <f>$AE$12+AF33</f>
        <v>1.9350802900717679</v>
      </c>
      <c r="AK47" s="239">
        <f>$AE$15-AF33</f>
        <v>1.924919709928232</v>
      </c>
      <c r="AL47" s="239">
        <f>IF($D$5&lt;=$F$5,IF($E$8="unilatéral","",NORMDIST(AI47,$D$5,$S$19,0)),NORMDIST(AI47,$D$5,$S$19,0))</f>
        <v>13.506392180461258</v>
      </c>
      <c r="AP47" s="239">
        <v>0.3</v>
      </c>
      <c r="AQ47" s="239">
        <f t="shared" si="4"/>
        <v>7.7635716447675748E-3</v>
      </c>
      <c r="AR47" s="239">
        <f>IF($Y$11+AQ47&gt;$AE$15,$Y$11+AQ47,"")</f>
        <v>1.9310553677122682</v>
      </c>
      <c r="AS47" s="241">
        <f>$AK$60+AQ47</f>
        <v>1.9333809589418844</v>
      </c>
      <c r="AT47" s="239">
        <f t="shared" si="8"/>
        <v>1.9310553677122682</v>
      </c>
      <c r="AU47" s="239">
        <f>NORMDIST(AR47,$D$5,$S$19,0)</f>
        <v>159.60750197239591</v>
      </c>
      <c r="AV47" s="239">
        <f>NORMDIST(AR47,$F$5,$S$19,0)</f>
        <v>4.6199313225767459E-14</v>
      </c>
      <c r="AW47" s="239">
        <f>NORMDIST(AS47,$F$5,$S$19,0)</f>
        <v>1.8052446998277236E-10</v>
      </c>
      <c r="AX47" s="239">
        <f t="shared" si="9"/>
        <v>4.6199313225767459E-14</v>
      </c>
    </row>
    <row r="48" spans="2:50" x14ac:dyDescent="0.25">
      <c r="B48" s="122"/>
      <c r="C48" s="161">
        <v>19</v>
      </c>
      <c r="D48" s="164">
        <v>45.74</v>
      </c>
      <c r="E48" s="165">
        <v>45.74</v>
      </c>
      <c r="F48" s="97"/>
      <c r="G48" s="195" t="s">
        <v>214</v>
      </c>
      <c r="H48" s="195"/>
      <c r="I48" s="195"/>
      <c r="J48" s="195"/>
      <c r="K48" s="113" t="str">
        <f>IF(ABS(K46)&lt;K47,"H0 accepté","H0 rejeté")</f>
        <v>H0 accepté</v>
      </c>
      <c r="L48" s="189"/>
      <c r="M48" s="97"/>
      <c r="N48" s="97"/>
      <c r="O48" s="97"/>
      <c r="P48" s="97"/>
      <c r="Q48" s="97"/>
      <c r="R48" s="97"/>
      <c r="S48" s="97"/>
      <c r="T48" s="118"/>
      <c r="X48" s="60">
        <v>0.7</v>
      </c>
      <c r="Y48" s="239">
        <f t="shared" si="10"/>
        <v>1.9315652475842497</v>
      </c>
      <c r="Z48" s="239">
        <f t="shared" si="12"/>
        <v>139.64420424995558</v>
      </c>
      <c r="AA48" s="239">
        <f t="shared" si="11"/>
        <v>1.9515652475842498</v>
      </c>
      <c r="AB48" s="239">
        <f t="shared" si="13"/>
        <v>139.64420424995558</v>
      </c>
      <c r="AH48" s="234">
        <v>0</v>
      </c>
      <c r="AI48" s="241">
        <f>AI47</f>
        <v>1.9350802900717679</v>
      </c>
      <c r="AK48" s="241">
        <f>AK47</f>
        <v>1.924919709928232</v>
      </c>
      <c r="AL48" s="243">
        <v>0</v>
      </c>
      <c r="AP48" s="239">
        <v>0.31</v>
      </c>
      <c r="AQ48" s="239">
        <f t="shared" si="4"/>
        <v>7.6526634784137527E-3</v>
      </c>
      <c r="AR48" s="241">
        <f>AR47</f>
        <v>1.9310553677122682</v>
      </c>
      <c r="AS48" s="241">
        <f>AS47</f>
        <v>1.9333809589418844</v>
      </c>
      <c r="AT48" s="239">
        <f t="shared" si="8"/>
        <v>1.9310553677122682</v>
      </c>
      <c r="AU48" s="234">
        <v>0</v>
      </c>
      <c r="AV48" s="234">
        <v>0</v>
      </c>
      <c r="AW48" s="234">
        <v>0</v>
      </c>
      <c r="AX48" s="239">
        <f t="shared" si="9"/>
        <v>0</v>
      </c>
    </row>
    <row r="49" spans="2:50" x14ac:dyDescent="0.25">
      <c r="B49" s="122"/>
      <c r="C49" s="161">
        <v>20</v>
      </c>
      <c r="D49" s="164">
        <v>45.75</v>
      </c>
      <c r="E49" s="165">
        <v>45.72</v>
      </c>
      <c r="F49" s="97"/>
      <c r="G49" s="198" t="s">
        <v>226</v>
      </c>
      <c r="H49" s="198"/>
      <c r="I49" s="198"/>
      <c r="J49" s="198"/>
      <c r="K49" s="198"/>
      <c r="L49" s="198"/>
      <c r="M49" s="97"/>
      <c r="N49" s="97"/>
      <c r="O49" s="97"/>
      <c r="P49" s="97"/>
      <c r="Q49" s="97"/>
      <c r="R49" s="97"/>
      <c r="S49" s="97"/>
      <c r="T49" s="118"/>
      <c r="X49" s="60">
        <v>0.8</v>
      </c>
      <c r="Y49" s="239">
        <f t="shared" si="10"/>
        <v>1.9317888543819999</v>
      </c>
      <c r="Z49" s="239">
        <f t="shared" si="12"/>
        <v>129.55400089642353</v>
      </c>
      <c r="AA49" s="239">
        <f t="shared" si="11"/>
        <v>1.9517888543819999</v>
      </c>
      <c r="AB49" s="239">
        <f t="shared" si="13"/>
        <v>129.55400089642353</v>
      </c>
      <c r="AH49" s="239">
        <f>IF($D$5&gt;$F$5,IF($E$8="unilatéral","",NORMDIST(AI49,$D$5,$S$19,0)),NORMDIST(AI49,$D$5,$S$19,0))</f>
        <v>15.179680964820459</v>
      </c>
      <c r="AI49" s="239">
        <f>$AE$12+AF34</f>
        <v>1.934964010510287</v>
      </c>
      <c r="AK49" s="239">
        <f>$AE$15-AF34</f>
        <v>1.9250359894897129</v>
      </c>
      <c r="AL49" s="239">
        <f>IF($D$5&lt;=$F$5,IF($E$8="unilatéral","",NORMDIST(AI49,$D$5,$S$19,0)),NORMDIST(AI49,$D$5,$S$19,0))</f>
        <v>15.179680964820459</v>
      </c>
      <c r="AP49" s="239">
        <v>0.32</v>
      </c>
      <c r="AQ49" s="239">
        <f t="shared" si="4"/>
        <v>7.5417553120599307E-3</v>
      </c>
      <c r="AR49" s="239">
        <f>IF($Y$11+AQ49&gt;$AE$15,$Y$11+AQ49,"")</f>
        <v>1.9308335513795607</v>
      </c>
      <c r="AS49" s="241">
        <f>$AK$60+AQ49</f>
        <v>1.933159142609177</v>
      </c>
      <c r="AT49" s="239">
        <f t="shared" si="8"/>
        <v>1.9308335513795607</v>
      </c>
      <c r="AU49" s="239">
        <f>NORMDIST(AR49,$D$5,$S$19,0)</f>
        <v>166.43702328198989</v>
      </c>
      <c r="AV49" s="239">
        <f>NORMDIST(AR49,$F$5,$S$19,0)</f>
        <v>1.9837992504282646E-14</v>
      </c>
      <c r="AW49" s="239">
        <f>NORMDIST(AS49,$F$5,$S$19,0)</f>
        <v>8.5941870189774551E-11</v>
      </c>
      <c r="AX49" s="239">
        <f t="shared" si="9"/>
        <v>1.9837992504282646E-14</v>
      </c>
    </row>
    <row r="50" spans="2:50" x14ac:dyDescent="0.25">
      <c r="B50" s="122"/>
      <c r="C50" s="161">
        <v>21</v>
      </c>
      <c r="D50" s="166"/>
      <c r="E50" s="167"/>
      <c r="F50" s="97"/>
      <c r="G50" s="195" t="s">
        <v>41</v>
      </c>
      <c r="H50" s="195"/>
      <c r="I50" s="195"/>
      <c r="J50" s="195"/>
      <c r="K50" s="199">
        <f>SQRT(K39)</f>
        <v>3.1778426975743443E-2</v>
      </c>
      <c r="L50" s="200"/>
      <c r="M50" s="97"/>
      <c r="N50" s="97"/>
      <c r="O50" s="97"/>
      <c r="P50" s="97"/>
      <c r="Q50" s="97"/>
      <c r="R50" s="97"/>
      <c r="S50" s="97"/>
      <c r="T50" s="118"/>
      <c r="X50" s="60">
        <v>0.9</v>
      </c>
      <c r="Y50" s="239">
        <f t="shared" si="10"/>
        <v>1.9320124611797498</v>
      </c>
      <c r="Z50" s="239">
        <f t="shared" si="12"/>
        <v>118.99694131672523</v>
      </c>
      <c r="AA50" s="239">
        <f t="shared" si="11"/>
        <v>1.9520124611797498</v>
      </c>
      <c r="AB50" s="239">
        <f t="shared" si="13"/>
        <v>118.99694131672523</v>
      </c>
      <c r="AH50" s="234">
        <v>0</v>
      </c>
      <c r="AI50" s="241">
        <f>AI49</f>
        <v>1.934964010510287</v>
      </c>
      <c r="AK50" s="241">
        <f>AK49</f>
        <v>1.9250359894897129</v>
      </c>
      <c r="AL50" s="243">
        <v>0</v>
      </c>
      <c r="AP50" s="239">
        <v>0.33</v>
      </c>
      <c r="AQ50" s="239">
        <f t="shared" ref="AQ50:AQ81" si="14">$AQ$17-AP50*$AQ$17</f>
        <v>7.4308471457061077E-3</v>
      </c>
      <c r="AR50" s="241">
        <f>AR49</f>
        <v>1.9308335513795607</v>
      </c>
      <c r="AS50" s="241">
        <f>AS49</f>
        <v>1.933159142609177</v>
      </c>
      <c r="AT50" s="239">
        <f t="shared" si="8"/>
        <v>1.9308335513795607</v>
      </c>
      <c r="AU50" s="234">
        <v>0</v>
      </c>
      <c r="AV50" s="234">
        <v>0</v>
      </c>
      <c r="AW50" s="234">
        <v>0</v>
      </c>
      <c r="AX50" s="239">
        <f t="shared" si="9"/>
        <v>0</v>
      </c>
    </row>
    <row r="51" spans="2:50" x14ac:dyDescent="0.25">
      <c r="B51" s="122"/>
      <c r="C51" s="161">
        <v>22</v>
      </c>
      <c r="D51" s="166"/>
      <c r="E51" s="167"/>
      <c r="F51" s="97"/>
      <c r="G51" s="196" t="s">
        <v>121</v>
      </c>
      <c r="H51" s="196"/>
      <c r="I51" s="196"/>
      <c r="J51" s="196"/>
      <c r="K51" s="201">
        <v>0.05</v>
      </c>
      <c r="L51" s="202"/>
      <c r="M51" s="97"/>
      <c r="N51" s="97"/>
      <c r="O51" s="97"/>
      <c r="P51" s="97"/>
      <c r="Q51" s="97"/>
      <c r="R51" s="97"/>
      <c r="S51" s="97"/>
      <c r="T51" s="118"/>
      <c r="X51" s="60">
        <v>1</v>
      </c>
      <c r="Y51" s="239">
        <f t="shared" si="10"/>
        <v>1.9322360679774997</v>
      </c>
      <c r="Z51" s="239">
        <f t="shared" si="12"/>
        <v>108.21259771793756</v>
      </c>
      <c r="AA51" s="239">
        <f t="shared" si="11"/>
        <v>1.9522360679774997</v>
      </c>
      <c r="AB51" s="239">
        <f t="shared" si="13"/>
        <v>108.21259771793756</v>
      </c>
      <c r="AH51" s="239">
        <f>IF($D$5&gt;$F$5,IF($E$8="unilatéral","",NORMDIST(AI51,$D$5,$S$19,0)),NORMDIST(AI51,$D$5,$S$19,0))</f>
        <v>17.01419940193723</v>
      </c>
      <c r="AI51" s="239">
        <f>$AE$12+AF35</f>
        <v>1.9348477309488061</v>
      </c>
      <c r="AK51" s="239">
        <f>$AE$15-AF35</f>
        <v>1.9251522690511937</v>
      </c>
      <c r="AL51" s="239">
        <f>IF($D$5&lt;=$F$5,IF($E$8="unilatéral","",NORMDIST(AI51,$D$5,$S$19,0)),NORMDIST(AI51,$D$5,$S$19,0))</f>
        <v>17.01419940193723</v>
      </c>
      <c r="AP51" s="239">
        <v>0.34</v>
      </c>
      <c r="AQ51" s="239">
        <f t="shared" si="14"/>
        <v>7.3199389793522848E-3</v>
      </c>
      <c r="AR51" s="239">
        <f>IF($Y$11+AQ51&gt;$AE$15,$Y$11+AQ51,"")</f>
        <v>1.930611735046853</v>
      </c>
      <c r="AS51" s="241">
        <f>$AK$60+AQ51</f>
        <v>1.9329373262764693</v>
      </c>
      <c r="AT51" s="239">
        <f t="shared" si="8"/>
        <v>1.930611735046853</v>
      </c>
      <c r="AU51" s="239">
        <f>NORMDIST(AR51,$D$5,$S$19,0)</f>
        <v>171.85924741304552</v>
      </c>
      <c r="AV51" s="239">
        <f>NORMDIST(AR51,$F$5,$S$19,0)</f>
        <v>8.4350225984966945E-15</v>
      </c>
      <c r="AW51" s="239">
        <f>NORMDIST(AS51,$F$5,$S$19,0)</f>
        <v>4.0513507860430843E-11</v>
      </c>
      <c r="AX51" s="239">
        <f t="shared" si="9"/>
        <v>8.4350225984966945E-15</v>
      </c>
    </row>
    <row r="52" spans="2:50" x14ac:dyDescent="0.25">
      <c r="B52" s="122"/>
      <c r="C52" s="161">
        <v>23</v>
      </c>
      <c r="D52" s="166"/>
      <c r="E52" s="167"/>
      <c r="F52" s="97"/>
      <c r="G52" s="195" t="s">
        <v>9</v>
      </c>
      <c r="H52" s="195"/>
      <c r="I52" s="195"/>
      <c r="J52" s="195"/>
      <c r="K52" s="199">
        <f>((MAX(K30,L30)-MIN(K30,L30))/K50*SQRT((K29*L29)/(K29+L29)))</f>
        <v>0.64681630738896556</v>
      </c>
      <c r="L52" s="200"/>
      <c r="M52" s="97"/>
      <c r="N52" s="97"/>
      <c r="O52" s="97"/>
      <c r="P52" s="97"/>
      <c r="Q52" s="97"/>
      <c r="R52" s="97"/>
      <c r="S52" s="97"/>
      <c r="T52" s="118"/>
      <c r="X52" s="60">
        <v>1.1000000000000001</v>
      </c>
      <c r="Y52" s="239">
        <f t="shared" si="10"/>
        <v>1.9324596747752496</v>
      </c>
      <c r="Z52" s="239">
        <f t="shared" si="12"/>
        <v>97.426455378225256</v>
      </c>
      <c r="AA52" s="239">
        <f t="shared" si="11"/>
        <v>1.9524596747752496</v>
      </c>
      <c r="AB52" s="239">
        <f t="shared" si="13"/>
        <v>97.426455378225256</v>
      </c>
      <c r="AH52" s="234">
        <v>0</v>
      </c>
      <c r="AI52" s="241">
        <f>AI51</f>
        <v>1.9348477309488061</v>
      </c>
      <c r="AK52" s="241">
        <f>AK51</f>
        <v>1.9251522690511937</v>
      </c>
      <c r="AL52" s="243">
        <v>0</v>
      </c>
      <c r="AP52" s="239">
        <v>0.35</v>
      </c>
      <c r="AQ52" s="239">
        <f t="shared" si="14"/>
        <v>7.2090308129984628E-3</v>
      </c>
      <c r="AR52" s="241">
        <f>AR51</f>
        <v>1.930611735046853</v>
      </c>
      <c r="AS52" s="241">
        <f>AS51</f>
        <v>1.9329373262764693</v>
      </c>
      <c r="AT52" s="239">
        <f t="shared" si="8"/>
        <v>1.930611735046853</v>
      </c>
      <c r="AU52" s="234">
        <v>0</v>
      </c>
      <c r="AV52" s="234">
        <v>0</v>
      </c>
      <c r="AW52" s="234">
        <v>0</v>
      </c>
      <c r="AX52" s="239">
        <f t="shared" si="9"/>
        <v>0</v>
      </c>
    </row>
    <row r="53" spans="2:50" x14ac:dyDescent="0.25">
      <c r="B53" s="122"/>
      <c r="C53" s="161">
        <v>24</v>
      </c>
      <c r="D53" s="166"/>
      <c r="E53" s="167"/>
      <c r="F53" s="97"/>
      <c r="G53" s="195" t="s">
        <v>5</v>
      </c>
      <c r="H53" s="195"/>
      <c r="I53" s="195"/>
      <c r="J53" s="195"/>
      <c r="K53" s="203">
        <f>TINV(K51*2,K29+L29-2)</f>
        <v>1.6859544601667387</v>
      </c>
      <c r="L53" s="204"/>
      <c r="M53" s="97"/>
      <c r="N53" s="97"/>
      <c r="O53" s="97"/>
      <c r="P53" s="97"/>
      <c r="Q53" s="97"/>
      <c r="R53" s="97"/>
      <c r="S53" s="97"/>
      <c r="T53" s="118"/>
      <c r="X53" s="60">
        <v>1.2</v>
      </c>
      <c r="Y53" s="239">
        <f t="shared" si="10"/>
        <v>1.9326832815729997</v>
      </c>
      <c r="Z53" s="239">
        <f t="shared" si="12"/>
        <v>86.842643844992935</v>
      </c>
      <c r="AA53" s="239">
        <f t="shared" si="11"/>
        <v>1.9526832815729998</v>
      </c>
      <c r="AB53" s="239">
        <f t="shared" si="13"/>
        <v>86.842643844992935</v>
      </c>
      <c r="AH53" s="239">
        <f>IF($D$5&gt;$F$5,IF($E$8="unilatéral","",NORMDIST(AI53,$D$5,$S$19,0)),NORMDIST(AI53,$D$5,$S$19,0))</f>
        <v>19.01892557877208</v>
      </c>
      <c r="AI53" s="239">
        <f>$AE$12+AF36</f>
        <v>1.9347314513873253</v>
      </c>
      <c r="AK53" s="239">
        <f>$AE$15-AF36</f>
        <v>1.9252685486126746</v>
      </c>
      <c r="AL53" s="239">
        <f>IF($D$5&lt;=$F$5,IF($E$8="unilatéral","",NORMDIST(AI53,$D$5,$S$19,0)),NORMDIST(AI53,$D$5,$S$19,0))</f>
        <v>19.01892557877208</v>
      </c>
      <c r="AP53" s="239">
        <v>0.36</v>
      </c>
      <c r="AQ53" s="239">
        <f t="shared" si="14"/>
        <v>7.0981226466446399E-3</v>
      </c>
      <c r="AR53" s="239">
        <f>IF($Y$11+AQ53&gt;$AE$15,$Y$11+AQ53,"")</f>
        <v>1.9303899187141453</v>
      </c>
      <c r="AS53" s="241">
        <f>$AK$60+AQ53</f>
        <v>1.9327155099437616</v>
      </c>
      <c r="AT53" s="239">
        <f t="shared" si="8"/>
        <v>1.9303899187141453</v>
      </c>
      <c r="AU53" s="239">
        <f>NORMDIST(AR53,$D$5,$S$19,0)</f>
        <v>175.72040592926493</v>
      </c>
      <c r="AV53" s="239">
        <f>NORMDIST(AR53,$F$5,$S$19,0)</f>
        <v>3.5514123899539647E-15</v>
      </c>
      <c r="AW53" s="239">
        <f>NORMDIST(AS53,$F$5,$S$19,0)</f>
        <v>1.8911292966255292E-11</v>
      </c>
      <c r="AX53" s="239">
        <f t="shared" ref="AX53:AX84" si="15">IF($D$5&lt;=$F$5,IF(AT53=AR53,AV53,AU53),AW53)</f>
        <v>3.5514123899539647E-15</v>
      </c>
    </row>
    <row r="54" spans="2:50" x14ac:dyDescent="0.25">
      <c r="B54" s="122"/>
      <c r="C54" s="161">
        <v>25</v>
      </c>
      <c r="D54" s="166"/>
      <c r="E54" s="168"/>
      <c r="F54" s="97"/>
      <c r="G54" s="195" t="s">
        <v>6</v>
      </c>
      <c r="H54" s="195"/>
      <c r="I54" s="195"/>
      <c r="J54" s="195"/>
      <c r="K54" s="199">
        <f>ABS(K52-K53)</f>
        <v>1.039138152777773</v>
      </c>
      <c r="L54" s="200"/>
      <c r="M54" s="97"/>
      <c r="N54" s="97"/>
      <c r="O54" s="97"/>
      <c r="P54" s="97"/>
      <c r="Q54" s="97"/>
      <c r="R54" s="97"/>
      <c r="S54" s="97"/>
      <c r="T54" s="118"/>
      <c r="X54" s="60">
        <v>1.3</v>
      </c>
      <c r="Y54" s="239">
        <f t="shared" si="10"/>
        <v>1.9329068883707496</v>
      </c>
      <c r="Z54" s="239">
        <f t="shared" si="12"/>
        <v>76.638364205466402</v>
      </c>
      <c r="AA54" s="239">
        <f t="shared" si="11"/>
        <v>1.9529068883707497</v>
      </c>
      <c r="AB54" s="239">
        <f t="shared" si="13"/>
        <v>76.638364205466402</v>
      </c>
      <c r="AH54" s="234">
        <v>0</v>
      </c>
      <c r="AI54" s="241">
        <f>AI53</f>
        <v>1.9347314513873253</v>
      </c>
      <c r="AK54" s="241">
        <f>AK53</f>
        <v>1.9252685486126746</v>
      </c>
      <c r="AL54" s="243">
        <v>0</v>
      </c>
      <c r="AP54" s="239">
        <v>0.37</v>
      </c>
      <c r="AQ54" s="239">
        <f t="shared" si="14"/>
        <v>6.9872144802908178E-3</v>
      </c>
      <c r="AR54" s="241">
        <f>AR53</f>
        <v>1.9303899187141453</v>
      </c>
      <c r="AS54" s="241">
        <f>AS53</f>
        <v>1.9327155099437616</v>
      </c>
      <c r="AT54" s="239">
        <f t="shared" si="8"/>
        <v>1.9303899187141453</v>
      </c>
      <c r="AU54" s="234">
        <v>0</v>
      </c>
      <c r="AV54" s="234">
        <v>0</v>
      </c>
      <c r="AW54" s="234">
        <v>0</v>
      </c>
      <c r="AX54" s="239">
        <f t="shared" si="15"/>
        <v>0</v>
      </c>
    </row>
    <row r="55" spans="2:50" x14ac:dyDescent="0.25">
      <c r="B55" s="122"/>
      <c r="C55" s="161">
        <v>26</v>
      </c>
      <c r="D55" s="166"/>
      <c r="E55" s="168"/>
      <c r="F55" s="97"/>
      <c r="G55" s="196" t="s">
        <v>122</v>
      </c>
      <c r="H55" s="196"/>
      <c r="I55" s="196"/>
      <c r="J55" s="196"/>
      <c r="K55" s="205">
        <f>IF(K52&gt;K53,TDIST(K54,L29+K29-2,1),1-TDIST(K54,L29+K29-2,1))</f>
        <v>0.84734624760112043</v>
      </c>
      <c r="L55" s="206"/>
      <c r="M55" s="97"/>
      <c r="N55" s="97"/>
      <c r="O55" s="97"/>
      <c r="P55" s="97"/>
      <c r="Q55" s="97"/>
      <c r="R55" s="97"/>
      <c r="S55" s="97"/>
      <c r="T55" s="118"/>
      <c r="X55" s="60">
        <v>1.4</v>
      </c>
      <c r="Y55" s="239">
        <f t="shared" si="10"/>
        <v>1.9331304951684996</v>
      </c>
      <c r="Z55" s="239">
        <f t="shared" si="12"/>
        <v>66.960158252061689</v>
      </c>
      <c r="AA55" s="239">
        <f t="shared" si="11"/>
        <v>1.9531304951684996</v>
      </c>
      <c r="AB55" s="239">
        <f t="shared" si="13"/>
        <v>66.960158252061689</v>
      </c>
      <c r="AH55" s="239">
        <f>IF($D$5&gt;$F$5,IF($E$8="unilatéral","",NORMDIST(AI55,$D$5,$S$19,0)),NORMDIST(AI55,$D$5,$S$19,0))</f>
        <v>21.202448946553801</v>
      </c>
      <c r="AI55" s="239">
        <f>$AE$12+AF37</f>
        <v>1.9346151718258446</v>
      </c>
      <c r="AK55" s="239">
        <f>$AE$15-AF37</f>
        <v>1.9253848281741552</v>
      </c>
      <c r="AL55" s="239">
        <f>IF($D$5&lt;=$F$5,IF($E$8="unilatéral","",NORMDIST(AI55,$D$5,$S$19,0)),NORMDIST(AI55,$D$5,$S$19,0))</f>
        <v>21.202448946553801</v>
      </c>
      <c r="AP55" s="239">
        <v>0.38</v>
      </c>
      <c r="AQ55" s="239">
        <f t="shared" si="14"/>
        <v>6.8763063139369949E-3</v>
      </c>
      <c r="AR55" s="239">
        <f>IF($Y$11+AQ55&gt;$AE$15,$Y$11+AQ55,"")</f>
        <v>1.9301681023814377</v>
      </c>
      <c r="AS55" s="241">
        <f>$AK$60+AQ55</f>
        <v>1.9324936936110539</v>
      </c>
      <c r="AT55" s="239">
        <f t="shared" si="8"/>
        <v>1.9301681023814377</v>
      </c>
      <c r="AU55" s="239">
        <f>NORMDIST(AR55,$D$5,$S$19,0)</f>
        <v>177.90895817084842</v>
      </c>
      <c r="AV55" s="239">
        <f>NORMDIST(AR55,$F$5,$S$19,0)</f>
        <v>1.4806154843890361E-15</v>
      </c>
      <c r="AW55" s="239">
        <f>NORMDIST(AS55,$F$5,$S$19,0)</f>
        <v>8.7411570555506366E-12</v>
      </c>
      <c r="AX55" s="239">
        <f t="shared" si="15"/>
        <v>1.4806154843890361E-15</v>
      </c>
    </row>
    <row r="56" spans="2:50" x14ac:dyDescent="0.25">
      <c r="B56" s="122"/>
      <c r="C56" s="161">
        <v>27</v>
      </c>
      <c r="D56" s="166"/>
      <c r="E56" s="168"/>
      <c r="F56" s="97"/>
      <c r="G56" s="196" t="s">
        <v>218</v>
      </c>
      <c r="H56" s="196"/>
      <c r="I56" s="196"/>
      <c r="J56" s="196"/>
      <c r="K56" s="205">
        <f>1-K55</f>
        <v>0.15265375239887957</v>
      </c>
      <c r="L56" s="206"/>
      <c r="M56" s="97"/>
      <c r="N56" s="97"/>
      <c r="O56" s="97"/>
      <c r="P56" s="97"/>
      <c r="Q56" s="97"/>
      <c r="R56" s="97"/>
      <c r="S56" s="97"/>
      <c r="T56" s="118"/>
      <c r="X56" s="60">
        <v>1.5</v>
      </c>
      <c r="Y56" s="239">
        <f t="shared" si="10"/>
        <v>1.9333541019662497</v>
      </c>
      <c r="Z56" s="239">
        <f t="shared" si="12"/>
        <v>57.922029638250862</v>
      </c>
      <c r="AA56" s="239">
        <f t="shared" si="11"/>
        <v>1.9533541019662497</v>
      </c>
      <c r="AB56" s="239">
        <f t="shared" si="13"/>
        <v>57.922029638250862</v>
      </c>
      <c r="AH56" s="234">
        <v>0</v>
      </c>
      <c r="AI56" s="241">
        <f>AI55</f>
        <v>1.9346151718258446</v>
      </c>
      <c r="AK56" s="241">
        <f>AK55</f>
        <v>1.9253848281741552</v>
      </c>
      <c r="AL56" s="243">
        <v>0</v>
      </c>
      <c r="AP56" s="239">
        <v>0.39</v>
      </c>
      <c r="AQ56" s="239">
        <f t="shared" si="14"/>
        <v>6.7653981475831728E-3</v>
      </c>
      <c r="AR56" s="241">
        <f>AR55</f>
        <v>1.9301681023814377</v>
      </c>
      <c r="AS56" s="241">
        <f>AS55</f>
        <v>1.9324936936110539</v>
      </c>
      <c r="AT56" s="239">
        <f t="shared" si="8"/>
        <v>1.9301681023814377</v>
      </c>
      <c r="AU56" s="234">
        <v>0</v>
      </c>
      <c r="AV56" s="234">
        <v>0</v>
      </c>
      <c r="AW56" s="234">
        <v>0</v>
      </c>
      <c r="AX56" s="239">
        <f t="shared" si="15"/>
        <v>0</v>
      </c>
    </row>
    <row r="57" spans="2:50" x14ac:dyDescent="0.25">
      <c r="B57" s="122"/>
      <c r="C57" s="161">
        <v>28</v>
      </c>
      <c r="D57" s="166"/>
      <c r="E57" s="168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118"/>
      <c r="X57" s="60">
        <v>1.6</v>
      </c>
      <c r="Y57" s="239">
        <f t="shared" si="10"/>
        <v>1.9335777087639996</v>
      </c>
      <c r="Z57" s="239">
        <f t="shared" si="12"/>
        <v>49.60530529285608</v>
      </c>
      <c r="AA57" s="239">
        <f t="shared" si="11"/>
        <v>1.9535777087639996</v>
      </c>
      <c r="AB57" s="239">
        <f t="shared" si="13"/>
        <v>49.60530529285608</v>
      </c>
      <c r="AH57" s="239">
        <f>IF($D$5&gt;$F$5,IF($E$8="unilatéral","",NORMDIST(AI57,$D$5,$S$19,0)),NORMDIST(AI57,$D$5,$S$19,0))</f>
        <v>23.572826494762008</v>
      </c>
      <c r="AI57" s="239">
        <f>$AE$12+AF38</f>
        <v>1.9344988922643638</v>
      </c>
      <c r="AK57" s="239">
        <f>$AE$15-AF38</f>
        <v>1.9255011077356361</v>
      </c>
      <c r="AL57" s="239">
        <f>IF($D$5&lt;=$F$5,IF($E$8="unilatéral","",NORMDIST(AI57,$D$5,$S$19,0)),NORMDIST(AI57,$D$5,$S$19,0))</f>
        <v>23.572826494762008</v>
      </c>
      <c r="AP57" s="239">
        <v>0.4</v>
      </c>
      <c r="AQ57" s="239">
        <f t="shared" si="14"/>
        <v>6.6544899812293499E-3</v>
      </c>
      <c r="AR57" s="239">
        <f>IF($Y$11+AQ57&gt;$AE$15,$Y$11+AQ57,"")</f>
        <v>1.92994628604873</v>
      </c>
      <c r="AS57" s="241">
        <f>$AK$60+AQ57</f>
        <v>1.9322718772783463</v>
      </c>
      <c r="AT57" s="239">
        <f t="shared" si="8"/>
        <v>1.92994628604873</v>
      </c>
      <c r="AU57" s="239">
        <f>NORMDIST(AR57,$D$5,$S$19,0)</f>
        <v>178.36094369545296</v>
      </c>
      <c r="AV57" s="239">
        <f>NORMDIST(AR57,$F$5,$S$19,0)</f>
        <v>6.112372242310856E-16</v>
      </c>
      <c r="AW57" s="239">
        <f>NORMDIST(AS57,$F$5,$S$19,0)</f>
        <v>4.0007641568533893E-12</v>
      </c>
      <c r="AX57" s="239">
        <f t="shared" si="15"/>
        <v>6.112372242310856E-16</v>
      </c>
    </row>
    <row r="58" spans="2:50" x14ac:dyDescent="0.25">
      <c r="B58" s="122"/>
      <c r="C58" s="161">
        <v>29</v>
      </c>
      <c r="D58" s="166"/>
      <c r="E58" s="168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118"/>
      <c r="X58" s="60">
        <v>1.7</v>
      </c>
      <c r="Y58" s="239">
        <f t="shared" si="10"/>
        <v>1.9338013155617495</v>
      </c>
      <c r="Z58" s="239">
        <f t="shared" si="12"/>
        <v>42.060026047173899</v>
      </c>
      <c r="AA58" s="239">
        <f t="shared" si="11"/>
        <v>1.9538013155617495</v>
      </c>
      <c r="AB58" s="239">
        <f t="shared" si="13"/>
        <v>42.060026047173899</v>
      </c>
      <c r="AH58" s="234">
        <v>0</v>
      </c>
      <c r="AI58" s="241">
        <f>AI57</f>
        <v>1.9344988922643638</v>
      </c>
      <c r="AK58" s="241">
        <f>AK57</f>
        <v>1.9255011077356361</v>
      </c>
      <c r="AL58" s="243">
        <v>0</v>
      </c>
      <c r="AP58" s="239">
        <v>0.41</v>
      </c>
      <c r="AQ58" s="239">
        <f t="shared" si="14"/>
        <v>6.5435818148755279E-3</v>
      </c>
      <c r="AR58" s="241">
        <f>AR57</f>
        <v>1.92994628604873</v>
      </c>
      <c r="AS58" s="241">
        <f>AS57</f>
        <v>1.9322718772783463</v>
      </c>
      <c r="AT58" s="239">
        <f t="shared" si="8"/>
        <v>1.92994628604873</v>
      </c>
      <c r="AU58" s="234">
        <v>0</v>
      </c>
      <c r="AV58" s="234">
        <v>0</v>
      </c>
      <c r="AW58" s="234">
        <v>0</v>
      </c>
      <c r="AX58" s="239">
        <f t="shared" si="15"/>
        <v>0</v>
      </c>
    </row>
    <row r="59" spans="2:50" x14ac:dyDescent="0.25">
      <c r="B59" s="122"/>
      <c r="C59" s="161">
        <v>30</v>
      </c>
      <c r="D59" s="166"/>
      <c r="E59" s="168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118"/>
      <c r="X59" s="60">
        <v>1.8</v>
      </c>
      <c r="Y59" s="239">
        <f t="shared" si="10"/>
        <v>1.9340249223594996</v>
      </c>
      <c r="Z59" s="239">
        <f t="shared" si="12"/>
        <v>35.307584159031677</v>
      </c>
      <c r="AA59" s="239">
        <f t="shared" si="11"/>
        <v>1.9540249223594996</v>
      </c>
      <c r="AB59" s="239">
        <f t="shared" si="13"/>
        <v>35.307584159031677</v>
      </c>
      <c r="AH59" s="239">
        <f>IF($D$5&gt;$F$5,IF($E$8="unilatéral","",NORMDIST(AI59,$D$5,$S$19,0)),NORMDIST(AI59,$D$5,$S$19,0))</f>
        <v>26.137429806754199</v>
      </c>
      <c r="AI59" s="239">
        <f>$AE$12+AF39</f>
        <v>1.9343826127028829</v>
      </c>
      <c r="AK59" s="239">
        <f>$AE$15-AF39</f>
        <v>1.925617387297117</v>
      </c>
      <c r="AL59" s="239">
        <f>IF($D$5&lt;=$F$5,IF($E$8="unilatéral","",NORMDIST(AI59,$D$5,$S$19,0)),NORMDIST(AI59,$D$5,$S$19,0))</f>
        <v>26.137429806754199</v>
      </c>
      <c r="AP59" s="239">
        <v>0.42</v>
      </c>
      <c r="AQ59" s="239">
        <f t="shared" si="14"/>
        <v>6.432673648521705E-3</v>
      </c>
      <c r="AR59" s="239">
        <f>IF($Y$11+AQ59&gt;$AE$15,$Y$11+AQ59,"")</f>
        <v>1.9297244697160223</v>
      </c>
      <c r="AS59" s="241">
        <f>$AK$60+AQ59</f>
        <v>1.9320500609456386</v>
      </c>
      <c r="AT59" s="239">
        <f t="shared" si="8"/>
        <v>1.9297244697160223</v>
      </c>
      <c r="AU59" s="239">
        <f>NORMDIST(AR59,$D$5,$S$19,0)</f>
        <v>177.06308753521557</v>
      </c>
      <c r="AV59" s="239">
        <f>NORMDIST(AR59,$F$5,$S$19,0)</f>
        <v>2.4986396600929453E-16</v>
      </c>
      <c r="AW59" s="239">
        <f>NORMDIST(AS59,$F$5,$S$19,0)</f>
        <v>1.8131899546743413E-12</v>
      </c>
      <c r="AX59" s="239">
        <f t="shared" si="15"/>
        <v>2.4986396600929453E-16</v>
      </c>
    </row>
    <row r="60" spans="2:50" ht="15.75" thickBot="1" x14ac:dyDescent="0.3">
      <c r="B60" s="145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9"/>
      <c r="X60" s="60">
        <v>1.9</v>
      </c>
      <c r="Y60" s="239">
        <f t="shared" si="10"/>
        <v>1.9342485291572495</v>
      </c>
      <c r="Z60" s="239">
        <f t="shared" si="12"/>
        <v>29.34428444704232</v>
      </c>
      <c r="AA60" s="239">
        <f t="shared" si="11"/>
        <v>1.9542485291572496</v>
      </c>
      <c r="AB60" s="239">
        <f t="shared" si="13"/>
        <v>29.34428444704232</v>
      </c>
      <c r="AH60" s="234">
        <v>0</v>
      </c>
      <c r="AI60" s="241">
        <f>AI59</f>
        <v>1.9343826127028829</v>
      </c>
      <c r="AK60" s="241">
        <f>AK59</f>
        <v>1.925617387297117</v>
      </c>
      <c r="AL60" s="243">
        <v>0</v>
      </c>
      <c r="AP60" s="239">
        <v>0.43</v>
      </c>
      <c r="AQ60" s="239">
        <f t="shared" si="14"/>
        <v>6.3217654821678829E-3</v>
      </c>
      <c r="AR60" s="241">
        <f>AR59</f>
        <v>1.9297244697160223</v>
      </c>
      <c r="AS60" s="241">
        <f>AS59</f>
        <v>1.9320500609456386</v>
      </c>
      <c r="AT60" s="239">
        <f t="shared" si="8"/>
        <v>1.9297244697160223</v>
      </c>
      <c r="AU60" s="234">
        <v>0</v>
      </c>
      <c r="AV60" s="234">
        <v>0</v>
      </c>
      <c r="AW60" s="234">
        <v>0</v>
      </c>
      <c r="AX60" s="239">
        <f t="shared" si="15"/>
        <v>0</v>
      </c>
    </row>
    <row r="61" spans="2:50" x14ac:dyDescent="0.25">
      <c r="X61" s="60">
        <v>2</v>
      </c>
      <c r="Y61" s="239">
        <f t="shared" si="10"/>
        <v>1.9344721359549994</v>
      </c>
      <c r="Z61" s="239">
        <f t="shared" si="12"/>
        <v>24.145494258882113</v>
      </c>
      <c r="AA61" s="239">
        <f t="shared" si="11"/>
        <v>1.9544721359549995</v>
      </c>
      <c r="AB61" s="239">
        <f t="shared" si="13"/>
        <v>24.145494258882113</v>
      </c>
      <c r="AH61" s="239"/>
      <c r="AL61" s="239"/>
      <c r="AP61" s="239">
        <v>0.44</v>
      </c>
      <c r="AQ61" s="239">
        <f t="shared" si="14"/>
        <v>6.21085731581406E-3</v>
      </c>
      <c r="AR61" s="239">
        <f>IF($Y$11+AQ61&gt;$AE$15,$Y$11+AQ61,"")</f>
        <v>1.9295026533833148</v>
      </c>
      <c r="AS61" s="241">
        <f>$AK$60+AQ61</f>
        <v>1.9318282446129311</v>
      </c>
      <c r="AT61" s="239">
        <f t="shared" si="8"/>
        <v>1.9295026533833148</v>
      </c>
      <c r="AU61" s="239">
        <f>NORMDIST(AR61,$D$5,$S$19,0)</f>
        <v>174.05344789331696</v>
      </c>
      <c r="AV61" s="239">
        <f>NORMDIST(AR61,$F$5,$S$19,0)</f>
        <v>1.0114019574129705E-16</v>
      </c>
      <c r="AW61" s="239">
        <f>NORMDIST(AS61,$F$5,$S$19,0)</f>
        <v>8.1371062049959244E-13</v>
      </c>
      <c r="AX61" s="239">
        <f t="shared" si="15"/>
        <v>1.0114019574129705E-16</v>
      </c>
    </row>
    <row r="62" spans="2:50" x14ac:dyDescent="0.25">
      <c r="X62" s="60">
        <v>2.1</v>
      </c>
      <c r="Y62" s="239">
        <f t="shared" si="10"/>
        <v>1.9346957427527496</v>
      </c>
      <c r="Z62" s="239">
        <f t="shared" si="12"/>
        <v>19.670062101422779</v>
      </c>
      <c r="AA62" s="239">
        <f t="shared" si="11"/>
        <v>1.9546957427527496</v>
      </c>
      <c r="AB62" s="239">
        <f t="shared" si="13"/>
        <v>19.670062101422779</v>
      </c>
      <c r="AP62" s="239">
        <v>0.45</v>
      </c>
      <c r="AQ62" s="239">
        <f t="shared" si="14"/>
        <v>6.0999491494602371E-3</v>
      </c>
      <c r="AR62" s="241">
        <f>AR61</f>
        <v>1.9295026533833148</v>
      </c>
      <c r="AS62" s="241">
        <f>AS61</f>
        <v>1.9318282446129311</v>
      </c>
      <c r="AT62" s="239">
        <f t="shared" si="8"/>
        <v>1.9295026533833148</v>
      </c>
      <c r="AU62" s="234">
        <v>0</v>
      </c>
      <c r="AV62" s="234">
        <v>0</v>
      </c>
      <c r="AW62" s="234">
        <v>0</v>
      </c>
      <c r="AX62" s="239">
        <f t="shared" si="15"/>
        <v>0</v>
      </c>
    </row>
    <row r="63" spans="2:50" x14ac:dyDescent="0.25">
      <c r="X63" s="60">
        <v>2.2000000000000002</v>
      </c>
      <c r="Y63" s="239">
        <f t="shared" si="10"/>
        <v>1.9349193495504995</v>
      </c>
      <c r="Z63" s="239">
        <f t="shared" si="12"/>
        <v>15.864720215660022</v>
      </c>
      <c r="AA63" s="239">
        <f t="shared" si="11"/>
        <v>1.9549193495504995</v>
      </c>
      <c r="AB63" s="239">
        <f t="shared" si="13"/>
        <v>15.864720215660022</v>
      </c>
      <c r="AP63" s="239">
        <v>0.46</v>
      </c>
      <c r="AQ63" s="239">
        <f t="shared" si="14"/>
        <v>5.989040983106415E-3</v>
      </c>
      <c r="AR63" s="239">
        <f>IF($Y$11+AQ63&gt;$AE$15,$Y$11+AQ63,"")</f>
        <v>1.9292808370506072</v>
      </c>
      <c r="AS63" s="241">
        <f>$AK$60+AQ63</f>
        <v>1.9316064282802234</v>
      </c>
      <c r="AT63" s="239">
        <f t="shared" si="8"/>
        <v>1.9292808370506072</v>
      </c>
      <c r="AU63" s="239">
        <f>NORMDIST(AR63,$D$5,$S$19,0)</f>
        <v>169.41956218185689</v>
      </c>
      <c r="AV63" s="239">
        <f>NORMDIST(AR63,$F$5,$S$19,0)</f>
        <v>4.053874287734489E-17</v>
      </c>
      <c r="AW63" s="239">
        <f>NORMDIST(AS63,$F$5,$S$19,0)</f>
        <v>3.6159547818297576E-13</v>
      </c>
      <c r="AX63" s="239">
        <f t="shared" si="15"/>
        <v>4.053874287734489E-17</v>
      </c>
    </row>
    <row r="64" spans="2:50" x14ac:dyDescent="0.25">
      <c r="X64" s="60">
        <v>2.2999999999999998</v>
      </c>
      <c r="Y64" s="239">
        <f t="shared" si="10"/>
        <v>1.9351429563482494</v>
      </c>
      <c r="Z64" s="239">
        <f t="shared" si="12"/>
        <v>12.668236398285201</v>
      </c>
      <c r="AA64" s="239">
        <f t="shared" si="11"/>
        <v>1.9551429563482494</v>
      </c>
      <c r="AB64" s="239">
        <f t="shared" si="13"/>
        <v>12.668236398285201</v>
      </c>
      <c r="AP64" s="239">
        <v>0.47</v>
      </c>
      <c r="AQ64" s="239">
        <f t="shared" si="14"/>
        <v>5.878132816752593E-3</v>
      </c>
      <c r="AR64" s="241">
        <f>AR63</f>
        <v>1.9292808370506072</v>
      </c>
      <c r="AS64" s="241">
        <f>AS63</f>
        <v>1.9316064282802234</v>
      </c>
      <c r="AT64" s="239">
        <f t="shared" si="8"/>
        <v>1.9292808370506072</v>
      </c>
      <c r="AU64" s="234">
        <v>0</v>
      </c>
      <c r="AV64" s="234">
        <v>0</v>
      </c>
      <c r="AW64" s="234">
        <v>0</v>
      </c>
      <c r="AX64" s="239">
        <f t="shared" si="15"/>
        <v>0</v>
      </c>
    </row>
    <row r="65" spans="3:50" x14ac:dyDescent="0.25">
      <c r="X65" s="60">
        <v>2.4</v>
      </c>
      <c r="Y65" s="239">
        <f t="shared" si="10"/>
        <v>1.9353665631459995</v>
      </c>
      <c r="Z65" s="239">
        <f t="shared" si="12"/>
        <v>10.015138412688389</v>
      </c>
      <c r="AA65" s="239">
        <f t="shared" si="11"/>
        <v>1.9553665631459995</v>
      </c>
      <c r="AB65" s="239">
        <f t="shared" si="13"/>
        <v>10.015138412688389</v>
      </c>
      <c r="AP65" s="239">
        <v>0.48</v>
      </c>
      <c r="AQ65" s="239">
        <f t="shared" si="14"/>
        <v>5.76722465039877E-3</v>
      </c>
      <c r="AR65" s="239">
        <f>IF($Y$11+AQ65&gt;$AE$15,$Y$11+AQ65,"")</f>
        <v>1.9290590207178995</v>
      </c>
      <c r="AS65" s="241">
        <f>$AK$60+AQ65</f>
        <v>1.9313846119475158</v>
      </c>
      <c r="AT65" s="239">
        <f t="shared" si="8"/>
        <v>1.9290590207178995</v>
      </c>
      <c r="AU65" s="239">
        <f>NORMDIST(AR65,$D$5,$S$19,0)</f>
        <v>163.29421742889147</v>
      </c>
      <c r="AV65" s="239">
        <f>NORMDIST(AR65,$F$5,$S$19,0)</f>
        <v>1.608952009254184E-17</v>
      </c>
      <c r="AW65" s="239">
        <f>NORMDIST(AS65,$F$5,$S$19,0)</f>
        <v>1.5911177616983448E-13</v>
      </c>
      <c r="AX65" s="239">
        <f t="shared" si="15"/>
        <v>1.608952009254184E-17</v>
      </c>
    </row>
    <row r="66" spans="3:50" x14ac:dyDescent="0.25">
      <c r="X66" s="60">
        <v>2.5</v>
      </c>
      <c r="Y66" s="239">
        <f t="shared" si="10"/>
        <v>1.9355901699437494</v>
      </c>
      <c r="Z66" s="239">
        <f t="shared" si="12"/>
        <v>7.838894286732236</v>
      </c>
      <c r="AA66" s="239">
        <f t="shared" si="11"/>
        <v>1.9555901699437495</v>
      </c>
      <c r="AB66" s="239">
        <f t="shared" si="13"/>
        <v>7.838894286732236</v>
      </c>
      <c r="AP66" s="239">
        <v>0.49</v>
      </c>
      <c r="AQ66" s="239">
        <f t="shared" si="14"/>
        <v>5.656316484044948E-3</v>
      </c>
      <c r="AR66" s="241">
        <f>AR65</f>
        <v>1.9290590207178995</v>
      </c>
      <c r="AS66" s="241">
        <f>AS65</f>
        <v>1.9313846119475158</v>
      </c>
      <c r="AT66" s="239">
        <f t="shared" si="8"/>
        <v>1.9290590207178995</v>
      </c>
      <c r="AU66" s="234">
        <v>0</v>
      </c>
      <c r="AV66" s="234">
        <v>0</v>
      </c>
      <c r="AW66" s="234">
        <v>0</v>
      </c>
      <c r="AX66" s="239">
        <f t="shared" si="15"/>
        <v>0</v>
      </c>
    </row>
    <row r="67" spans="3:50" x14ac:dyDescent="0.25">
      <c r="X67" s="60">
        <v>2.6</v>
      </c>
      <c r="Y67" s="239">
        <f t="shared" si="10"/>
        <v>1.9358137767414993</v>
      </c>
      <c r="Z67" s="239">
        <f t="shared" si="12"/>
        <v>6.0744885085621618</v>
      </c>
      <c r="AA67" s="239">
        <f t="shared" si="11"/>
        <v>1.9558137767414994</v>
      </c>
      <c r="AB67" s="239">
        <f t="shared" si="13"/>
        <v>6.0744885085621618</v>
      </c>
      <c r="AP67" s="239">
        <v>0.5</v>
      </c>
      <c r="AQ67" s="239">
        <f t="shared" si="14"/>
        <v>5.5454083176911251E-3</v>
      </c>
      <c r="AR67" s="239">
        <f>IF($Y$11+AQ67&gt;$AE$15,$Y$11+AQ67,"")</f>
        <v>1.9288372043851918</v>
      </c>
      <c r="AS67" s="241">
        <f>$AK$60+AQ67</f>
        <v>1.9311627956148081</v>
      </c>
      <c r="AT67" s="239">
        <f t="shared" si="8"/>
        <v>1.9288372043851918</v>
      </c>
      <c r="AU67" s="239">
        <f>NORMDIST(AR67,$D$5,$S$19,0)</f>
        <v>155.8491302293489</v>
      </c>
      <c r="AV67" s="239">
        <f>NORMDIST(AR67,$F$5,$S$19,0)</f>
        <v>6.3232773389475523E-18</v>
      </c>
      <c r="AW67" s="239">
        <f>NORMDIST(AS67,$F$5,$S$19,0)</f>
        <v>6.9327890082231714E-14</v>
      </c>
      <c r="AX67" s="239">
        <f t="shared" si="15"/>
        <v>6.3232773389475523E-18</v>
      </c>
    </row>
    <row r="68" spans="3:50" x14ac:dyDescent="0.25">
      <c r="X68" s="60">
        <v>2.7</v>
      </c>
      <c r="Y68" s="239">
        <f t="shared" si="10"/>
        <v>1.9360373835392495</v>
      </c>
      <c r="Z68" s="239">
        <f t="shared" si="12"/>
        <v>4.6603837268280044</v>
      </c>
      <c r="AA68" s="239">
        <f t="shared" si="11"/>
        <v>1.9560373835392495</v>
      </c>
      <c r="AB68" s="239">
        <f t="shared" si="13"/>
        <v>4.6603837268280044</v>
      </c>
      <c r="AP68" s="239">
        <v>0.51</v>
      </c>
      <c r="AQ68" s="239">
        <f t="shared" si="14"/>
        <v>5.4345001513373022E-3</v>
      </c>
      <c r="AR68" s="241">
        <f>AR67</f>
        <v>1.9288372043851918</v>
      </c>
      <c r="AS68" s="241">
        <f>AS67</f>
        <v>1.9311627956148081</v>
      </c>
      <c r="AT68" s="239">
        <f t="shared" si="8"/>
        <v>1.9288372043851918</v>
      </c>
      <c r="AU68" s="239">
        <f>IF(AR68="","",0)</f>
        <v>0</v>
      </c>
      <c r="AV68" s="234">
        <v>0</v>
      </c>
      <c r="AW68" s="234">
        <v>0</v>
      </c>
      <c r="AX68" s="239">
        <f t="shared" si="15"/>
        <v>0</v>
      </c>
    </row>
    <row r="69" spans="3:50" x14ac:dyDescent="0.25">
      <c r="X69" s="60">
        <v>2.8</v>
      </c>
      <c r="Y69" s="239">
        <f t="shared" si="10"/>
        <v>1.9362609903369994</v>
      </c>
      <c r="Z69" s="239">
        <f t="shared" si="12"/>
        <v>3.5398975624301334</v>
      </c>
      <c r="AA69" s="239">
        <f t="shared" si="11"/>
        <v>1.9562609903369994</v>
      </c>
      <c r="AB69" s="239">
        <f t="shared" si="13"/>
        <v>3.5398975624301334</v>
      </c>
      <c r="AP69" s="239">
        <v>0.52</v>
      </c>
      <c r="AQ69" s="239">
        <f t="shared" si="14"/>
        <v>5.3235919849834801E-3</v>
      </c>
      <c r="AR69" s="239">
        <f>IF($Y$11+AQ69&gt;$AE$15,$Y$11+AQ69,"")</f>
        <v>1.9286153880524841</v>
      </c>
      <c r="AS69" s="241">
        <f>$AK$60+AQ69</f>
        <v>1.9309409792821004</v>
      </c>
      <c r="AT69" s="239">
        <f t="shared" si="8"/>
        <v>1.9286153880524841</v>
      </c>
      <c r="AU69" s="239">
        <f>NORMDIST(AR69,$D$5,$S$19,0)</f>
        <v>147.28695592106814</v>
      </c>
      <c r="AV69" s="239">
        <f>NORMDIST(AR69,$F$5,$S$19,0)</f>
        <v>2.4607511500129283E-18</v>
      </c>
      <c r="AW69" s="239">
        <f>NORMDIST(AS69,$F$5,$S$19,0)</f>
        <v>2.9911622341364405E-14</v>
      </c>
      <c r="AX69" s="239">
        <f t="shared" si="15"/>
        <v>2.4607511500129283E-18</v>
      </c>
    </row>
    <row r="70" spans="3:50" x14ac:dyDescent="0.25">
      <c r="X70" s="60">
        <v>2.9</v>
      </c>
      <c r="Y70" s="239">
        <f t="shared" si="10"/>
        <v>1.9364845971347493</v>
      </c>
      <c r="Z70" s="239">
        <f t="shared" si="12"/>
        <v>2.6620534257781356</v>
      </c>
      <c r="AA70" s="239">
        <f t="shared" si="11"/>
        <v>1.9564845971347493</v>
      </c>
      <c r="AB70" s="239">
        <f t="shared" si="13"/>
        <v>2.6620534257781356</v>
      </c>
      <c r="AP70" s="239">
        <v>0.53</v>
      </c>
      <c r="AQ70" s="239">
        <f t="shared" si="14"/>
        <v>5.2126838186296572E-3</v>
      </c>
      <c r="AR70" s="241">
        <f>AR69</f>
        <v>1.9286153880524841</v>
      </c>
      <c r="AS70" s="241">
        <f>AS69</f>
        <v>1.9309409792821004</v>
      </c>
      <c r="AT70" s="239">
        <f t="shared" si="8"/>
        <v>1.9286153880524841</v>
      </c>
      <c r="AU70" s="239">
        <f>IF(AR70="","",0)</f>
        <v>0</v>
      </c>
      <c r="AV70" s="234">
        <v>0</v>
      </c>
      <c r="AW70" s="234">
        <v>0</v>
      </c>
      <c r="AX70" s="239">
        <f t="shared" si="15"/>
        <v>0</v>
      </c>
    </row>
    <row r="71" spans="3:50" x14ac:dyDescent="0.25">
      <c r="W71" s="238" t="s">
        <v>103</v>
      </c>
      <c r="X71" s="60">
        <v>3</v>
      </c>
      <c r="Y71" s="239">
        <f t="shared" si="10"/>
        <v>1.9367082039324992</v>
      </c>
      <c r="Z71" s="239">
        <f t="shared" si="12"/>
        <v>1.9819828630138439</v>
      </c>
      <c r="AA71" s="239">
        <f t="shared" si="11"/>
        <v>1.9567082039324992</v>
      </c>
      <c r="AB71" s="239">
        <f t="shared" si="13"/>
        <v>1.9819828630138439</v>
      </c>
      <c r="AP71" s="239">
        <v>0.54</v>
      </c>
      <c r="AQ71" s="239">
        <f t="shared" si="14"/>
        <v>5.1017756522758343E-3</v>
      </c>
      <c r="AR71" s="239">
        <f>IF($Y$11+AQ71&gt;$AE$15,$Y$11+AQ71,"")</f>
        <v>1.9283935717197764</v>
      </c>
      <c r="AS71" s="241">
        <f>$AK$60+AQ71</f>
        <v>1.9307191629493927</v>
      </c>
      <c r="AT71" s="239">
        <f t="shared" si="8"/>
        <v>1.9283935717197764</v>
      </c>
      <c r="AU71" s="239">
        <f>NORMDIST(AR71,$D$5,$S$19,0)</f>
        <v>137.8321454652301</v>
      </c>
      <c r="AV71" s="239">
        <f>IF(AR71="","",NORMDIST(AR71,$F$5,$S$19,0))</f>
        <v>9.4824265964611911E-19</v>
      </c>
      <c r="AW71" s="239">
        <f>NORMDIST(AS71,$F$5,$S$19,0)</f>
        <v>1.2779041514408173E-14</v>
      </c>
      <c r="AX71" s="239">
        <f t="shared" si="15"/>
        <v>9.4824265964611911E-19</v>
      </c>
    </row>
    <row r="72" spans="3:50" x14ac:dyDescent="0.25">
      <c r="AP72" s="239">
        <v>0.55000000000000004</v>
      </c>
      <c r="AQ72" s="239">
        <f t="shared" si="14"/>
        <v>4.9908674859220122E-3</v>
      </c>
      <c r="AR72" s="241">
        <f>AR71</f>
        <v>1.9283935717197764</v>
      </c>
      <c r="AS72" s="241">
        <f>AS71</f>
        <v>1.9307191629493927</v>
      </c>
      <c r="AT72" s="239">
        <f t="shared" si="8"/>
        <v>1.9283935717197764</v>
      </c>
      <c r="AU72" s="239">
        <f>IF(AR72="","",0)</f>
        <v>0</v>
      </c>
      <c r="AV72" s="234">
        <v>0</v>
      </c>
      <c r="AW72" s="234">
        <v>0</v>
      </c>
      <c r="AX72" s="239">
        <f t="shared" si="15"/>
        <v>0</v>
      </c>
    </row>
    <row r="73" spans="3:50" x14ac:dyDescent="0.25">
      <c r="AP73" s="239">
        <v>0.56000000000000005</v>
      </c>
      <c r="AQ73" s="239">
        <f t="shared" si="14"/>
        <v>4.8799593195681893E-3</v>
      </c>
      <c r="AR73" s="239">
        <f>IF($Y$11+AQ73&gt;$AE$15,$Y$11+AQ73,"")</f>
        <v>1.9281717553870688</v>
      </c>
      <c r="AS73" s="241">
        <f>$AK$60+AQ73</f>
        <v>1.930497346616685</v>
      </c>
      <c r="AT73" s="239">
        <f t="shared" si="8"/>
        <v>1.9281717553870688</v>
      </c>
      <c r="AU73" s="239">
        <f>IF(AR73="","",NORMDIST(AR73,$D$5,$S$19,0))</f>
        <v>127.72122423305765</v>
      </c>
      <c r="AV73" s="239">
        <f>IF(AR73="","",NORMDIST(AR73,$F$5,$S$19,0))</f>
        <v>3.6182419845565226E-19</v>
      </c>
      <c r="AW73" s="239">
        <f>NORMDIST(AS73,$F$5,$S$19,0)</f>
        <v>5.406085618983508E-15</v>
      </c>
      <c r="AX73" s="239">
        <f t="shared" si="15"/>
        <v>3.6182419845565226E-19</v>
      </c>
    </row>
    <row r="74" spans="3:50" x14ac:dyDescent="0.25">
      <c r="AP74" s="239">
        <v>0.56999999999999995</v>
      </c>
      <c r="AQ74" s="239">
        <f t="shared" si="14"/>
        <v>4.7690511532143681E-3</v>
      </c>
      <c r="AR74" s="241">
        <f>AR73</f>
        <v>1.9281717553870688</v>
      </c>
      <c r="AS74" s="241">
        <f>AS73</f>
        <v>1.930497346616685</v>
      </c>
      <c r="AT74" s="239">
        <f t="shared" si="8"/>
        <v>1.9281717553870688</v>
      </c>
      <c r="AU74" s="239">
        <f>IF(AR74="","",0)</f>
        <v>0</v>
      </c>
      <c r="AV74" s="234">
        <v>0</v>
      </c>
      <c r="AW74" s="234">
        <v>0</v>
      </c>
      <c r="AX74" s="239">
        <f t="shared" si="15"/>
        <v>0</v>
      </c>
    </row>
    <row r="75" spans="3:50" x14ac:dyDescent="0.25"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AP75" s="239">
        <v>0.57999999999999996</v>
      </c>
      <c r="AQ75" s="239">
        <f t="shared" si="14"/>
        <v>4.6581429868605452E-3</v>
      </c>
      <c r="AR75" s="239">
        <f>IF($Y$11+AQ75&gt;$AE$15,$Y$11+AQ75,"")</f>
        <v>1.9279499390543613</v>
      </c>
      <c r="AS75" s="241">
        <f>$AK$60+AQ75</f>
        <v>1.9302755302839776</v>
      </c>
      <c r="AT75" s="239">
        <f t="shared" si="8"/>
        <v>1.9279499390543613</v>
      </c>
      <c r="AU75" s="239">
        <f>IF(AR75="","",NORMDIST(AR75,$D$5,$S$19,0))</f>
        <v>117.19307653647684</v>
      </c>
      <c r="AV75" s="239">
        <f>IF(AR75="","",NORMDIST(AR75,$F$5,$S$19,0))</f>
        <v>1.3671055748449654E-19</v>
      </c>
      <c r="AW75" s="239">
        <f>NORMDIST(AS75,$F$5,$S$19,0)</f>
        <v>2.2646124185228054E-15</v>
      </c>
      <c r="AX75" s="239">
        <f t="shared" si="15"/>
        <v>1.3671055748449654E-19</v>
      </c>
    </row>
    <row r="76" spans="3:50" x14ac:dyDescent="0.25"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AP76" s="239">
        <v>0.59</v>
      </c>
      <c r="AQ76" s="239">
        <f t="shared" si="14"/>
        <v>4.5472348205067232E-3</v>
      </c>
      <c r="AR76" s="241">
        <f>AR75</f>
        <v>1.9279499390543613</v>
      </c>
      <c r="AS76" s="241">
        <f>AS75</f>
        <v>1.9302755302839776</v>
      </c>
      <c r="AT76" s="239">
        <f t="shared" si="8"/>
        <v>1.9279499390543613</v>
      </c>
      <c r="AU76" s="239">
        <f>IF(AR76="","",0)</f>
        <v>0</v>
      </c>
      <c r="AV76" s="239">
        <f>IF(AR76="","",0)</f>
        <v>0</v>
      </c>
      <c r="AW76" s="234">
        <v>0</v>
      </c>
      <c r="AX76" s="239">
        <f t="shared" si="15"/>
        <v>0</v>
      </c>
    </row>
    <row r="77" spans="3:50" x14ac:dyDescent="0.25"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AP77" s="239">
        <v>0.6</v>
      </c>
      <c r="AQ77" s="239">
        <f t="shared" si="14"/>
        <v>4.4363266541529002E-3</v>
      </c>
      <c r="AR77" s="239">
        <f>IF($Y$11+AQ77&gt;$AE$15,$Y$11+AQ77,"")</f>
        <v>1.9277281227216536</v>
      </c>
      <c r="AS77" s="241">
        <f>$AK$60+AQ77</f>
        <v>1.9300537139512699</v>
      </c>
      <c r="AT77" s="239">
        <f t="shared" si="8"/>
        <v>1.9277281227216536</v>
      </c>
      <c r="AU77" s="239">
        <f>IF(AR77="","",NORMDIST(AR77,$D$5,$S$19,0))</f>
        <v>106.47978477080163</v>
      </c>
      <c r="AV77" s="239">
        <f>IF(AR77="","",NORMDIST(AR77,$F$5,$S$19,0))</f>
        <v>5.1148491090389923E-20</v>
      </c>
      <c r="AW77" s="239">
        <f>NORMDIST(AS77,$F$5,$S$19,0)</f>
        <v>9.3935808122863025E-16</v>
      </c>
      <c r="AX77" s="239">
        <f t="shared" si="15"/>
        <v>5.1148491090389923E-20</v>
      </c>
    </row>
    <row r="78" spans="3:50" x14ac:dyDescent="0.25"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AP78" s="239">
        <v>0.61</v>
      </c>
      <c r="AQ78" s="239">
        <f t="shared" si="14"/>
        <v>4.3254184877990773E-3</v>
      </c>
      <c r="AR78" s="241">
        <f>AR77</f>
        <v>1.9277281227216536</v>
      </c>
      <c r="AS78" s="241">
        <f>AS77</f>
        <v>1.9300537139512699</v>
      </c>
      <c r="AT78" s="239">
        <f t="shared" si="8"/>
        <v>1.9277281227216536</v>
      </c>
      <c r="AU78" s="239">
        <f>IF(AR78="","",0)</f>
        <v>0</v>
      </c>
      <c r="AV78" s="239">
        <f>IF(AR78="","",0)</f>
        <v>0</v>
      </c>
      <c r="AW78" s="239">
        <f>IF(AR78="","",0)</f>
        <v>0</v>
      </c>
      <c r="AX78" s="239">
        <f t="shared" si="15"/>
        <v>0</v>
      </c>
    </row>
    <row r="79" spans="3:50" x14ac:dyDescent="0.25"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AP79" s="239">
        <v>0.62</v>
      </c>
      <c r="AQ79" s="239">
        <f t="shared" si="14"/>
        <v>4.2145103214452553E-3</v>
      </c>
      <c r="AR79" s="239">
        <f>IF($Y$11+AQ79&gt;$AE$15,$Y$11+AQ79,"")</f>
        <v>1.9275063063889459</v>
      </c>
      <c r="AS79" s="241">
        <f>$AK$60+AQ79</f>
        <v>1.9298318976185622</v>
      </c>
      <c r="AT79" s="239">
        <f t="shared" si="8"/>
        <v>1.9275063063889459</v>
      </c>
      <c r="AU79" s="239">
        <f>IF(AR79="","",NORMDIST(AR79,$D$5,$S$19,0))</f>
        <v>95.798498059607823</v>
      </c>
      <c r="AV79" s="239">
        <f>IF(AR79="","",NORMDIST(AR79,$F$5,$S$19,0))</f>
        <v>1.8949158337570578E-20</v>
      </c>
      <c r="AW79" s="239">
        <f>NORMDIST(AS79,$F$5,$S$19,0)</f>
        <v>3.8582893460588795E-16</v>
      </c>
      <c r="AX79" s="239">
        <f t="shared" si="15"/>
        <v>1.8949158337570578E-20</v>
      </c>
    </row>
    <row r="80" spans="3:50" x14ac:dyDescent="0.25"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AP80" s="239">
        <v>0.63</v>
      </c>
      <c r="AQ80" s="239">
        <f t="shared" si="14"/>
        <v>4.1036021550914323E-3</v>
      </c>
      <c r="AR80" s="241">
        <f>AR79</f>
        <v>1.9275063063889459</v>
      </c>
      <c r="AS80" s="241">
        <f>AS79</f>
        <v>1.9298318976185622</v>
      </c>
      <c r="AT80" s="239">
        <f t="shared" si="8"/>
        <v>1.9275063063889459</v>
      </c>
      <c r="AU80" s="239">
        <f>IF(AR80="","",0)</f>
        <v>0</v>
      </c>
      <c r="AV80" s="239">
        <f>IF(AR80="","",0)</f>
        <v>0</v>
      </c>
      <c r="AW80" s="239">
        <f>IF(AR80="","",0)</f>
        <v>0</v>
      </c>
      <c r="AX80" s="239">
        <f t="shared" si="15"/>
        <v>0</v>
      </c>
    </row>
    <row r="81" spans="3:50" x14ac:dyDescent="0.25">
      <c r="C81" s="245" t="s">
        <v>193</v>
      </c>
      <c r="D81" s="245"/>
      <c r="E81" s="245"/>
      <c r="F81" s="245"/>
      <c r="G81" s="245"/>
      <c r="H81" s="245"/>
      <c r="I81" s="245"/>
      <c r="J81" s="245"/>
      <c r="K81" s="245"/>
      <c r="L81" s="245"/>
      <c r="M81" s="234"/>
      <c r="N81" s="245" t="s">
        <v>194</v>
      </c>
      <c r="O81" s="245"/>
      <c r="P81" s="245"/>
      <c r="Q81" s="245"/>
      <c r="R81" s="245"/>
      <c r="S81" s="245"/>
      <c r="T81" s="245"/>
      <c r="U81" s="245"/>
      <c r="V81" s="245"/>
      <c r="W81" s="245"/>
      <c r="AP81" s="239">
        <v>0.64</v>
      </c>
      <c r="AQ81" s="239">
        <f t="shared" si="14"/>
        <v>3.9926939887376103E-3</v>
      </c>
      <c r="AR81" s="239">
        <f>IF($Y$11+AQ81&gt;$AE$15,$Y$11+AQ81,"")</f>
        <v>1.9272844900562383</v>
      </c>
      <c r="AS81" s="241">
        <f>$AK$60+AQ81</f>
        <v>1.9296100812858545</v>
      </c>
      <c r="AT81" s="239">
        <f t="shared" si="8"/>
        <v>1.9272844900562383</v>
      </c>
      <c r="AU81" s="239">
        <f>IF(AR81="","",NORMDIST(AR81,$D$5,$S$19,0))</f>
        <v>85.344701197202738</v>
      </c>
      <c r="AV81" s="239">
        <f>IF(AR81="","",NORMDIST(AR81,$F$5,$S$19,0))</f>
        <v>6.9514171267564601E-21</v>
      </c>
      <c r="AW81" s="239">
        <f>NORMDIST(AS81,$F$5,$S$19,0)</f>
        <v>1.5692232638231623E-16</v>
      </c>
      <c r="AX81" s="239">
        <f t="shared" si="15"/>
        <v>6.9514171267564601E-21</v>
      </c>
    </row>
    <row r="82" spans="3:50" x14ac:dyDescent="0.25">
      <c r="C82" s="60" t="s">
        <v>195</v>
      </c>
      <c r="D82" s="60" t="s">
        <v>196</v>
      </c>
      <c r="E82" s="60" t="s">
        <v>197</v>
      </c>
      <c r="F82" s="60" t="s">
        <v>198</v>
      </c>
      <c r="G82" s="60" t="s">
        <v>199</v>
      </c>
      <c r="H82" s="60" t="s">
        <v>200</v>
      </c>
      <c r="I82" s="60" t="s">
        <v>201</v>
      </c>
      <c r="J82" s="60" t="s">
        <v>202</v>
      </c>
      <c r="K82" s="60" t="s">
        <v>203</v>
      </c>
      <c r="L82" s="60" t="s">
        <v>204</v>
      </c>
      <c r="M82" s="60"/>
      <c r="N82" s="60" t="s">
        <v>195</v>
      </c>
      <c r="O82" s="60" t="s">
        <v>196</v>
      </c>
      <c r="P82" s="60" t="s">
        <v>197</v>
      </c>
      <c r="Q82" s="60" t="s">
        <v>198</v>
      </c>
      <c r="R82" s="60" t="s">
        <v>199</v>
      </c>
      <c r="S82" s="60" t="s">
        <v>200</v>
      </c>
      <c r="T82" s="60" t="s">
        <v>201</v>
      </c>
      <c r="U82" s="60" t="s">
        <v>202</v>
      </c>
      <c r="V82" s="60" t="s">
        <v>203</v>
      </c>
      <c r="W82" s="60" t="s">
        <v>204</v>
      </c>
      <c r="AP82" s="239">
        <v>0.65</v>
      </c>
      <c r="AQ82" s="239">
        <f t="shared" ref="AQ82:AQ113" si="16">$AQ$17-AP82*$AQ$17</f>
        <v>3.8817858223837874E-3</v>
      </c>
      <c r="AR82" s="241">
        <f>AR81</f>
        <v>1.9272844900562383</v>
      </c>
      <c r="AS82" s="241">
        <f>AS81</f>
        <v>1.9296100812858545</v>
      </c>
      <c r="AT82" s="239">
        <f t="shared" si="8"/>
        <v>1.9272844900562383</v>
      </c>
      <c r="AU82" s="239">
        <f>IF(AR82="","",0)</f>
        <v>0</v>
      </c>
      <c r="AV82" s="239">
        <f>IF(AR82="","",0)</f>
        <v>0</v>
      </c>
      <c r="AW82" s="239">
        <f>IF(AR82="","",0)</f>
        <v>0</v>
      </c>
      <c r="AX82" s="239">
        <f t="shared" si="15"/>
        <v>0</v>
      </c>
    </row>
    <row r="83" spans="3:50" x14ac:dyDescent="0.25">
      <c r="C83" s="60">
        <f>IF(ISNUMBER(D30),RANK(D30,D$30:D$59,1),"")</f>
        <v>10</v>
      </c>
      <c r="D83" s="239">
        <f>IF(ISNUMBER(D30),C83/(MAX($C$83:$C$112)+1),"")</f>
        <v>0.47619047619047616</v>
      </c>
      <c r="E83" s="236">
        <f t="shared" ref="E83:E112" si="17">IF(ISNUMBER(D30),NORMSINV(D83),"")</f>
        <v>-5.9717099785322879E-2</v>
      </c>
      <c r="F83" s="236">
        <f>IF(ISNUMBER(D30),((D30-AVERAGE($D$30:$D$59))/STDEV($D$30:$D$59)),"")</f>
        <v>7.2850961351465945E-2</v>
      </c>
      <c r="G83" s="236">
        <f t="shared" ref="G83:G112" si="18">IF(ISNUMBER(D30),NORMSDIST(F83),"")</f>
        <v>0.52903764131771147</v>
      </c>
      <c r="H83" s="236">
        <f>IF(ISNUMBER(D30),C83/COUNT($D$30:$D$59)-G83,"")</f>
        <v>-2.9037641317711471E-2</v>
      </c>
      <c r="I83" s="236">
        <f>IF(ISNUMBER(D30),G83-(C83-1)/COUNT($D$30:$D$59),"")</f>
        <v>7.903764131771146E-2</v>
      </c>
      <c r="J83" s="236">
        <f>MAX(H83:H113)</f>
        <v>2.192387883433089E-2</v>
      </c>
      <c r="K83" s="236">
        <f>MAX(I83:I113)</f>
        <v>0.13986847397038443</v>
      </c>
      <c r="L83" s="236">
        <f>MAX(J83:K83)</f>
        <v>0.13986847397038443</v>
      </c>
      <c r="M83" s="235"/>
      <c r="N83" s="60">
        <f>IF(ISNUMBER(E30),RANK(E30,E$30:E$59,1),"")</f>
        <v>1</v>
      </c>
      <c r="O83" s="236">
        <f>IF(ISNUMBER(E30),N83/(MAX($N$83:$N$112)+1),"")</f>
        <v>4.7619047619047616E-2</v>
      </c>
      <c r="P83" s="236">
        <f t="shared" ref="P83:P112" si="19">IF(ISNUMBER(E30),NORMSINV(O83),"")</f>
        <v>-1.6683911939470788</v>
      </c>
      <c r="Q83" s="236">
        <f>IF(ISNUMBER(E30),((E30-AVERAGE($E$30:$E$59))/STDEV($E$30:$E$59)),"")</f>
        <v>-1.5520435078090478</v>
      </c>
      <c r="R83" s="236">
        <f t="shared" ref="R83:R112" si="20">IF(ISNUMBER(E30),NORMSDIST(Q83),"")</f>
        <v>6.0325906822591285E-2</v>
      </c>
      <c r="S83" s="236">
        <f>IF(ISNUMBER(E30),N83/COUNT($E$30:$E$59)-R83,"")</f>
        <v>-1.0325906822591283E-2</v>
      </c>
      <c r="T83" s="236">
        <f>IF(ISNUMBER(E30),R83-(N83-1)/COUNT($E$30:$E$59),"")</f>
        <v>6.0325906822591285E-2</v>
      </c>
      <c r="U83" s="236">
        <f>MAX(S83:S113)</f>
        <v>0.1090889375738488</v>
      </c>
      <c r="V83" s="236">
        <f>MAX(T83:T113)</f>
        <v>0.12673691618387362</v>
      </c>
      <c r="W83" s="236">
        <f>MAX(U83:V83)</f>
        <v>0.12673691618387362</v>
      </c>
      <c r="AP83" s="239">
        <v>0.66</v>
      </c>
      <c r="AQ83" s="239">
        <f t="shared" si="16"/>
        <v>3.7708776560299645E-3</v>
      </c>
      <c r="AR83" s="239">
        <f>IF($Y$11+AQ83&gt;$AE$15,$Y$11+AQ83,"")</f>
        <v>1.9270626737235306</v>
      </c>
      <c r="AS83" s="241">
        <f>$AK$60+AQ83</f>
        <v>1.9293882649531469</v>
      </c>
      <c r="AT83" s="239">
        <f t="shared" si="8"/>
        <v>1.9270626737235306</v>
      </c>
      <c r="AU83" s="239">
        <f>IF(AR83="","",NORMDIST(AR83,$D$5,$S$19,0))</f>
        <v>75.28713152481663</v>
      </c>
      <c r="AV83" s="239">
        <f>IF(AR83="","",NORMDIST(AR83,$F$5,$S$19,0))</f>
        <v>2.5251262743339853E-21</v>
      </c>
      <c r="AW83" s="239">
        <f>NORMDIST(AS83,$F$5,$S$19,0)</f>
        <v>6.3197661525283032E-17</v>
      </c>
      <c r="AX83" s="239">
        <f t="shared" si="15"/>
        <v>2.5251262743339853E-21</v>
      </c>
    </row>
    <row r="84" spans="3:50" x14ac:dyDescent="0.25">
      <c r="C84" s="60">
        <f t="shared" ref="C84:C112" si="21">IF(ISNUMBER(D31),RANK(D31,D$30:D$59,1),"")</f>
        <v>17</v>
      </c>
      <c r="D84" s="239">
        <f t="shared" ref="D84:D112" si="22">IF(ISNUMBER(D31),C84/(MAX($C$83:$C$112)+1),"")</f>
        <v>0.80952380952380953</v>
      </c>
      <c r="E84" s="236">
        <f t="shared" si="17"/>
        <v>0.87614284924684116</v>
      </c>
      <c r="F84" s="236">
        <f t="shared" ref="F84:F112" si="23">IF(ISNUMBER(D31),((D31-AVERAGE($D$30:$D$59))/STDEV($D$30:$D$59)),"")</f>
        <v>1.0441971127044603</v>
      </c>
      <c r="G84" s="236">
        <f t="shared" si="18"/>
        <v>0.85180289873309056</v>
      </c>
      <c r="H84" s="236">
        <f t="shared" ref="H84:H112" si="24">IF(ISNUMBER(D31),C84/COUNT($D$30:$D$59)-G84,"")</f>
        <v>-1.8028987330905855E-3</v>
      </c>
      <c r="I84" s="236">
        <f t="shared" ref="I84:I112" si="25">IF(ISNUMBER(D31),G84-(C84-1)/COUNT($D$30:$D$59),"")</f>
        <v>5.1802898733090519E-2</v>
      </c>
      <c r="J84" s="234"/>
      <c r="K84" s="234"/>
      <c r="L84" s="60"/>
      <c r="M84" s="235"/>
      <c r="N84" s="60">
        <f t="shared" ref="N84:N112" si="26">IF(ISNUMBER(E31),RANK(E31,E$30:E$59,1),"")</f>
        <v>3</v>
      </c>
      <c r="O84" s="236">
        <f t="shared" ref="O84:O112" si="27">IF(ISNUMBER(E31),N84/(MAX($N$83:$N$112)+1),"")</f>
        <v>0.14285714285714285</v>
      </c>
      <c r="P84" s="236">
        <f t="shared" si="19"/>
        <v>-1.0675705238781419</v>
      </c>
      <c r="Q84" s="236">
        <f t="shared" ref="Q84:Q112" si="28">IF(ISNUMBER(E31),((E31-AVERAGE($E$30:$E$59))/STDEV($E$30:$E$59)),"")</f>
        <v>-1.0513843117415729</v>
      </c>
      <c r="R84" s="236">
        <f t="shared" si="20"/>
        <v>0.14654105909582546</v>
      </c>
      <c r="S84" s="236">
        <f t="shared" ref="S84:S112" si="29">IF(ISNUMBER(E31),N84/COUNT($E$30:$E$59)-R84,"")</f>
        <v>3.4589409041745345E-3</v>
      </c>
      <c r="T84" s="236">
        <f t="shared" ref="T84:T112" si="30">IF(ISNUMBER(E31),R84-(N84-1)/COUNT($E$30:$E$59),"")</f>
        <v>4.6541059095825454E-2</v>
      </c>
      <c r="U84" s="60"/>
      <c r="V84" s="60"/>
      <c r="W84" s="60"/>
      <c r="AP84" s="239">
        <v>0.67</v>
      </c>
      <c r="AQ84" s="239">
        <f t="shared" si="16"/>
        <v>3.6599694896761424E-3</v>
      </c>
      <c r="AR84" s="241">
        <f>AR83</f>
        <v>1.9270626737235306</v>
      </c>
      <c r="AS84" s="241">
        <f>AS83</f>
        <v>1.9293882649531469</v>
      </c>
      <c r="AT84" s="239">
        <f t="shared" ref="AT84:AT116" si="31">IF($D$5&lt;=$F$5,AR84,AS84)</f>
        <v>1.9270626737235306</v>
      </c>
      <c r="AU84" s="239">
        <f>IF(AR84="","",0)</f>
        <v>0</v>
      </c>
      <c r="AV84" s="239">
        <f>IF(AR84="","",0)</f>
        <v>0</v>
      </c>
      <c r="AW84" s="239">
        <f>IF(AR84="","",0)</f>
        <v>0</v>
      </c>
      <c r="AX84" s="239">
        <f t="shared" si="15"/>
        <v>0</v>
      </c>
    </row>
    <row r="85" spans="3:50" x14ac:dyDescent="0.25">
      <c r="C85" s="60">
        <f t="shared" si="21"/>
        <v>17</v>
      </c>
      <c r="D85" s="239">
        <f t="shared" si="22"/>
        <v>0.80952380952380953</v>
      </c>
      <c r="E85" s="236">
        <f t="shared" si="17"/>
        <v>0.87614284924684116</v>
      </c>
      <c r="F85" s="236">
        <f t="shared" si="23"/>
        <v>1.0441971127044603</v>
      </c>
      <c r="G85" s="236">
        <f t="shared" si="18"/>
        <v>0.85180289873309056</v>
      </c>
      <c r="H85" s="236">
        <f t="shared" si="24"/>
        <v>-1.8028987330905855E-3</v>
      </c>
      <c r="I85" s="236">
        <f t="shared" si="25"/>
        <v>5.1802898733090519E-2</v>
      </c>
      <c r="J85" s="234"/>
      <c r="K85" s="234"/>
      <c r="L85" s="234"/>
      <c r="M85" s="234"/>
      <c r="N85" s="60">
        <f t="shared" si="26"/>
        <v>12</v>
      </c>
      <c r="O85" s="236">
        <f t="shared" si="27"/>
        <v>0.5714285714285714</v>
      </c>
      <c r="P85" s="236">
        <f t="shared" si="19"/>
        <v>0.18001236979270496</v>
      </c>
      <c r="Q85" s="236">
        <f t="shared" si="28"/>
        <v>0.2002636784268477</v>
      </c>
      <c r="R85" s="236">
        <f t="shared" si="20"/>
        <v>0.57936281624155817</v>
      </c>
      <c r="S85" s="236">
        <f t="shared" si="29"/>
        <v>2.0637183758441813E-2</v>
      </c>
      <c r="T85" s="236">
        <f t="shared" si="30"/>
        <v>2.9362816241558121E-2</v>
      </c>
      <c r="U85" s="60"/>
      <c r="V85" s="60"/>
      <c r="W85" s="60"/>
      <c r="AP85" s="239">
        <v>0.68</v>
      </c>
      <c r="AQ85" s="239">
        <f t="shared" si="16"/>
        <v>3.5490613233223195E-3</v>
      </c>
      <c r="AR85" s="239">
        <f>IF($Y$11+AQ85&gt;$AE$15,$Y$11+AQ85,"")</f>
        <v>1.9268408573908229</v>
      </c>
      <c r="AS85" s="241">
        <f>$AK$60+AQ85</f>
        <v>1.9291664486204392</v>
      </c>
      <c r="AT85" s="239">
        <f t="shared" si="31"/>
        <v>1.9268408573908229</v>
      </c>
      <c r="AU85" s="239">
        <f>IF(AR85="","",NORMDIST(AR85,$D$5,$S$19,0))</f>
        <v>65.76446106644309</v>
      </c>
      <c r="AV85" s="239">
        <f>IF(AR85="","",NORMDIST(AR85,$F$5,$S$19,0))</f>
        <v>9.0827880205974901E-22</v>
      </c>
      <c r="AW85" s="239">
        <f>NORMDIST(AS85,$F$5,$S$19,0)</f>
        <v>2.520249896738825E-17</v>
      </c>
      <c r="AX85" s="239">
        <f t="shared" ref="AX85:AX116" si="32">IF($D$5&lt;=$F$5,IF(AT85=AR85,AV85,AU85),AW85)</f>
        <v>9.0827880205974901E-22</v>
      </c>
    </row>
    <row r="86" spans="3:50" x14ac:dyDescent="0.25">
      <c r="C86" s="60">
        <f t="shared" si="21"/>
        <v>5</v>
      </c>
      <c r="D86" s="239">
        <f t="shared" si="22"/>
        <v>0.23809523809523808</v>
      </c>
      <c r="E86" s="236">
        <f t="shared" si="17"/>
        <v>-0.71244303238948903</v>
      </c>
      <c r="F86" s="236">
        <f t="shared" si="23"/>
        <v>-0.41282211432485871</v>
      </c>
      <c r="G86" s="236">
        <f t="shared" si="18"/>
        <v>0.33986847397038444</v>
      </c>
      <c r="H86" s="236">
        <f t="shared" si="24"/>
        <v>-8.9868473970384444E-2</v>
      </c>
      <c r="I86" s="236">
        <f t="shared" si="25"/>
        <v>0.13986847397038443</v>
      </c>
      <c r="J86" s="234"/>
      <c r="K86" s="234"/>
      <c r="L86" s="234"/>
      <c r="M86" s="234"/>
      <c r="N86" s="60">
        <f t="shared" si="26"/>
        <v>8</v>
      </c>
      <c r="O86" s="236">
        <f t="shared" si="27"/>
        <v>0.38095238095238093</v>
      </c>
      <c r="P86" s="236">
        <f t="shared" si="19"/>
        <v>-0.30298044805620661</v>
      </c>
      <c r="Q86" s="236">
        <f t="shared" si="28"/>
        <v>-0.55072511567427584</v>
      </c>
      <c r="R86" s="236">
        <f t="shared" si="20"/>
        <v>0.29091106242615122</v>
      </c>
      <c r="S86" s="236">
        <f t="shared" si="29"/>
        <v>0.1090889375738488</v>
      </c>
      <c r="T86" s="236">
        <f t="shared" si="30"/>
        <v>-5.9088937573848754E-2</v>
      </c>
      <c r="U86" s="60"/>
      <c r="V86" s="60"/>
      <c r="W86" s="60"/>
      <c r="AP86" s="239">
        <v>0.69</v>
      </c>
      <c r="AQ86" s="239">
        <f t="shared" si="16"/>
        <v>3.4381531569684983E-3</v>
      </c>
      <c r="AR86" s="241">
        <f>AR85</f>
        <v>1.9268408573908229</v>
      </c>
      <c r="AS86" s="241">
        <f>AS85</f>
        <v>1.9291664486204392</v>
      </c>
      <c r="AT86" s="239">
        <f t="shared" si="31"/>
        <v>1.9268408573908229</v>
      </c>
      <c r="AU86" s="239">
        <f>IF(AR86="","",0)</f>
        <v>0</v>
      </c>
      <c r="AV86" s="239">
        <f>IF(AR86="","",0)</f>
        <v>0</v>
      </c>
      <c r="AW86" s="239">
        <f>IF(AR86="","",0)</f>
        <v>0</v>
      </c>
      <c r="AX86" s="239">
        <f t="shared" si="32"/>
        <v>0</v>
      </c>
    </row>
    <row r="87" spans="3:50" x14ac:dyDescent="0.25">
      <c r="C87" s="60">
        <f t="shared" si="21"/>
        <v>14</v>
      </c>
      <c r="D87" s="239">
        <f t="shared" si="22"/>
        <v>0.66666666666666663</v>
      </c>
      <c r="E87" s="236">
        <f t="shared" si="17"/>
        <v>0.4307272992954575</v>
      </c>
      <c r="F87" s="236">
        <f t="shared" si="23"/>
        <v>0.55852403702813569</v>
      </c>
      <c r="G87" s="236">
        <f t="shared" si="18"/>
        <v>0.71175670229286447</v>
      </c>
      <c r="H87" s="236">
        <f t="shared" si="24"/>
        <v>-1.1756702292864518E-2</v>
      </c>
      <c r="I87" s="236">
        <f t="shared" si="25"/>
        <v>6.1756702292864452E-2</v>
      </c>
      <c r="J87" s="234"/>
      <c r="K87" s="234"/>
      <c r="L87" s="234"/>
      <c r="M87" s="234"/>
      <c r="N87" s="60">
        <f t="shared" si="26"/>
        <v>2</v>
      </c>
      <c r="O87" s="236">
        <f t="shared" si="27"/>
        <v>9.5238095238095233E-2</v>
      </c>
      <c r="P87" s="236">
        <f t="shared" si="19"/>
        <v>-1.3091717167857773</v>
      </c>
      <c r="Q87" s="236">
        <f t="shared" si="28"/>
        <v>-1.3017139097752215</v>
      </c>
      <c r="R87" s="236">
        <f t="shared" si="20"/>
        <v>9.6507101386636152E-2</v>
      </c>
      <c r="S87" s="236">
        <f t="shared" si="29"/>
        <v>3.492898613363854E-3</v>
      </c>
      <c r="T87" s="236">
        <f t="shared" si="30"/>
        <v>4.6507101386636149E-2</v>
      </c>
      <c r="U87" s="60"/>
      <c r="V87" s="60"/>
      <c r="W87" s="60"/>
      <c r="AP87" s="239">
        <v>0.7</v>
      </c>
      <c r="AQ87" s="239">
        <f t="shared" si="16"/>
        <v>3.3272449906146754E-3</v>
      </c>
      <c r="AR87" s="239">
        <f>IF($Y$11+AQ87&gt;$AE$15,$Y$11+AQ87,"")</f>
        <v>1.9266190410581154</v>
      </c>
      <c r="AS87" s="241">
        <f>$AK$60+AQ87</f>
        <v>1.9289446322877317</v>
      </c>
      <c r="AT87" s="239">
        <f t="shared" si="31"/>
        <v>1.9266190410581154</v>
      </c>
      <c r="AU87" s="239">
        <f>IF(AR87="","",NORMDIST(AR87,$D$5,$S$19,0))</f>
        <v>56.883735284043858</v>
      </c>
      <c r="AV87" s="239">
        <f>IF(AR87="","",NORMDIST(AR87,$F$5,$S$19,0))</f>
        <v>3.2350543590273753E-22</v>
      </c>
      <c r="AW87" s="239">
        <f>NORMDIST(AS87,$F$5,$S$19,0)</f>
        <v>9.952049536936266E-18</v>
      </c>
      <c r="AX87" s="239">
        <f t="shared" si="32"/>
        <v>3.2350543590273753E-22</v>
      </c>
    </row>
    <row r="88" spans="3:50" x14ac:dyDescent="0.25">
      <c r="C88" s="60">
        <f t="shared" si="21"/>
        <v>1</v>
      </c>
      <c r="D88" s="239">
        <f t="shared" si="22"/>
        <v>4.7619047619047616E-2</v>
      </c>
      <c r="E88" s="236">
        <f t="shared" si="17"/>
        <v>-1.6683911939470788</v>
      </c>
      <c r="F88" s="236">
        <f t="shared" si="23"/>
        <v>-1.8698413413541777</v>
      </c>
      <c r="G88" s="236">
        <f t="shared" si="18"/>
        <v>3.0752926758972499E-2</v>
      </c>
      <c r="H88" s="236">
        <f t="shared" si="24"/>
        <v>1.9247073241027503E-2</v>
      </c>
      <c r="I88" s="236">
        <f t="shared" si="25"/>
        <v>3.0752926758972499E-2</v>
      </c>
      <c r="J88" s="234"/>
      <c r="K88" s="234"/>
      <c r="L88" s="234"/>
      <c r="M88" s="234"/>
      <c r="N88" s="60">
        <f t="shared" si="26"/>
        <v>12</v>
      </c>
      <c r="O88" s="236">
        <f t="shared" si="27"/>
        <v>0.5714285714285714</v>
      </c>
      <c r="P88" s="236">
        <f t="shared" si="19"/>
        <v>0.18001236979270496</v>
      </c>
      <c r="Q88" s="236">
        <f t="shared" si="28"/>
        <v>0.2002636784268477</v>
      </c>
      <c r="R88" s="236">
        <f t="shared" si="20"/>
        <v>0.57936281624155817</v>
      </c>
      <c r="S88" s="236">
        <f t="shared" si="29"/>
        <v>2.0637183758441813E-2</v>
      </c>
      <c r="T88" s="236">
        <f t="shared" si="30"/>
        <v>2.9362816241558121E-2</v>
      </c>
      <c r="U88" s="60"/>
      <c r="V88" s="60"/>
      <c r="W88" s="60"/>
      <c r="AP88" s="239">
        <v>0.71</v>
      </c>
      <c r="AQ88" s="239">
        <f t="shared" si="16"/>
        <v>3.2163368242608525E-3</v>
      </c>
      <c r="AR88" s="241">
        <f>AR87</f>
        <v>1.9266190410581154</v>
      </c>
      <c r="AS88" s="241">
        <f>AS87</f>
        <v>1.9289446322877317</v>
      </c>
      <c r="AT88" s="239">
        <f t="shared" si="31"/>
        <v>1.9266190410581154</v>
      </c>
      <c r="AU88" s="239">
        <f>IF(AR88="","",0)</f>
        <v>0</v>
      </c>
      <c r="AV88" s="239">
        <f>IF(AR88="","",0)</f>
        <v>0</v>
      </c>
      <c r="AW88" s="239">
        <f>IF(AR88="","",0)</f>
        <v>0</v>
      </c>
      <c r="AX88" s="239">
        <f t="shared" si="32"/>
        <v>0</v>
      </c>
    </row>
    <row r="89" spans="3:50" x14ac:dyDescent="0.25">
      <c r="C89" s="60">
        <f t="shared" si="21"/>
        <v>10</v>
      </c>
      <c r="D89" s="239">
        <f t="shared" si="22"/>
        <v>0.47619047619047616</v>
      </c>
      <c r="E89" s="236">
        <f t="shared" si="17"/>
        <v>-5.9717099785322879E-2</v>
      </c>
      <c r="F89" s="236">
        <f t="shared" si="23"/>
        <v>7.2850961351465945E-2</v>
      </c>
      <c r="G89" s="236">
        <f t="shared" si="18"/>
        <v>0.52903764131771147</v>
      </c>
      <c r="H89" s="236">
        <f t="shared" si="24"/>
        <v>-2.9037641317711471E-2</v>
      </c>
      <c r="I89" s="236">
        <f t="shared" si="25"/>
        <v>7.903764131771146E-2</v>
      </c>
      <c r="J89" s="234"/>
      <c r="K89" s="234"/>
      <c r="L89" s="234"/>
      <c r="M89" s="234"/>
      <c r="N89" s="60">
        <f t="shared" si="26"/>
        <v>4</v>
      </c>
      <c r="O89" s="236">
        <f t="shared" si="27"/>
        <v>0.19047619047619047</v>
      </c>
      <c r="P89" s="236">
        <f t="shared" si="19"/>
        <v>-0.87614284924684116</v>
      </c>
      <c r="Q89" s="236">
        <f t="shared" si="28"/>
        <v>-0.80105471370792436</v>
      </c>
      <c r="R89" s="236">
        <f t="shared" si="20"/>
        <v>0.21154998585558191</v>
      </c>
      <c r="S89" s="236">
        <f t="shared" si="29"/>
        <v>-1.1549985855581896E-2</v>
      </c>
      <c r="T89" s="236">
        <f t="shared" si="30"/>
        <v>6.1549985855581912E-2</v>
      </c>
      <c r="U89" s="60"/>
      <c r="V89" s="60"/>
      <c r="W89" s="60"/>
      <c r="AP89" s="239">
        <v>0.72</v>
      </c>
      <c r="AQ89" s="239">
        <f t="shared" si="16"/>
        <v>3.1054286579070296E-3</v>
      </c>
      <c r="AR89" s="239">
        <f>IF($Y$11+AQ89&gt;AE85,$Y$11+AQ89,"")</f>
        <v>1.9263972247254078</v>
      </c>
      <c r="AS89" s="241">
        <f>$AK$60+AQ89</f>
        <v>1.928722815955024</v>
      </c>
      <c r="AT89" s="239">
        <f t="shared" si="31"/>
        <v>1.9263972247254078</v>
      </c>
      <c r="AU89" s="239">
        <f>IF(AR89="","",NORMDIST(AR89,$D$5,$S$19,0))</f>
        <v>48.720448140191721</v>
      </c>
      <c r="AV89" s="239">
        <f>IF(AR89="","",NORMDIST(AR89,$F$5,$S$19,0))</f>
        <v>1.1409597214249276E-22</v>
      </c>
      <c r="AW89" s="239">
        <f>NORMDIST(AS89,$F$5,$S$19,0)</f>
        <v>3.8914170639055558E-18</v>
      </c>
      <c r="AX89" s="239">
        <f t="shared" si="32"/>
        <v>1.1409597214249276E-22</v>
      </c>
    </row>
    <row r="90" spans="3:50" x14ac:dyDescent="0.25">
      <c r="C90" s="60">
        <f t="shared" si="21"/>
        <v>5</v>
      </c>
      <c r="D90" s="239">
        <f t="shared" si="22"/>
        <v>0.23809523809523808</v>
      </c>
      <c r="E90" s="236">
        <f t="shared" si="17"/>
        <v>-0.71244303238948903</v>
      </c>
      <c r="F90" s="236">
        <f t="shared" si="23"/>
        <v>-0.41282211432485871</v>
      </c>
      <c r="G90" s="236">
        <f t="shared" si="18"/>
        <v>0.33986847397038444</v>
      </c>
      <c r="H90" s="236">
        <f t="shared" si="24"/>
        <v>-8.9868473970384444E-2</v>
      </c>
      <c r="I90" s="236">
        <f t="shared" si="25"/>
        <v>0.13986847397038443</v>
      </c>
      <c r="J90" s="234"/>
      <c r="K90" s="234"/>
      <c r="L90" s="60"/>
      <c r="M90" s="235"/>
      <c r="N90" s="60">
        <f t="shared" si="26"/>
        <v>15</v>
      </c>
      <c r="O90" s="236">
        <f t="shared" si="27"/>
        <v>0.7142857142857143</v>
      </c>
      <c r="P90" s="236">
        <f t="shared" si="19"/>
        <v>0.56594882193286311</v>
      </c>
      <c r="Q90" s="236">
        <f t="shared" si="28"/>
        <v>0.70092287449432267</v>
      </c>
      <c r="R90" s="236">
        <f t="shared" si="20"/>
        <v>0.7583244258658931</v>
      </c>
      <c r="S90" s="236">
        <f t="shared" si="29"/>
        <v>-8.3244258658931036E-3</v>
      </c>
      <c r="T90" s="236">
        <f t="shared" si="30"/>
        <v>5.8324425865893148E-2</v>
      </c>
      <c r="U90" s="60"/>
      <c r="V90" s="60"/>
      <c r="W90" s="60"/>
      <c r="AP90" s="239">
        <v>0.73</v>
      </c>
      <c r="AQ90" s="239">
        <f t="shared" si="16"/>
        <v>2.9945204915532084E-3</v>
      </c>
      <c r="AR90" s="241">
        <f>AR89</f>
        <v>1.9263972247254078</v>
      </c>
      <c r="AS90" s="241">
        <f>AS89</f>
        <v>1.928722815955024</v>
      </c>
      <c r="AT90" s="239">
        <f t="shared" si="31"/>
        <v>1.9263972247254078</v>
      </c>
      <c r="AU90" s="239">
        <f>IF(AR90="","",0)</f>
        <v>0</v>
      </c>
      <c r="AV90" s="239">
        <f>IF(AR90="","",0)</f>
        <v>0</v>
      </c>
      <c r="AW90" s="239">
        <f>IF(AR90="","",0)</f>
        <v>0</v>
      </c>
      <c r="AX90" s="239">
        <f t="shared" si="32"/>
        <v>0</v>
      </c>
    </row>
    <row r="91" spans="3:50" x14ac:dyDescent="0.25">
      <c r="C91" s="60">
        <f t="shared" si="21"/>
        <v>14</v>
      </c>
      <c r="D91" s="239">
        <f t="shared" si="22"/>
        <v>0.66666666666666663</v>
      </c>
      <c r="E91" s="236">
        <f t="shared" si="17"/>
        <v>0.4307272992954575</v>
      </c>
      <c r="F91" s="236">
        <f t="shared" si="23"/>
        <v>0.55852403702813569</v>
      </c>
      <c r="G91" s="236">
        <f t="shared" si="18"/>
        <v>0.71175670229286447</v>
      </c>
      <c r="H91" s="236">
        <f t="shared" si="24"/>
        <v>-1.1756702292864518E-2</v>
      </c>
      <c r="I91" s="236">
        <f t="shared" si="25"/>
        <v>6.1756702292864452E-2</v>
      </c>
      <c r="J91" s="234"/>
      <c r="K91" s="234"/>
      <c r="L91" s="60"/>
      <c r="M91" s="235"/>
      <c r="N91" s="60">
        <f t="shared" si="26"/>
        <v>17</v>
      </c>
      <c r="O91" s="236">
        <f t="shared" si="27"/>
        <v>0.80952380952380953</v>
      </c>
      <c r="P91" s="236">
        <f t="shared" si="19"/>
        <v>0.87614284924684116</v>
      </c>
      <c r="Q91" s="236">
        <f t="shared" si="28"/>
        <v>1.4519116685954461</v>
      </c>
      <c r="R91" s="236">
        <f t="shared" si="20"/>
        <v>0.92673691618387366</v>
      </c>
      <c r="S91" s="236">
        <f t="shared" si="29"/>
        <v>-7.6736916183873682E-2</v>
      </c>
      <c r="T91" s="236">
        <f t="shared" si="30"/>
        <v>0.12673691618387362</v>
      </c>
      <c r="U91" s="60"/>
      <c r="V91" s="60"/>
      <c r="W91" s="60"/>
      <c r="AP91" s="239">
        <v>0.74</v>
      </c>
      <c r="AQ91" s="239">
        <f t="shared" si="16"/>
        <v>2.8836123251993855E-3</v>
      </c>
      <c r="AR91" s="239">
        <f>IF($Y$11+AQ91&gt;AE87,$Y$11+AQ91,"")</f>
        <v>1.9261754083927001</v>
      </c>
      <c r="AS91" s="241">
        <f>$AK$60+AQ91</f>
        <v>1.9285009996223164</v>
      </c>
      <c r="AT91" s="239">
        <f t="shared" si="31"/>
        <v>1.9261754083927001</v>
      </c>
      <c r="AU91" s="239">
        <f>IF(AR91="","",NORMDIST(AR91,$D$5,$S$19,0))</f>
        <v>41.320043346608401</v>
      </c>
      <c r="AV91" s="239">
        <f>IF(AR91="","",NORMDIST(AR91,$F$5,$S$19,0))</f>
        <v>3.984605866006902E-23</v>
      </c>
      <c r="AW91" s="239">
        <f>NORMDIST(AS91,$F$5,$S$19,0)</f>
        <v>1.5067089056240641E-18</v>
      </c>
      <c r="AX91" s="239">
        <f t="shared" si="32"/>
        <v>3.984605866006902E-23</v>
      </c>
    </row>
    <row r="92" spans="3:50" x14ac:dyDescent="0.25">
      <c r="C92" s="60">
        <f t="shared" si="21"/>
        <v>10</v>
      </c>
      <c r="D92" s="239">
        <f t="shared" si="22"/>
        <v>0.47619047619047616</v>
      </c>
      <c r="E92" s="236">
        <f t="shared" si="17"/>
        <v>-5.9717099785322879E-2</v>
      </c>
      <c r="F92" s="236">
        <f t="shared" si="23"/>
        <v>7.2850961351465945E-2</v>
      </c>
      <c r="G92" s="236">
        <f t="shared" si="18"/>
        <v>0.52903764131771147</v>
      </c>
      <c r="H92" s="236">
        <f t="shared" si="24"/>
        <v>-2.9037641317711471E-2</v>
      </c>
      <c r="I92" s="236">
        <f t="shared" si="25"/>
        <v>7.903764131771146E-2</v>
      </c>
      <c r="J92" s="234"/>
      <c r="K92" s="234"/>
      <c r="L92" s="60"/>
      <c r="M92" s="235"/>
      <c r="N92" s="60">
        <f t="shared" si="26"/>
        <v>4</v>
      </c>
      <c r="O92" s="236">
        <f t="shared" si="27"/>
        <v>0.19047619047619047</v>
      </c>
      <c r="P92" s="236">
        <f t="shared" si="19"/>
        <v>-0.87614284924684116</v>
      </c>
      <c r="Q92" s="236">
        <f t="shared" si="28"/>
        <v>-0.80105471370792436</v>
      </c>
      <c r="R92" s="236">
        <f t="shared" si="20"/>
        <v>0.21154998585558191</v>
      </c>
      <c r="S92" s="236">
        <f t="shared" si="29"/>
        <v>-1.1549985855581896E-2</v>
      </c>
      <c r="T92" s="236">
        <f t="shared" si="30"/>
        <v>6.1549985855581912E-2</v>
      </c>
      <c r="U92" s="60"/>
      <c r="V92" s="60"/>
      <c r="W92" s="60"/>
      <c r="AP92" s="239">
        <v>0.75</v>
      </c>
      <c r="AQ92" s="239">
        <f t="shared" si="16"/>
        <v>2.7727041588455625E-3</v>
      </c>
      <c r="AR92" s="241">
        <f>AR91</f>
        <v>1.9261754083927001</v>
      </c>
      <c r="AS92" s="241">
        <f>AS91</f>
        <v>1.9285009996223164</v>
      </c>
      <c r="AT92" s="239">
        <f>IF($D$5&lt;=$F$5,AR92,AS92)</f>
        <v>1.9261754083927001</v>
      </c>
      <c r="AU92" s="239">
        <f>IF(AR92="","",0)</f>
        <v>0</v>
      </c>
      <c r="AV92" s="239">
        <f>IF(AR92="","",0)</f>
        <v>0</v>
      </c>
      <c r="AW92" s="239">
        <f>IF(AR92="","",0)</f>
        <v>0</v>
      </c>
      <c r="AX92" s="239">
        <f t="shared" si="32"/>
        <v>0</v>
      </c>
    </row>
    <row r="93" spans="3:50" x14ac:dyDescent="0.25">
      <c r="C93" s="60">
        <f t="shared" si="21"/>
        <v>19</v>
      </c>
      <c r="D93" s="239">
        <f t="shared" si="22"/>
        <v>0.90476190476190477</v>
      </c>
      <c r="E93" s="236">
        <f t="shared" si="17"/>
        <v>1.3091717167857773</v>
      </c>
      <c r="F93" s="236">
        <f t="shared" si="23"/>
        <v>1.529870188380785</v>
      </c>
      <c r="G93" s="236">
        <f t="shared" si="18"/>
        <v>0.93697556809242144</v>
      </c>
      <c r="H93" s="236">
        <f t="shared" si="24"/>
        <v>1.3024431907578515E-2</v>
      </c>
      <c r="I93" s="236">
        <f t="shared" si="25"/>
        <v>3.6975568092421418E-2</v>
      </c>
      <c r="J93" s="234"/>
      <c r="K93" s="234"/>
      <c r="L93" s="60"/>
      <c r="M93" s="235"/>
      <c r="N93" s="60">
        <f t="shared" si="26"/>
        <v>17</v>
      </c>
      <c r="O93" s="236">
        <f t="shared" si="27"/>
        <v>0.80952380952380953</v>
      </c>
      <c r="P93" s="236">
        <f t="shared" si="19"/>
        <v>0.87614284924684116</v>
      </c>
      <c r="Q93" s="236">
        <f t="shared" si="28"/>
        <v>1.4519116685954461</v>
      </c>
      <c r="R93" s="236">
        <f t="shared" si="20"/>
        <v>0.92673691618387366</v>
      </c>
      <c r="S93" s="236">
        <f t="shared" si="29"/>
        <v>-7.6736916183873682E-2</v>
      </c>
      <c r="T93" s="236">
        <f t="shared" si="30"/>
        <v>0.12673691618387362</v>
      </c>
      <c r="U93" s="60"/>
      <c r="V93" s="60"/>
      <c r="W93" s="60"/>
      <c r="AP93" s="239">
        <v>0.76</v>
      </c>
      <c r="AQ93" s="239">
        <f t="shared" si="16"/>
        <v>2.6617959924917396E-3</v>
      </c>
      <c r="AR93" s="239">
        <f>IF($Y$11+AQ93&gt;AE89,$Y$11+AQ93,"")</f>
        <v>1.9259535920599924</v>
      </c>
      <c r="AS93" s="241">
        <f>$AK$60+AQ93</f>
        <v>1.9282791832896087</v>
      </c>
      <c r="AT93" s="239">
        <f t="shared" si="31"/>
        <v>1.9259535920599924</v>
      </c>
      <c r="AU93" s="239">
        <f>IF(AR93="","",NORMDIST(AR93,$D$5,$S$19,0))</f>
        <v>34.700568422301671</v>
      </c>
      <c r="AV93" s="239">
        <f>IF(AR93="","",NORMDIST(AR93,$F$5,$S$19,0))</f>
        <v>1.3779287235616924E-23</v>
      </c>
      <c r="AW93" s="239">
        <f>NORMDIST(AS93,$F$5,$S$19,0)</f>
        <v>5.776666000886189E-19</v>
      </c>
      <c r="AX93" s="239">
        <f t="shared" si="32"/>
        <v>1.3779287235616924E-23</v>
      </c>
    </row>
    <row r="94" spans="3:50" x14ac:dyDescent="0.25">
      <c r="C94" s="60">
        <f t="shared" si="21"/>
        <v>1</v>
      </c>
      <c r="D94" s="239">
        <f t="shared" si="22"/>
        <v>4.7619047619047616E-2</v>
      </c>
      <c r="E94" s="236">
        <f t="shared" si="17"/>
        <v>-1.6683911939470788</v>
      </c>
      <c r="F94" s="236">
        <f t="shared" si="23"/>
        <v>-1.8698413413541777</v>
      </c>
      <c r="G94" s="236">
        <f t="shared" si="18"/>
        <v>3.0752926758972499E-2</v>
      </c>
      <c r="H94" s="236">
        <f t="shared" si="24"/>
        <v>1.9247073241027503E-2</v>
      </c>
      <c r="I94" s="236">
        <f t="shared" si="25"/>
        <v>3.0752926758972499E-2</v>
      </c>
      <c r="J94" s="234"/>
      <c r="K94" s="234"/>
      <c r="L94" s="60"/>
      <c r="M94" s="235"/>
      <c r="N94" s="60">
        <f t="shared" si="26"/>
        <v>16</v>
      </c>
      <c r="O94" s="236">
        <f t="shared" si="27"/>
        <v>0.76190476190476186</v>
      </c>
      <c r="P94" s="236">
        <f t="shared" si="19"/>
        <v>0.71244303238948892</v>
      </c>
      <c r="Q94" s="236">
        <f t="shared" si="28"/>
        <v>0.95125247252797118</v>
      </c>
      <c r="R94" s="236">
        <f t="shared" si="20"/>
        <v>0.82926188636602527</v>
      </c>
      <c r="S94" s="236">
        <f t="shared" si="29"/>
        <v>-2.9261886366025225E-2</v>
      </c>
      <c r="T94" s="236">
        <f t="shared" si="30"/>
        <v>7.9261886366025269E-2</v>
      </c>
      <c r="U94" s="60"/>
      <c r="V94" s="60"/>
      <c r="W94" s="60"/>
      <c r="AP94" s="239">
        <v>0.77</v>
      </c>
      <c r="AQ94" s="239">
        <f t="shared" si="16"/>
        <v>2.5508878261379167E-3</v>
      </c>
      <c r="AR94" s="241">
        <f>AR93</f>
        <v>1.9259535920599924</v>
      </c>
      <c r="AS94" s="241">
        <f>AS93</f>
        <v>1.9282791832896087</v>
      </c>
      <c r="AT94" s="239">
        <f t="shared" si="31"/>
        <v>1.9259535920599924</v>
      </c>
      <c r="AU94" s="239">
        <f>IF(AR94="","",0)</f>
        <v>0</v>
      </c>
      <c r="AV94" s="239">
        <f>IF(AR94="","",0)</f>
        <v>0</v>
      </c>
      <c r="AW94" s="239">
        <f>IF(AR94="","",0)</f>
        <v>0</v>
      </c>
      <c r="AX94" s="239">
        <f t="shared" si="32"/>
        <v>0</v>
      </c>
    </row>
    <row r="95" spans="3:50" x14ac:dyDescent="0.25">
      <c r="C95" s="60">
        <f t="shared" si="21"/>
        <v>10</v>
      </c>
      <c r="D95" s="239">
        <f t="shared" si="22"/>
        <v>0.47619047619047616</v>
      </c>
      <c r="E95" s="236">
        <f t="shared" si="17"/>
        <v>-5.9717099785322879E-2</v>
      </c>
      <c r="F95" s="236">
        <f t="shared" si="23"/>
        <v>7.2850961351465945E-2</v>
      </c>
      <c r="G95" s="236">
        <f t="shared" si="18"/>
        <v>0.52903764131771147</v>
      </c>
      <c r="H95" s="236">
        <f t="shared" si="24"/>
        <v>-2.9037641317711471E-2</v>
      </c>
      <c r="I95" s="236">
        <f t="shared" si="25"/>
        <v>7.903764131771146E-2</v>
      </c>
      <c r="J95" s="234"/>
      <c r="K95" s="234"/>
      <c r="L95" s="60"/>
      <c r="M95" s="235"/>
      <c r="N95" s="60">
        <f t="shared" si="26"/>
        <v>11</v>
      </c>
      <c r="O95" s="236">
        <f t="shared" si="27"/>
        <v>0.52380952380952384</v>
      </c>
      <c r="P95" s="236">
        <f t="shared" si="19"/>
        <v>5.9717099785322879E-2</v>
      </c>
      <c r="Q95" s="236">
        <f t="shared" si="28"/>
        <v>-5.006591960680086E-2</v>
      </c>
      <c r="R95" s="236">
        <f t="shared" si="20"/>
        <v>0.48003492893878208</v>
      </c>
      <c r="S95" s="236">
        <f t="shared" si="29"/>
        <v>6.9965071061217965E-2</v>
      </c>
      <c r="T95" s="236">
        <f t="shared" si="30"/>
        <v>-1.9965071061217921E-2</v>
      </c>
      <c r="U95" s="60"/>
      <c r="V95" s="60"/>
      <c r="W95" s="60"/>
      <c r="AP95" s="239">
        <v>0.78</v>
      </c>
      <c r="AQ95" s="239">
        <f t="shared" si="16"/>
        <v>2.4399796597840955E-3</v>
      </c>
      <c r="AR95" s="239">
        <f>IF($Y$11+AQ95&gt;AE91,$Y$11+AQ95,"")</f>
        <v>1.9257317757272847</v>
      </c>
      <c r="AS95" s="241">
        <f>$AK$60+AQ95</f>
        <v>1.928057366956901</v>
      </c>
      <c r="AT95" s="239">
        <f t="shared" si="31"/>
        <v>1.9257317757272847</v>
      </c>
      <c r="AU95" s="239">
        <f>IF(AR95="","",NORMDIST(AR95,$D$5,$S$19,0))</f>
        <v>28.856173186718596</v>
      </c>
      <c r="AV95" s="239">
        <f>IF(AR95="","",NORMDIST(AR95,$F$5,$S$19,0))</f>
        <v>4.7183968257357645E-24</v>
      </c>
      <c r="AW95" s="239">
        <f>NORMDIST(AS95,$F$5,$S$19,0)</f>
        <v>2.1930649150803154E-19</v>
      </c>
      <c r="AX95" s="239">
        <f t="shared" si="32"/>
        <v>4.7183968257357645E-24</v>
      </c>
    </row>
    <row r="96" spans="3:50" x14ac:dyDescent="0.25">
      <c r="C96" s="60">
        <f t="shared" si="21"/>
        <v>5</v>
      </c>
      <c r="D96" s="239">
        <f t="shared" si="22"/>
        <v>0.23809523809523808</v>
      </c>
      <c r="E96" s="236">
        <f t="shared" si="17"/>
        <v>-0.71244303238948903</v>
      </c>
      <c r="F96" s="236">
        <f t="shared" si="23"/>
        <v>-0.41282211432485871</v>
      </c>
      <c r="G96" s="236">
        <f t="shared" si="18"/>
        <v>0.33986847397038444</v>
      </c>
      <c r="H96" s="236">
        <f t="shared" si="24"/>
        <v>-8.9868473970384444E-2</v>
      </c>
      <c r="I96" s="236">
        <f t="shared" si="25"/>
        <v>0.13986847397038443</v>
      </c>
      <c r="J96" s="234"/>
      <c r="K96" s="234"/>
      <c r="L96" s="60"/>
      <c r="M96" s="235"/>
      <c r="N96" s="60">
        <f t="shared" si="26"/>
        <v>9</v>
      </c>
      <c r="O96" s="236">
        <f t="shared" si="27"/>
        <v>0.42857142857142855</v>
      </c>
      <c r="P96" s="236">
        <f t="shared" si="19"/>
        <v>-0.18001236979270516</v>
      </c>
      <c r="Q96" s="236">
        <f t="shared" si="28"/>
        <v>-0.30039551764044942</v>
      </c>
      <c r="R96" s="236">
        <f t="shared" si="20"/>
        <v>0.38193774115507373</v>
      </c>
      <c r="S96" s="236">
        <f t="shared" si="29"/>
        <v>6.8062258844926282E-2</v>
      </c>
      <c r="T96" s="236">
        <f t="shared" si="30"/>
        <v>-1.8062258844926293E-2</v>
      </c>
      <c r="U96" s="60"/>
      <c r="V96" s="60"/>
      <c r="W96" s="60"/>
      <c r="AP96" s="239">
        <v>0.79</v>
      </c>
      <c r="AQ96" s="239">
        <f t="shared" si="16"/>
        <v>2.3290714934302726E-3</v>
      </c>
      <c r="AR96" s="241">
        <f>AR95</f>
        <v>1.9257317757272847</v>
      </c>
      <c r="AS96" s="241">
        <f>AS95</f>
        <v>1.928057366956901</v>
      </c>
      <c r="AT96" s="239">
        <f t="shared" si="31"/>
        <v>1.9257317757272847</v>
      </c>
      <c r="AU96" s="239">
        <f>IF(AR96="","",0)</f>
        <v>0</v>
      </c>
      <c r="AV96" s="239">
        <f>IF(AR96="","",0)</f>
        <v>0</v>
      </c>
      <c r="AW96" s="239">
        <f>IF(AR96="","",0)</f>
        <v>0</v>
      </c>
      <c r="AX96" s="239">
        <f t="shared" si="32"/>
        <v>0</v>
      </c>
    </row>
    <row r="97" spans="3:50" x14ac:dyDescent="0.25">
      <c r="C97" s="60">
        <f t="shared" si="21"/>
        <v>20</v>
      </c>
      <c r="D97" s="239">
        <f t="shared" si="22"/>
        <v>0.95238095238095233</v>
      </c>
      <c r="E97" s="236">
        <f t="shared" si="17"/>
        <v>1.6683911939470786</v>
      </c>
      <c r="F97" s="236">
        <f t="shared" si="23"/>
        <v>2.0155432640571096</v>
      </c>
      <c r="G97" s="236">
        <f t="shared" si="18"/>
        <v>0.97807612116566911</v>
      </c>
      <c r="H97" s="236">
        <f t="shared" si="24"/>
        <v>2.192387883433089E-2</v>
      </c>
      <c r="I97" s="236">
        <f t="shared" si="25"/>
        <v>2.8076121165669155E-2</v>
      </c>
      <c r="J97" s="234"/>
      <c r="K97" s="234"/>
      <c r="L97" s="60"/>
      <c r="M97" s="235"/>
      <c r="N97" s="60">
        <f t="shared" si="26"/>
        <v>17</v>
      </c>
      <c r="O97" s="236">
        <f t="shared" si="27"/>
        <v>0.80952380952380953</v>
      </c>
      <c r="P97" s="236">
        <f t="shared" si="19"/>
        <v>0.87614284924684116</v>
      </c>
      <c r="Q97" s="236">
        <f t="shared" si="28"/>
        <v>1.4519116685954461</v>
      </c>
      <c r="R97" s="236">
        <f t="shared" si="20"/>
        <v>0.92673691618387366</v>
      </c>
      <c r="S97" s="236">
        <f t="shared" si="29"/>
        <v>-7.6736916183873682E-2</v>
      </c>
      <c r="T97" s="236">
        <f t="shared" si="30"/>
        <v>0.12673691618387362</v>
      </c>
      <c r="U97" s="60"/>
      <c r="V97" s="60"/>
      <c r="W97" s="60"/>
      <c r="AP97" s="239">
        <v>0.8</v>
      </c>
      <c r="AQ97" s="239">
        <f t="shared" si="16"/>
        <v>2.2181633270764497E-3</v>
      </c>
      <c r="AR97" s="239">
        <f>IF($Y$11+AQ97&gt;AE93,$Y$11+AQ97,"")</f>
        <v>1.925509959394577</v>
      </c>
      <c r="AS97" s="241">
        <f>$AK$60+AQ97</f>
        <v>1.9278355506241933</v>
      </c>
      <c r="AT97" s="239">
        <f t="shared" si="31"/>
        <v>1.925509959394577</v>
      </c>
      <c r="AU97" s="239">
        <f>IF(AR97="","",NORMDIST(AR97,$D$5,$S$19,0))</f>
        <v>23.761136497235974</v>
      </c>
      <c r="AV97" s="239">
        <f>IF(AR97="","",NORMDIST(AR97,$F$5,$S$19,0))</f>
        <v>1.5998840148368121E-24</v>
      </c>
      <c r="AW97" s="239">
        <f>NORMDIST(AS97,$F$5,$S$19,0)</f>
        <v>8.2442668885157918E-20</v>
      </c>
      <c r="AX97" s="239">
        <f t="shared" si="32"/>
        <v>1.5998840148368121E-24</v>
      </c>
    </row>
    <row r="98" spans="3:50" x14ac:dyDescent="0.25">
      <c r="C98" s="60">
        <f t="shared" si="21"/>
        <v>5</v>
      </c>
      <c r="D98" s="239">
        <f t="shared" si="22"/>
        <v>0.23809523809523808</v>
      </c>
      <c r="E98" s="236">
        <f t="shared" si="17"/>
        <v>-0.71244303238948903</v>
      </c>
      <c r="F98" s="236">
        <f t="shared" si="23"/>
        <v>-0.41282211432485871</v>
      </c>
      <c r="G98" s="236">
        <f t="shared" si="18"/>
        <v>0.33986847397038444</v>
      </c>
      <c r="H98" s="236">
        <f t="shared" si="24"/>
        <v>-8.9868473970384444E-2</v>
      </c>
      <c r="I98" s="236">
        <f t="shared" si="25"/>
        <v>0.13986847397038443</v>
      </c>
      <c r="J98" s="234"/>
      <c r="K98" s="234"/>
      <c r="L98" s="60"/>
      <c r="M98" s="235"/>
      <c r="N98" s="60">
        <f t="shared" si="26"/>
        <v>12</v>
      </c>
      <c r="O98" s="236">
        <f t="shared" si="27"/>
        <v>0.5714285714285714</v>
      </c>
      <c r="P98" s="236">
        <f t="shared" si="19"/>
        <v>0.18001236979270496</v>
      </c>
      <c r="Q98" s="236">
        <f t="shared" si="28"/>
        <v>0.2002636784268477</v>
      </c>
      <c r="R98" s="236">
        <f t="shared" si="20"/>
        <v>0.57936281624155817</v>
      </c>
      <c r="S98" s="236">
        <f t="shared" si="29"/>
        <v>2.0637183758441813E-2</v>
      </c>
      <c r="T98" s="236">
        <f t="shared" si="30"/>
        <v>2.9362816241558121E-2</v>
      </c>
      <c r="U98" s="60"/>
      <c r="V98" s="60"/>
      <c r="W98" s="60"/>
      <c r="AP98" s="239">
        <v>0.81</v>
      </c>
      <c r="AQ98" s="239">
        <f t="shared" si="16"/>
        <v>2.1072551607226268E-3</v>
      </c>
      <c r="AR98" s="241">
        <f>AR97</f>
        <v>1.925509959394577</v>
      </c>
      <c r="AS98" s="241">
        <f>AS97</f>
        <v>1.9278355506241933</v>
      </c>
      <c r="AT98" s="239">
        <f t="shared" si="31"/>
        <v>1.925509959394577</v>
      </c>
      <c r="AU98" s="239">
        <f>IF(AR98="","",0)</f>
        <v>0</v>
      </c>
      <c r="AV98" s="239">
        <f>IF(AR98="","",0)</f>
        <v>0</v>
      </c>
      <c r="AW98" s="239">
        <f>IF(AR98="","",0)</f>
        <v>0</v>
      </c>
      <c r="AX98" s="239">
        <f t="shared" si="32"/>
        <v>0</v>
      </c>
    </row>
    <row r="99" spans="3:50" x14ac:dyDescent="0.25">
      <c r="C99" s="60">
        <f t="shared" si="21"/>
        <v>3</v>
      </c>
      <c r="D99" s="239">
        <f t="shared" si="22"/>
        <v>0.14285714285714285</v>
      </c>
      <c r="E99" s="236">
        <f t="shared" si="17"/>
        <v>-1.0675705238781419</v>
      </c>
      <c r="F99" s="236">
        <f t="shared" si="23"/>
        <v>-0.89849519000118339</v>
      </c>
      <c r="G99" s="236">
        <f t="shared" si="18"/>
        <v>0.18446080420443031</v>
      </c>
      <c r="H99" s="236">
        <f t="shared" si="24"/>
        <v>-3.4460804204430318E-2</v>
      </c>
      <c r="I99" s="236">
        <f t="shared" si="25"/>
        <v>8.4460804204430306E-2</v>
      </c>
      <c r="J99" s="234"/>
      <c r="K99" s="234"/>
      <c r="L99" s="60"/>
      <c r="M99" s="235"/>
      <c r="N99" s="60">
        <f t="shared" si="26"/>
        <v>20</v>
      </c>
      <c r="O99" s="236">
        <f t="shared" si="27"/>
        <v>0.95238095238095233</v>
      </c>
      <c r="P99" s="236">
        <f t="shared" si="19"/>
        <v>1.6683911939470786</v>
      </c>
      <c r="Q99" s="236">
        <f t="shared" si="28"/>
        <v>1.7022412666290947</v>
      </c>
      <c r="R99" s="236">
        <f t="shared" si="20"/>
        <v>0.95564492506432497</v>
      </c>
      <c r="S99" s="236">
        <f t="shared" si="29"/>
        <v>4.4355074935675032E-2</v>
      </c>
      <c r="T99" s="236">
        <f t="shared" si="30"/>
        <v>5.6449250643250126E-3</v>
      </c>
      <c r="U99" s="60"/>
      <c r="V99" s="60"/>
      <c r="W99" s="60"/>
      <c r="AP99" s="239">
        <v>0.82</v>
      </c>
      <c r="AQ99" s="239">
        <f t="shared" si="16"/>
        <v>1.9963469943688056E-3</v>
      </c>
      <c r="AR99" s="239">
        <f>IF($Y$11+AQ99&gt;AE95,$Y$11+AQ99,"")</f>
        <v>1.9252881430618696</v>
      </c>
      <c r="AS99" s="241">
        <f>$AK$60+AQ99</f>
        <v>1.9276137342914859</v>
      </c>
      <c r="AT99" s="239">
        <f t="shared" si="31"/>
        <v>1.9252881430618696</v>
      </c>
      <c r="AU99" s="239">
        <f>IF(AR99="","",NORMDIST(AR99,$D$5,$S$19,0))</f>
        <v>19.374121049430368</v>
      </c>
      <c r="AV99" s="239">
        <f>IF(AR99="","",NORMDIST(AR99,$F$5,$S$19,0))</f>
        <v>5.3716642749326597E-25</v>
      </c>
      <c r="AW99" s="239">
        <f>NORMDIST(AS99,$F$5,$S$19,0)</f>
        <v>3.0688730583026657E-20</v>
      </c>
      <c r="AX99" s="239">
        <f t="shared" si="32"/>
        <v>5.3716642749326597E-25</v>
      </c>
    </row>
    <row r="100" spans="3:50" x14ac:dyDescent="0.25">
      <c r="C100" s="60">
        <f t="shared" si="21"/>
        <v>14</v>
      </c>
      <c r="D100" s="239">
        <f t="shared" si="22"/>
        <v>0.66666666666666663</v>
      </c>
      <c r="E100" s="236">
        <f t="shared" si="17"/>
        <v>0.4307272992954575</v>
      </c>
      <c r="F100" s="236">
        <f t="shared" si="23"/>
        <v>0.55852403702813569</v>
      </c>
      <c r="G100" s="236">
        <f t="shared" si="18"/>
        <v>0.71175670229286447</v>
      </c>
      <c r="H100" s="236">
        <f t="shared" si="24"/>
        <v>-1.1756702292864518E-2</v>
      </c>
      <c r="I100" s="236">
        <f t="shared" si="25"/>
        <v>6.1756702292864452E-2</v>
      </c>
      <c r="J100" s="234"/>
      <c r="K100" s="234"/>
      <c r="L100" s="60"/>
      <c r="M100" s="235"/>
      <c r="N100" s="60">
        <f t="shared" si="26"/>
        <v>4</v>
      </c>
      <c r="O100" s="236">
        <f t="shared" si="27"/>
        <v>0.19047619047619047</v>
      </c>
      <c r="P100" s="236">
        <f t="shared" si="19"/>
        <v>-0.87614284924684116</v>
      </c>
      <c r="Q100" s="236">
        <f t="shared" si="28"/>
        <v>-0.80105471370792436</v>
      </c>
      <c r="R100" s="236">
        <f t="shared" si="20"/>
        <v>0.21154998585558191</v>
      </c>
      <c r="S100" s="236">
        <f t="shared" si="29"/>
        <v>-1.1549985855581896E-2</v>
      </c>
      <c r="T100" s="236">
        <f t="shared" si="30"/>
        <v>6.1549985855581912E-2</v>
      </c>
      <c r="U100" s="60"/>
      <c r="V100" s="60"/>
      <c r="W100" s="60"/>
      <c r="AP100" s="239">
        <v>0.83</v>
      </c>
      <c r="AQ100" s="239">
        <f t="shared" si="16"/>
        <v>1.8854388280149827E-3</v>
      </c>
      <c r="AR100" s="241">
        <f>AR99</f>
        <v>1.9252881430618696</v>
      </c>
      <c r="AS100" s="241">
        <f>AS99</f>
        <v>1.9276137342914859</v>
      </c>
      <c r="AT100" s="239">
        <f t="shared" si="31"/>
        <v>1.9252881430618696</v>
      </c>
      <c r="AU100" s="239">
        <f>IF(AR100="","",0)</f>
        <v>0</v>
      </c>
      <c r="AV100" s="239">
        <f>IF(AR100="","",0)</f>
        <v>0</v>
      </c>
      <c r="AW100" s="239">
        <f>IF(AR100="","",0)</f>
        <v>0</v>
      </c>
      <c r="AX100" s="239">
        <f t="shared" si="32"/>
        <v>0</v>
      </c>
    </row>
    <row r="101" spans="3:50" x14ac:dyDescent="0.25">
      <c r="C101" s="60">
        <f t="shared" si="21"/>
        <v>3</v>
      </c>
      <c r="D101" s="239">
        <f t="shared" si="22"/>
        <v>0.14285714285714285</v>
      </c>
      <c r="E101" s="236">
        <f t="shared" si="17"/>
        <v>-1.0675705238781419</v>
      </c>
      <c r="F101" s="236">
        <f t="shared" si="23"/>
        <v>-0.89849519000118339</v>
      </c>
      <c r="G101" s="236">
        <f t="shared" si="18"/>
        <v>0.18446080420443031</v>
      </c>
      <c r="H101" s="236">
        <f t="shared" si="24"/>
        <v>-3.4460804204430318E-2</v>
      </c>
      <c r="I101" s="236">
        <f t="shared" si="25"/>
        <v>8.4460804204430306E-2</v>
      </c>
      <c r="J101" s="60"/>
      <c r="K101" s="60"/>
      <c r="L101" s="233"/>
      <c r="M101" s="235"/>
      <c r="N101" s="60">
        <f t="shared" si="26"/>
        <v>9</v>
      </c>
      <c r="O101" s="236">
        <f t="shared" si="27"/>
        <v>0.42857142857142855</v>
      </c>
      <c r="P101" s="236">
        <f t="shared" si="19"/>
        <v>-0.18001236979270516</v>
      </c>
      <c r="Q101" s="236">
        <f t="shared" si="28"/>
        <v>-0.30039551764044942</v>
      </c>
      <c r="R101" s="236">
        <f t="shared" si="20"/>
        <v>0.38193774115507373</v>
      </c>
      <c r="S101" s="236">
        <f t="shared" si="29"/>
        <v>6.8062258844926282E-2</v>
      </c>
      <c r="T101" s="236">
        <f t="shared" si="30"/>
        <v>-1.8062258844926293E-2</v>
      </c>
      <c r="U101" s="60"/>
      <c r="V101" s="60"/>
      <c r="W101" s="233"/>
      <c r="AP101" s="239">
        <v>0.84</v>
      </c>
      <c r="AQ101" s="239">
        <f t="shared" si="16"/>
        <v>1.7745306616611597E-3</v>
      </c>
      <c r="AR101" s="239">
        <f>IF($Y$11+AQ101&gt;AE97,$Y$11+AQ101,"")</f>
        <v>1.9250663267291619</v>
      </c>
      <c r="AS101" s="241">
        <f>$AK$60+AQ101</f>
        <v>1.9273919179587782</v>
      </c>
      <c r="AT101" s="239">
        <f t="shared" si="31"/>
        <v>1.9250663267291619</v>
      </c>
      <c r="AU101" s="239">
        <f>IF(AR101="","",NORMDIST(AR101,$D$5,$S$19,0))</f>
        <v>15.642390914776406</v>
      </c>
      <c r="AV101" s="239">
        <f>IF(AR101="","",NORMDIST(AR101,$F$5,$S$19,0))</f>
        <v>1.7858934758974133E-25</v>
      </c>
      <c r="AW101" s="239">
        <f>NORMDIST(AS101,$F$5,$S$19,0)</f>
        <v>1.1311810808604971E-20</v>
      </c>
      <c r="AX101" s="239">
        <f t="shared" si="32"/>
        <v>1.7858934758974133E-25</v>
      </c>
    </row>
    <row r="102" spans="3:50" x14ac:dyDescent="0.25">
      <c r="C102" s="60">
        <f t="shared" si="21"/>
        <v>5</v>
      </c>
      <c r="D102" s="239">
        <f t="shared" si="22"/>
        <v>0.23809523809523808</v>
      </c>
      <c r="E102" s="236">
        <f t="shared" si="17"/>
        <v>-0.71244303238948903</v>
      </c>
      <c r="F102" s="236">
        <f t="shared" si="23"/>
        <v>-0.41282211432485871</v>
      </c>
      <c r="G102" s="236">
        <f t="shared" si="18"/>
        <v>0.33986847397038444</v>
      </c>
      <c r="H102" s="236">
        <f t="shared" si="24"/>
        <v>-8.9868473970384444E-2</v>
      </c>
      <c r="I102" s="236">
        <f t="shared" si="25"/>
        <v>0.13986847397038443</v>
      </c>
      <c r="J102" s="234"/>
      <c r="K102" s="234"/>
      <c r="L102" s="233"/>
      <c r="M102" s="235"/>
      <c r="N102" s="60">
        <f t="shared" si="26"/>
        <v>4</v>
      </c>
      <c r="O102" s="236">
        <f t="shared" si="27"/>
        <v>0.19047619047619047</v>
      </c>
      <c r="P102" s="236">
        <f t="shared" si="19"/>
        <v>-0.87614284924684116</v>
      </c>
      <c r="Q102" s="236">
        <f t="shared" si="28"/>
        <v>-0.80105471370792436</v>
      </c>
      <c r="R102" s="236">
        <f t="shared" si="20"/>
        <v>0.21154998585558191</v>
      </c>
      <c r="S102" s="236">
        <f t="shared" si="29"/>
        <v>-1.1549985855581896E-2</v>
      </c>
      <c r="T102" s="236">
        <f t="shared" si="30"/>
        <v>6.1549985855581912E-2</v>
      </c>
      <c r="U102" s="60"/>
      <c r="V102" s="60"/>
      <c r="W102" s="233"/>
      <c r="AP102" s="239">
        <v>0.85</v>
      </c>
      <c r="AQ102" s="239">
        <f t="shared" si="16"/>
        <v>1.6636224953073386E-3</v>
      </c>
      <c r="AR102" s="241">
        <f>AR101</f>
        <v>1.9250663267291619</v>
      </c>
      <c r="AS102" s="241">
        <f>AS101</f>
        <v>1.9273919179587782</v>
      </c>
      <c r="AT102" s="239">
        <f t="shared" si="31"/>
        <v>1.9250663267291619</v>
      </c>
      <c r="AU102" s="239">
        <f>IF(AR102="","",0)</f>
        <v>0</v>
      </c>
      <c r="AV102" s="239">
        <f>IF(AR102="","",0)</f>
        <v>0</v>
      </c>
      <c r="AW102" s="239">
        <f>IF(AR102="","",0)</f>
        <v>0</v>
      </c>
      <c r="AX102" s="239">
        <f t="shared" si="32"/>
        <v>0</v>
      </c>
    </row>
    <row r="103" spans="3:50" x14ac:dyDescent="0.25">
      <c r="C103" s="60" t="str">
        <f t="shared" si="21"/>
        <v/>
      </c>
      <c r="D103" s="239" t="str">
        <f t="shared" si="22"/>
        <v/>
      </c>
      <c r="E103" s="236" t="str">
        <f t="shared" si="17"/>
        <v/>
      </c>
      <c r="F103" s="236" t="str">
        <f t="shared" si="23"/>
        <v/>
      </c>
      <c r="G103" s="236" t="str">
        <f t="shared" si="18"/>
        <v/>
      </c>
      <c r="H103" s="236" t="str">
        <f t="shared" si="24"/>
        <v/>
      </c>
      <c r="I103" s="236" t="str">
        <f t="shared" si="25"/>
        <v/>
      </c>
      <c r="J103" s="60"/>
      <c r="K103" s="60"/>
      <c r="L103" s="233"/>
      <c r="M103" s="235"/>
      <c r="N103" s="60" t="str">
        <f t="shared" si="26"/>
        <v/>
      </c>
      <c r="O103" s="236" t="str">
        <f t="shared" si="27"/>
        <v/>
      </c>
      <c r="P103" s="236" t="str">
        <f t="shared" si="19"/>
        <v/>
      </c>
      <c r="Q103" s="236" t="str">
        <f t="shared" si="28"/>
        <v/>
      </c>
      <c r="R103" s="236" t="str">
        <f t="shared" si="20"/>
        <v/>
      </c>
      <c r="S103" s="236" t="str">
        <f t="shared" si="29"/>
        <v/>
      </c>
      <c r="T103" s="236" t="str">
        <f t="shared" si="30"/>
        <v/>
      </c>
      <c r="U103" s="60"/>
      <c r="V103" s="60"/>
      <c r="W103" s="233"/>
      <c r="AP103" s="239">
        <v>0.86</v>
      </c>
      <c r="AQ103" s="239">
        <f t="shared" si="16"/>
        <v>1.5527143289535156E-3</v>
      </c>
      <c r="AR103" s="239">
        <f>IF($Y$11+AQ103&gt;AE99,$Y$11+AQ103,"")</f>
        <v>1.9248445103964542</v>
      </c>
      <c r="AS103" s="241">
        <f>$AK$60+AQ103</f>
        <v>1.9271701016260705</v>
      </c>
      <c r="AT103" s="239">
        <f t="shared" si="31"/>
        <v>1.9248445103964542</v>
      </c>
      <c r="AU103" s="239">
        <f>IF(AR103="","",NORMDIST(AR103,$D$5,$S$19,0))</f>
        <v>12.505774333623457</v>
      </c>
      <c r="AV103" s="239">
        <f>IF(AR103="","",NORMDIST(AR103,$F$5,$S$19,0))</f>
        <v>5.8793398664400416E-26</v>
      </c>
      <c r="AW103" s="239">
        <f>NORMDIST(AS103,$F$5,$S$19,0)</f>
        <v>4.1286842225911975E-21</v>
      </c>
      <c r="AX103" s="239">
        <f t="shared" si="32"/>
        <v>5.8793398664400416E-26</v>
      </c>
    </row>
    <row r="104" spans="3:50" x14ac:dyDescent="0.25">
      <c r="C104" s="60" t="str">
        <f t="shared" si="21"/>
        <v/>
      </c>
      <c r="D104" s="239" t="str">
        <f t="shared" si="22"/>
        <v/>
      </c>
      <c r="E104" s="236" t="str">
        <f t="shared" si="17"/>
        <v/>
      </c>
      <c r="F104" s="236" t="str">
        <f t="shared" si="23"/>
        <v/>
      </c>
      <c r="G104" s="236" t="str">
        <f t="shared" si="18"/>
        <v/>
      </c>
      <c r="H104" s="236" t="str">
        <f t="shared" si="24"/>
        <v/>
      </c>
      <c r="I104" s="236" t="str">
        <f t="shared" si="25"/>
        <v/>
      </c>
      <c r="J104" s="60"/>
      <c r="K104" s="60"/>
      <c r="L104" s="233"/>
      <c r="M104" s="235"/>
      <c r="N104" s="60" t="str">
        <f t="shared" si="26"/>
        <v/>
      </c>
      <c r="O104" s="236" t="str">
        <f t="shared" si="27"/>
        <v/>
      </c>
      <c r="P104" s="236" t="str">
        <f t="shared" si="19"/>
        <v/>
      </c>
      <c r="Q104" s="236" t="str">
        <f t="shared" si="28"/>
        <v/>
      </c>
      <c r="R104" s="236" t="str">
        <f t="shared" si="20"/>
        <v/>
      </c>
      <c r="S104" s="236" t="str">
        <f t="shared" si="29"/>
        <v/>
      </c>
      <c r="T104" s="236" t="str">
        <f t="shared" si="30"/>
        <v/>
      </c>
      <c r="U104" s="234"/>
      <c r="AP104" s="239">
        <v>0.87</v>
      </c>
      <c r="AQ104" s="239">
        <f t="shared" si="16"/>
        <v>1.4418061625996927E-3</v>
      </c>
      <c r="AR104" s="241">
        <f>AR103</f>
        <v>1.9248445103964542</v>
      </c>
      <c r="AS104" s="241">
        <f>AS103</f>
        <v>1.9271701016260705</v>
      </c>
      <c r="AT104" s="239">
        <f t="shared" si="31"/>
        <v>1.9248445103964542</v>
      </c>
      <c r="AU104" s="239">
        <f>IF(AR104="","",0)</f>
        <v>0</v>
      </c>
      <c r="AV104" s="239">
        <f>IF(AR104="","",0)</f>
        <v>0</v>
      </c>
      <c r="AW104" s="239">
        <f>IF(AR104="","",0)</f>
        <v>0</v>
      </c>
      <c r="AX104" s="239">
        <f t="shared" si="32"/>
        <v>0</v>
      </c>
    </row>
    <row r="105" spans="3:50" x14ac:dyDescent="0.25">
      <c r="C105" s="60" t="str">
        <f t="shared" si="21"/>
        <v/>
      </c>
      <c r="D105" s="239" t="str">
        <f t="shared" si="22"/>
        <v/>
      </c>
      <c r="E105" s="236" t="str">
        <f t="shared" si="17"/>
        <v/>
      </c>
      <c r="F105" s="236" t="str">
        <f t="shared" si="23"/>
        <v/>
      </c>
      <c r="G105" s="236" t="str">
        <f t="shared" si="18"/>
        <v/>
      </c>
      <c r="H105" s="236" t="str">
        <f t="shared" si="24"/>
        <v/>
      </c>
      <c r="I105" s="236" t="str">
        <f t="shared" si="25"/>
        <v/>
      </c>
      <c r="J105" s="60"/>
      <c r="K105" s="60"/>
      <c r="L105" s="233"/>
      <c r="M105" s="235"/>
      <c r="N105" s="60" t="str">
        <f t="shared" si="26"/>
        <v/>
      </c>
      <c r="O105" s="236" t="str">
        <f t="shared" si="27"/>
        <v/>
      </c>
      <c r="P105" s="236" t="str">
        <f t="shared" si="19"/>
        <v/>
      </c>
      <c r="Q105" s="236" t="str">
        <f t="shared" si="28"/>
        <v/>
      </c>
      <c r="R105" s="236" t="str">
        <f t="shared" si="20"/>
        <v/>
      </c>
      <c r="S105" s="236" t="str">
        <f t="shared" si="29"/>
        <v/>
      </c>
      <c r="T105" s="236" t="str">
        <f t="shared" si="30"/>
        <v/>
      </c>
      <c r="U105" s="234"/>
      <c r="AP105" s="239">
        <v>0.88</v>
      </c>
      <c r="AQ105" s="239">
        <f t="shared" si="16"/>
        <v>1.3308979962458698E-3</v>
      </c>
      <c r="AR105" s="239">
        <f>IF($Y$11+AQ105&gt;AE101,$Y$11+AQ105,"")</f>
        <v>1.9246226940637465</v>
      </c>
      <c r="AS105" s="241">
        <f>$AK$60+AQ105</f>
        <v>1.9269482852933628</v>
      </c>
      <c r="AT105" s="239">
        <f t="shared" si="31"/>
        <v>1.9246226940637465</v>
      </c>
      <c r="AU105" s="239">
        <f>IF(AR105="","",NORMDIST(AR105,$D$5,$S$19,0))</f>
        <v>9.9002090824190674</v>
      </c>
      <c r="AV105" s="239">
        <f>IF(AR105="","",NORMDIST(AR105,$F$5,$S$19,0))</f>
        <v>1.9165842192746074E-26</v>
      </c>
      <c r="AW105" s="239">
        <f>NORMDIST(AS105,$F$5,$S$19,0)</f>
        <v>1.4921673357428993E-21</v>
      </c>
      <c r="AX105" s="239">
        <f t="shared" si="32"/>
        <v>1.9165842192746074E-26</v>
      </c>
    </row>
    <row r="106" spans="3:50" x14ac:dyDescent="0.25">
      <c r="C106" s="60" t="str">
        <f t="shared" si="21"/>
        <v/>
      </c>
      <c r="D106" s="239" t="str">
        <f t="shared" si="22"/>
        <v/>
      </c>
      <c r="E106" s="236" t="str">
        <f t="shared" si="17"/>
        <v/>
      </c>
      <c r="F106" s="236" t="str">
        <f t="shared" si="23"/>
        <v/>
      </c>
      <c r="G106" s="236" t="str">
        <f t="shared" si="18"/>
        <v/>
      </c>
      <c r="H106" s="236" t="str">
        <f t="shared" si="24"/>
        <v/>
      </c>
      <c r="I106" s="236" t="str">
        <f t="shared" si="25"/>
        <v/>
      </c>
      <c r="J106" s="60"/>
      <c r="K106" s="60"/>
      <c r="L106" s="233"/>
      <c r="M106" s="235"/>
      <c r="N106" s="60" t="str">
        <f t="shared" si="26"/>
        <v/>
      </c>
      <c r="O106" s="236" t="str">
        <f t="shared" si="27"/>
        <v/>
      </c>
      <c r="P106" s="236" t="str">
        <f t="shared" si="19"/>
        <v/>
      </c>
      <c r="Q106" s="236" t="str">
        <f t="shared" si="28"/>
        <v/>
      </c>
      <c r="R106" s="236" t="str">
        <f t="shared" si="20"/>
        <v/>
      </c>
      <c r="S106" s="236" t="str">
        <f t="shared" si="29"/>
        <v/>
      </c>
      <c r="T106" s="236" t="str">
        <f t="shared" si="30"/>
        <v/>
      </c>
      <c r="U106" s="234"/>
      <c r="AP106" s="239">
        <v>0.89</v>
      </c>
      <c r="AQ106" s="239">
        <f t="shared" si="16"/>
        <v>1.2199898298920469E-3</v>
      </c>
      <c r="AR106" s="241">
        <f>AR105</f>
        <v>1.9246226940637465</v>
      </c>
      <c r="AS106" s="241">
        <f>AS105</f>
        <v>1.9269482852933628</v>
      </c>
      <c r="AT106" s="239">
        <f t="shared" si="31"/>
        <v>1.9246226940637465</v>
      </c>
      <c r="AU106" s="239">
        <f>IF(AR106="","",0)</f>
        <v>0</v>
      </c>
      <c r="AV106" s="239">
        <f>IF(AR106="","",0)</f>
        <v>0</v>
      </c>
      <c r="AW106" s="239">
        <f>IF(AR106="","",0)</f>
        <v>0</v>
      </c>
      <c r="AX106" s="239">
        <f t="shared" si="32"/>
        <v>0</v>
      </c>
    </row>
    <row r="107" spans="3:50" x14ac:dyDescent="0.25">
      <c r="C107" s="60" t="str">
        <f t="shared" si="21"/>
        <v/>
      </c>
      <c r="D107" s="239" t="str">
        <f t="shared" si="22"/>
        <v/>
      </c>
      <c r="E107" s="236" t="str">
        <f t="shared" si="17"/>
        <v/>
      </c>
      <c r="F107" s="236" t="str">
        <f t="shared" si="23"/>
        <v/>
      </c>
      <c r="G107" s="236" t="str">
        <f t="shared" si="18"/>
        <v/>
      </c>
      <c r="H107" s="236" t="str">
        <f t="shared" si="24"/>
        <v/>
      </c>
      <c r="I107" s="236" t="str">
        <f t="shared" si="25"/>
        <v/>
      </c>
      <c r="J107" s="234"/>
      <c r="K107" s="234"/>
      <c r="L107" s="234"/>
      <c r="M107" s="235"/>
      <c r="N107" s="60" t="str">
        <f t="shared" si="26"/>
        <v/>
      </c>
      <c r="O107" s="236" t="str">
        <f t="shared" si="27"/>
        <v/>
      </c>
      <c r="P107" s="236" t="str">
        <f t="shared" si="19"/>
        <v/>
      </c>
      <c r="Q107" s="236" t="str">
        <f t="shared" si="28"/>
        <v/>
      </c>
      <c r="R107" s="236" t="str">
        <f t="shared" si="20"/>
        <v/>
      </c>
      <c r="S107" s="236" t="str">
        <f t="shared" si="29"/>
        <v/>
      </c>
      <c r="T107" s="236" t="str">
        <f t="shared" si="30"/>
        <v/>
      </c>
      <c r="U107" s="234"/>
      <c r="AP107" s="239">
        <v>0.9</v>
      </c>
      <c r="AQ107" s="239">
        <f t="shared" si="16"/>
        <v>1.109081663538224E-3</v>
      </c>
      <c r="AR107" s="239">
        <f>IF($Y$11+AQ107&gt;AE103,$Y$11+AQ107,"")</f>
        <v>1.9244008777310389</v>
      </c>
      <c r="AS107" s="241">
        <f>$AK$60+AQ107</f>
        <v>1.9267264689606551</v>
      </c>
      <c r="AT107" s="239">
        <f t="shared" si="31"/>
        <v>1.9244008777310389</v>
      </c>
      <c r="AU107" s="239">
        <f>IF(AR107="","",NORMDIST(AR107,$D$5,$S$19,0))</f>
        <v>7.760763909398376</v>
      </c>
      <c r="AV107" s="239">
        <f>IF(AR107="","",NORMDIST(AR107,$F$5,$S$19,0))</f>
        <v>6.1866219223042544E-27</v>
      </c>
      <c r="AW107" s="239">
        <f>NORMDIST(AS107,$F$5,$S$19,0)</f>
        <v>5.340104016323997E-22</v>
      </c>
      <c r="AX107" s="239">
        <f t="shared" si="32"/>
        <v>6.1866219223042544E-27</v>
      </c>
    </row>
    <row r="108" spans="3:50" x14ac:dyDescent="0.25">
      <c r="C108" s="60" t="str">
        <f t="shared" si="21"/>
        <v/>
      </c>
      <c r="D108" s="239" t="str">
        <f t="shared" si="22"/>
        <v/>
      </c>
      <c r="E108" s="236" t="str">
        <f t="shared" si="17"/>
        <v/>
      </c>
      <c r="F108" s="236" t="str">
        <f t="shared" si="23"/>
        <v/>
      </c>
      <c r="G108" s="236" t="str">
        <f t="shared" si="18"/>
        <v/>
      </c>
      <c r="H108" s="236" t="str">
        <f t="shared" si="24"/>
        <v/>
      </c>
      <c r="I108" s="236" t="str">
        <f t="shared" si="25"/>
        <v/>
      </c>
      <c r="J108" s="234"/>
      <c r="K108" s="234"/>
      <c r="L108" s="234"/>
      <c r="M108" s="235"/>
      <c r="N108" s="60" t="str">
        <f t="shared" si="26"/>
        <v/>
      </c>
      <c r="O108" s="236" t="str">
        <f t="shared" si="27"/>
        <v/>
      </c>
      <c r="P108" s="236" t="str">
        <f t="shared" si="19"/>
        <v/>
      </c>
      <c r="Q108" s="236" t="str">
        <f t="shared" si="28"/>
        <v/>
      </c>
      <c r="R108" s="236" t="str">
        <f t="shared" si="20"/>
        <v/>
      </c>
      <c r="S108" s="236" t="str">
        <f t="shared" si="29"/>
        <v/>
      </c>
      <c r="T108" s="236" t="str">
        <f t="shared" si="30"/>
        <v/>
      </c>
      <c r="U108" s="234"/>
      <c r="AP108" s="239">
        <v>0.91</v>
      </c>
      <c r="AQ108" s="239">
        <f t="shared" si="16"/>
        <v>9.9817349718440279E-4</v>
      </c>
      <c r="AR108" s="241">
        <f>AR107</f>
        <v>1.9244008777310389</v>
      </c>
      <c r="AS108" s="241">
        <f>AS107</f>
        <v>1.9267264689606551</v>
      </c>
      <c r="AT108" s="239">
        <f t="shared" si="31"/>
        <v>1.9244008777310389</v>
      </c>
      <c r="AU108" s="239">
        <f>IF(AR108="","",0)</f>
        <v>0</v>
      </c>
      <c r="AV108" s="239">
        <f>IF(AR108="","",0)</f>
        <v>0</v>
      </c>
      <c r="AW108" s="239">
        <f>IF(AR108="","",0)</f>
        <v>0</v>
      </c>
      <c r="AX108" s="239">
        <f t="shared" si="32"/>
        <v>0</v>
      </c>
    </row>
    <row r="109" spans="3:50" x14ac:dyDescent="0.25">
      <c r="C109" s="60" t="str">
        <f t="shared" si="21"/>
        <v/>
      </c>
      <c r="D109" s="239" t="str">
        <f t="shared" si="22"/>
        <v/>
      </c>
      <c r="E109" s="236" t="str">
        <f t="shared" si="17"/>
        <v/>
      </c>
      <c r="F109" s="236" t="str">
        <f t="shared" si="23"/>
        <v/>
      </c>
      <c r="G109" s="236" t="str">
        <f t="shared" si="18"/>
        <v/>
      </c>
      <c r="H109" s="236" t="str">
        <f t="shared" si="24"/>
        <v/>
      </c>
      <c r="I109" s="236" t="str">
        <f t="shared" si="25"/>
        <v/>
      </c>
      <c r="J109" s="234"/>
      <c r="K109" s="234"/>
      <c r="L109" s="234"/>
      <c r="M109" s="235"/>
      <c r="N109" s="60" t="str">
        <f t="shared" si="26"/>
        <v/>
      </c>
      <c r="O109" s="236" t="str">
        <f t="shared" si="27"/>
        <v/>
      </c>
      <c r="P109" s="236" t="str">
        <f t="shared" si="19"/>
        <v/>
      </c>
      <c r="Q109" s="236" t="str">
        <f t="shared" si="28"/>
        <v/>
      </c>
      <c r="R109" s="236" t="str">
        <f t="shared" si="20"/>
        <v/>
      </c>
      <c r="S109" s="236" t="str">
        <f t="shared" si="29"/>
        <v/>
      </c>
      <c r="T109" s="236" t="str">
        <f t="shared" si="30"/>
        <v/>
      </c>
      <c r="U109" s="234"/>
      <c r="AP109" s="239">
        <v>0.92</v>
      </c>
      <c r="AQ109" s="239">
        <f t="shared" si="16"/>
        <v>8.8726533083057987E-4</v>
      </c>
      <c r="AR109" s="239">
        <f>IF($Y$11+AQ109&gt;AE105,$Y$11+AQ109,"")</f>
        <v>1.9241790613983312</v>
      </c>
      <c r="AS109" s="241">
        <f>$AK$60+AQ109</f>
        <v>1.9265046526279475</v>
      </c>
      <c r="AT109" s="239">
        <f t="shared" si="31"/>
        <v>1.9241790613983312</v>
      </c>
      <c r="AU109" s="239">
        <f>IF(AR109="","",NORMDIST(AR109,$D$5,$S$19,0))</f>
        <v>6.0240824005889166</v>
      </c>
      <c r="AV109" s="239">
        <f>IF(AR109="","",NORMDIST(AR109,$F$5,$S$19,0))</f>
        <v>1.9774502716913616E-27</v>
      </c>
      <c r="AW109" s="239">
        <f>NORMDIST(AS109,$F$5,$S$19,0)</f>
        <v>1.8923794814106285E-22</v>
      </c>
      <c r="AX109" s="239">
        <f t="shared" si="32"/>
        <v>1.9774502716913616E-27</v>
      </c>
    </row>
    <row r="110" spans="3:50" x14ac:dyDescent="0.25">
      <c r="C110" s="60" t="str">
        <f t="shared" si="21"/>
        <v/>
      </c>
      <c r="D110" s="239" t="str">
        <f t="shared" si="22"/>
        <v/>
      </c>
      <c r="E110" s="236" t="str">
        <f t="shared" si="17"/>
        <v/>
      </c>
      <c r="F110" s="236" t="str">
        <f t="shared" si="23"/>
        <v/>
      </c>
      <c r="G110" s="236" t="str">
        <f t="shared" si="18"/>
        <v/>
      </c>
      <c r="H110" s="236" t="str">
        <f t="shared" si="24"/>
        <v/>
      </c>
      <c r="I110" s="236" t="str">
        <f t="shared" si="25"/>
        <v/>
      </c>
      <c r="J110" s="234"/>
      <c r="K110" s="234"/>
      <c r="L110" s="234"/>
      <c r="M110" s="235"/>
      <c r="N110" s="60" t="str">
        <f t="shared" si="26"/>
        <v/>
      </c>
      <c r="O110" s="236" t="str">
        <f t="shared" si="27"/>
        <v/>
      </c>
      <c r="P110" s="236" t="str">
        <f t="shared" si="19"/>
        <v/>
      </c>
      <c r="Q110" s="236" t="str">
        <f t="shared" si="28"/>
        <v/>
      </c>
      <c r="R110" s="236" t="str">
        <f t="shared" si="20"/>
        <v/>
      </c>
      <c r="S110" s="236" t="str">
        <f t="shared" si="29"/>
        <v/>
      </c>
      <c r="T110" s="236" t="str">
        <f t="shared" si="30"/>
        <v/>
      </c>
      <c r="U110" s="234"/>
      <c r="AP110" s="239">
        <v>0.93</v>
      </c>
      <c r="AQ110" s="239">
        <f t="shared" si="16"/>
        <v>7.7635716447675696E-4</v>
      </c>
      <c r="AR110" s="241">
        <f>AR109</f>
        <v>1.9241790613983312</v>
      </c>
      <c r="AS110" s="241">
        <f>AS109</f>
        <v>1.9265046526279475</v>
      </c>
      <c r="AT110" s="239">
        <f t="shared" si="31"/>
        <v>1.9241790613983312</v>
      </c>
      <c r="AU110" s="239">
        <f>IF(AR110="","",0)</f>
        <v>0</v>
      </c>
      <c r="AV110" s="239">
        <f>IF(AR110="","",0)</f>
        <v>0</v>
      </c>
      <c r="AW110" s="239">
        <f>IF(AR110="","",0)</f>
        <v>0</v>
      </c>
      <c r="AX110" s="239">
        <f t="shared" si="32"/>
        <v>0</v>
      </c>
    </row>
    <row r="111" spans="3:50" x14ac:dyDescent="0.25">
      <c r="C111" s="60" t="str">
        <f t="shared" si="21"/>
        <v/>
      </c>
      <c r="D111" s="239" t="str">
        <f t="shared" si="22"/>
        <v/>
      </c>
      <c r="E111" s="236" t="str">
        <f t="shared" si="17"/>
        <v/>
      </c>
      <c r="F111" s="236" t="str">
        <f t="shared" si="23"/>
        <v/>
      </c>
      <c r="G111" s="236" t="str">
        <f t="shared" si="18"/>
        <v/>
      </c>
      <c r="H111" s="236" t="str">
        <f t="shared" si="24"/>
        <v/>
      </c>
      <c r="I111" s="236" t="str">
        <f t="shared" si="25"/>
        <v/>
      </c>
      <c r="J111" s="234"/>
      <c r="K111" s="234"/>
      <c r="L111" s="234"/>
      <c r="M111" s="235"/>
      <c r="N111" s="60" t="str">
        <f t="shared" si="26"/>
        <v/>
      </c>
      <c r="O111" s="236" t="str">
        <f t="shared" si="27"/>
        <v/>
      </c>
      <c r="P111" s="236" t="str">
        <f t="shared" si="19"/>
        <v/>
      </c>
      <c r="Q111" s="236" t="str">
        <f t="shared" si="28"/>
        <v/>
      </c>
      <c r="R111" s="236" t="str">
        <f t="shared" si="20"/>
        <v/>
      </c>
      <c r="S111" s="236" t="str">
        <f t="shared" si="29"/>
        <v/>
      </c>
      <c r="T111" s="236" t="str">
        <f t="shared" si="30"/>
        <v/>
      </c>
      <c r="U111" s="234"/>
      <c r="AP111" s="239">
        <v>0.94</v>
      </c>
      <c r="AQ111" s="239">
        <f t="shared" si="16"/>
        <v>6.6544899812293577E-4</v>
      </c>
      <c r="AR111" s="239">
        <f>IF($Y$11+AQ111&gt;AE107,$Y$11+AQ111,"")</f>
        <v>1.9239572450656237</v>
      </c>
      <c r="AS111" s="241">
        <f>$AK$60+AQ111</f>
        <v>1.92628283629524</v>
      </c>
      <c r="AT111" s="239">
        <f t="shared" si="31"/>
        <v>1.9239572450656237</v>
      </c>
      <c r="AU111" s="239">
        <f>IF(AR111="","",NORMDIST(AR111,$D$5,$S$19,0))</f>
        <v>4.630241700501089</v>
      </c>
      <c r="AV111" s="239">
        <f>IF(AR111="","",NORMDIST(AR111,$F$5,$S$19,0))</f>
        <v>6.2586964975163352E-28</v>
      </c>
      <c r="AW111" s="239">
        <f>NORMDIST(AS111,$F$5,$S$19,0)</f>
        <v>6.6403821104370701E-23</v>
      </c>
      <c r="AX111" s="239">
        <f t="shared" si="32"/>
        <v>6.2586964975163352E-28</v>
      </c>
    </row>
    <row r="112" spans="3:50" x14ac:dyDescent="0.25">
      <c r="C112" s="60" t="str">
        <f t="shared" si="21"/>
        <v/>
      </c>
      <c r="D112" s="239" t="str">
        <f t="shared" si="22"/>
        <v/>
      </c>
      <c r="E112" s="236" t="str">
        <f t="shared" si="17"/>
        <v/>
      </c>
      <c r="F112" s="236" t="str">
        <f t="shared" si="23"/>
        <v/>
      </c>
      <c r="G112" s="236" t="str">
        <f t="shared" si="18"/>
        <v/>
      </c>
      <c r="H112" s="236" t="str">
        <f t="shared" si="24"/>
        <v/>
      </c>
      <c r="I112" s="236" t="str">
        <f t="shared" si="25"/>
        <v/>
      </c>
      <c r="J112" s="234"/>
      <c r="K112" s="234"/>
      <c r="L112" s="234"/>
      <c r="M112" s="235"/>
      <c r="N112" s="60" t="str">
        <f t="shared" si="26"/>
        <v/>
      </c>
      <c r="O112" s="236" t="str">
        <f t="shared" si="27"/>
        <v/>
      </c>
      <c r="P112" s="236" t="str">
        <f t="shared" si="19"/>
        <v/>
      </c>
      <c r="Q112" s="236" t="str">
        <f t="shared" si="28"/>
        <v/>
      </c>
      <c r="R112" s="236" t="str">
        <f t="shared" si="20"/>
        <v/>
      </c>
      <c r="S112" s="236" t="str">
        <f t="shared" si="29"/>
        <v/>
      </c>
      <c r="T112" s="236" t="str">
        <f t="shared" si="30"/>
        <v/>
      </c>
      <c r="U112" s="234"/>
      <c r="AP112" s="239">
        <v>0.95</v>
      </c>
      <c r="AQ112" s="239">
        <f t="shared" si="16"/>
        <v>5.5454083176911285E-4</v>
      </c>
      <c r="AR112" s="241">
        <f>AR111</f>
        <v>1.9239572450656237</v>
      </c>
      <c r="AS112" s="241">
        <f>AS111</f>
        <v>1.92628283629524</v>
      </c>
      <c r="AT112" s="239">
        <f t="shared" si="31"/>
        <v>1.9239572450656237</v>
      </c>
      <c r="AU112" s="239">
        <f>IF(AR112="","",0)</f>
        <v>0</v>
      </c>
      <c r="AV112" s="239">
        <f>IF(AR112="","",0)</f>
        <v>0</v>
      </c>
      <c r="AW112" s="239">
        <f>IF(AR112="","",0)</f>
        <v>0</v>
      </c>
      <c r="AX112" s="239">
        <f t="shared" si="32"/>
        <v>0</v>
      </c>
    </row>
    <row r="113" spans="3:50" x14ac:dyDescent="0.25"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AP113" s="239">
        <v>0.96</v>
      </c>
      <c r="AQ113" s="239">
        <f t="shared" si="16"/>
        <v>4.4363266541528994E-4</v>
      </c>
      <c r="AR113" s="239">
        <f>IF($Y$11+AQ113&gt;AE109,$Y$11+AQ113,"")</f>
        <v>1.923735428732916</v>
      </c>
      <c r="AS113" s="241">
        <f>$AK$60+AQ113</f>
        <v>1.9260610199625323</v>
      </c>
      <c r="AT113" s="239">
        <f t="shared" si="31"/>
        <v>1.923735428732916</v>
      </c>
      <c r="AU113" s="239">
        <f>IF(AR113="","",NORMDIST(AR113,$D$5,$S$19,0))</f>
        <v>3.5240555578807675</v>
      </c>
      <c r="AV113" s="239">
        <f>IF(AR113="","",NORMDIST(AR113,$F$5,$S$19,0))</f>
        <v>1.9615010245960632E-28</v>
      </c>
      <c r="AW113" s="239">
        <f>NORMDIST(AS113,$F$5,$S$19,0)</f>
        <v>2.307300911953768E-23</v>
      </c>
      <c r="AX113" s="239">
        <f t="shared" si="32"/>
        <v>1.9615010245960632E-28</v>
      </c>
    </row>
    <row r="114" spans="3:50" x14ac:dyDescent="0.25"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AP114" s="239">
        <v>0.97</v>
      </c>
      <c r="AQ114" s="239">
        <f t="shared" ref="AQ114:AQ117" si="33">$AQ$17-AP114*$AQ$17</f>
        <v>3.3272449906146702E-4</v>
      </c>
      <c r="AR114" s="241">
        <f>AR113</f>
        <v>1.923735428732916</v>
      </c>
      <c r="AS114" s="241">
        <f>AS113</f>
        <v>1.9260610199625323</v>
      </c>
      <c r="AT114" s="239">
        <f t="shared" si="31"/>
        <v>1.923735428732916</v>
      </c>
      <c r="AU114" s="239">
        <f>IF(AR114="","",0)</f>
        <v>0</v>
      </c>
      <c r="AV114" s="239">
        <f>IF(AR114="","",0)</f>
        <v>0</v>
      </c>
      <c r="AW114" s="239">
        <f>IF(AR114="","",0)</f>
        <v>0</v>
      </c>
      <c r="AX114" s="239">
        <f t="shared" si="32"/>
        <v>0</v>
      </c>
    </row>
    <row r="115" spans="3:50" x14ac:dyDescent="0.25">
      <c r="C115" s="60"/>
      <c r="D115" s="236"/>
      <c r="E115" s="236"/>
      <c r="F115" s="236"/>
      <c r="G115" s="236"/>
      <c r="H115" s="236"/>
      <c r="I115" s="236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AP115" s="239">
        <v>0.98</v>
      </c>
      <c r="AQ115" s="239">
        <f t="shared" si="33"/>
        <v>2.2181633270764584E-4</v>
      </c>
      <c r="AR115" s="239">
        <f>IF($Y$11+AQ115&gt;AE111,$Y$11+AQ115,"")</f>
        <v>1.9235136124002084</v>
      </c>
      <c r="AS115" s="241">
        <f>$AK$60+AQ115</f>
        <v>1.9258392036298246</v>
      </c>
      <c r="AT115" s="239">
        <f t="shared" si="31"/>
        <v>1.9235136124002084</v>
      </c>
      <c r="AU115" s="239">
        <f>IF(AR115="","",NORMDIST(AR115,$D$5,$S$19,0))</f>
        <v>2.6558782211367662</v>
      </c>
      <c r="AV115" s="239">
        <f>IF(AR115="","",NORMDIST(AR115,$F$5,$S$19,0))</f>
        <v>6.0872272212165664E-29</v>
      </c>
      <c r="AW115" s="239">
        <f>NORMDIST(AS115,$F$5,$S$19,0)</f>
        <v>7.9385599896802389E-24</v>
      </c>
      <c r="AX115" s="239">
        <f t="shared" si="32"/>
        <v>6.0872272212165664E-29</v>
      </c>
    </row>
    <row r="116" spans="3:50" x14ac:dyDescent="0.25">
      <c r="C116" s="245" t="s">
        <v>228</v>
      </c>
      <c r="D116" s="245"/>
      <c r="E116" s="245"/>
      <c r="F116" s="245"/>
      <c r="G116" s="234"/>
      <c r="H116" s="245" t="s">
        <v>229</v>
      </c>
      <c r="I116" s="245"/>
      <c r="J116" s="245"/>
      <c r="K116" s="245"/>
      <c r="L116" s="245"/>
      <c r="M116" s="234"/>
      <c r="N116" s="234"/>
      <c r="O116" s="245" t="s">
        <v>228</v>
      </c>
      <c r="P116" s="245"/>
      <c r="Q116" s="245"/>
      <c r="R116" s="245"/>
      <c r="S116" s="234"/>
      <c r="T116" s="245" t="s">
        <v>229</v>
      </c>
      <c r="U116" s="245"/>
      <c r="V116" s="245"/>
      <c r="W116" s="245"/>
      <c r="X116" s="245"/>
      <c r="AP116" s="239">
        <v>0.99</v>
      </c>
      <c r="AQ116" s="239">
        <f t="shared" si="33"/>
        <v>1.1090816635382292E-4</v>
      </c>
      <c r="AR116" s="241">
        <f>AR115</f>
        <v>1.9235136124002084</v>
      </c>
      <c r="AS116" s="241">
        <f>AS115</f>
        <v>1.9258392036298246</v>
      </c>
      <c r="AT116" s="239">
        <f t="shared" si="31"/>
        <v>1.9235136124002084</v>
      </c>
      <c r="AU116" s="239">
        <f>IF(AR116="","",0)</f>
        <v>0</v>
      </c>
      <c r="AV116" s="239">
        <f>IF(AR116="","",0)</f>
        <v>0</v>
      </c>
      <c r="AW116" s="239">
        <f>IF(AR116="","",0)</f>
        <v>0</v>
      </c>
      <c r="AX116" s="239">
        <f t="shared" si="32"/>
        <v>0</v>
      </c>
    </row>
    <row r="117" spans="3:50" x14ac:dyDescent="0.25">
      <c r="C117" s="60" t="s">
        <v>230</v>
      </c>
      <c r="D117" s="60" t="s">
        <v>121</v>
      </c>
      <c r="E117" s="60" t="s">
        <v>231</v>
      </c>
      <c r="F117" s="60" t="s">
        <v>232</v>
      </c>
      <c r="G117" s="234"/>
      <c r="H117" s="246"/>
      <c r="I117" s="60" t="s">
        <v>233</v>
      </c>
      <c r="J117" s="60" t="s">
        <v>234</v>
      </c>
      <c r="K117" s="60" t="s">
        <v>235</v>
      </c>
      <c r="L117" s="60" t="s">
        <v>236</v>
      </c>
      <c r="M117" s="234"/>
      <c r="N117" s="234"/>
      <c r="O117" s="60" t="s">
        <v>230</v>
      </c>
      <c r="P117" s="60" t="s">
        <v>121</v>
      </c>
      <c r="Q117" s="60" t="s">
        <v>231</v>
      </c>
      <c r="R117" s="60" t="s">
        <v>232</v>
      </c>
      <c r="S117" s="234"/>
      <c r="T117" s="246"/>
      <c r="U117" s="60" t="s">
        <v>233</v>
      </c>
      <c r="V117" s="60" t="s">
        <v>234</v>
      </c>
      <c r="W117" s="60" t="s">
        <v>235</v>
      </c>
      <c r="X117" s="60" t="s">
        <v>236</v>
      </c>
      <c r="AP117" s="239">
        <v>1</v>
      </c>
      <c r="AQ117" s="239">
        <f t="shared" si="33"/>
        <v>0</v>
      </c>
      <c r="AS117" s="241"/>
      <c r="AT117" s="239"/>
    </row>
    <row r="118" spans="3:50" x14ac:dyDescent="0.25">
      <c r="C118" s="247">
        <f>L83*(SQRT(COUNT(C83:C112))-0.01+0.85/SQRT(COUNT(C83:C112)))</f>
        <v>0.65069635700926509</v>
      </c>
      <c r="D118" s="248">
        <v>0.05</v>
      </c>
      <c r="E118" s="60">
        <v>0.89500000000000002</v>
      </c>
      <c r="F118" s="60" t="str">
        <f>IF(C118&lt;=E118,"oui","non")</f>
        <v>oui</v>
      </c>
      <c r="G118" s="234"/>
      <c r="H118" s="60" t="s">
        <v>237</v>
      </c>
      <c r="I118" s="239">
        <f>MAX(D30:D59)</f>
        <v>45.8</v>
      </c>
      <c r="J118" s="236">
        <f>(I118-K30)/STDEV(D30:D59)</f>
        <v>2.0155432640571096</v>
      </c>
      <c r="K118" s="237">
        <f>IF(COUNT(#REF!)=12,2.285,IF(COUNT(#REF!)=13,2.331,IF(COUNT(#REF!)=14,2.409,IF(COUNT(#REF!)=15,2.409,IF(COUNT(#REF!)&lt;21,2.557,IF(COUNT(#REF!)&lt;26,2.663,IF(COUNT(#REF!)&lt;31,2.745,"")))))))</f>
        <v>2.5569999999999999</v>
      </c>
      <c r="L118" s="237" t="str">
        <f>IF(COUNT(#REF!)=12,"2.55",IF(COUNT(#REF!)=13,"2.607",IF(COUNT(#REF!)=14,"2.705",IF(COUNT(#REF!)=15,"2.705",IF(COUNT(#REF!)&lt;21,"2.884",IF(COUNT(#REF!)&lt;26,"3.009",IF(COUNT(#REF!)&lt;31,"3.103","")))))))</f>
        <v>2.884</v>
      </c>
      <c r="M118" s="234"/>
      <c r="N118" s="234"/>
      <c r="O118" s="247">
        <f>W83*(SQRT(COUNT(N83:N112))-0.01+0.85/SQRT(COUNT(N83:N112)))</f>
        <v>0.5896057011167265</v>
      </c>
      <c r="P118" s="248">
        <v>0.05</v>
      </c>
      <c r="Q118" s="60">
        <v>0.89500000000000002</v>
      </c>
      <c r="R118" s="60" t="str">
        <f>IF(O118&lt;=Q118,"oui","non")</f>
        <v>oui</v>
      </c>
      <c r="S118" s="234"/>
      <c r="T118" s="60" t="s">
        <v>237</v>
      </c>
      <c r="U118" s="239">
        <f>MAX(E30:E59)</f>
        <v>45.82</v>
      </c>
      <c r="V118" s="236">
        <f>(U118-L30)/STDEV(E30:E59)</f>
        <v>1.7022412666290947</v>
      </c>
      <c r="W118" s="237">
        <f>IF(COUNT(O83:O113)=12,2.285,IF(COUNT(O83:O113)=13,2.331,IF(COUNT(O83:O113)=14,2.409,IF(COUNT(O83:O113)=15,2.409,IF(COUNT(O83:O113)&lt;21,2.557,IF(COUNT(O83:O113)&lt;26,2.663,IF(COUNT(O83:O113)&lt;31,2.745,"")))))))</f>
        <v>2.5569999999999999</v>
      </c>
      <c r="X118" s="237" t="str">
        <f>IF(COUNT(N83:N113)=12,"2.55",IF(COUNT(N83:N113)=13,"2.607",IF(COUNT(N83:N113)=14,"2.705",IF(COUNT(N83:N113)=15,"2.705",IF(COUNT(N83:N113)&lt;21,"2.884",IF(COUNT(N83:N113)&lt;26,"3.009",IF(COUNT(N83:N113)&lt;31,"3.103","")))))))</f>
        <v>2.884</v>
      </c>
      <c r="AS118" s="241"/>
    </row>
    <row r="119" spans="3:50" x14ac:dyDescent="0.25">
      <c r="C119" s="234"/>
      <c r="D119" s="248">
        <v>0.01</v>
      </c>
      <c r="E119" s="60">
        <v>1.0349999999999999</v>
      </c>
      <c r="F119" s="60" t="str">
        <f>IF(C118&lt;=E119,"oui","non")</f>
        <v>oui</v>
      </c>
      <c r="G119" s="234"/>
      <c r="H119" s="60" t="s">
        <v>238</v>
      </c>
      <c r="I119" s="239">
        <f>MIN(D30:D59)</f>
        <v>45.72</v>
      </c>
      <c r="J119" s="236">
        <f>ABS((I119-K30)/STDEV(D30:D59))</f>
        <v>1.8698413413541777</v>
      </c>
      <c r="K119" s="237"/>
      <c r="L119" s="237"/>
      <c r="M119" s="234"/>
      <c r="N119" s="234"/>
      <c r="O119" s="234"/>
      <c r="P119" s="248">
        <v>0.01</v>
      </c>
      <c r="Q119" s="60">
        <v>1.0349999999999999</v>
      </c>
      <c r="R119" s="60" t="str">
        <f>IF(O118&lt;=Q119,"oui","non")</f>
        <v>oui</v>
      </c>
      <c r="S119" s="60"/>
      <c r="T119" s="60" t="s">
        <v>238</v>
      </c>
      <c r="U119" s="239">
        <f>MIN(E30:E59)</f>
        <v>45.69</v>
      </c>
      <c r="V119" s="236">
        <f>(ABS(U119-L30)/STDEV(E30:E59))</f>
        <v>1.5520435078090478</v>
      </c>
      <c r="W119" s="237"/>
      <c r="X119" s="237"/>
    </row>
    <row r="120" spans="3:50" x14ac:dyDescent="0.25">
      <c r="C120" s="240" t="s">
        <v>239</v>
      </c>
      <c r="D120" s="240"/>
      <c r="E120" s="240"/>
      <c r="F120" s="240"/>
      <c r="G120" s="234"/>
      <c r="H120" s="240" t="s">
        <v>240</v>
      </c>
      <c r="I120" s="240"/>
      <c r="J120" s="240"/>
      <c r="K120" s="240"/>
      <c r="L120" s="240"/>
      <c r="M120" s="234"/>
      <c r="N120" s="234"/>
      <c r="O120" s="234"/>
      <c r="P120" s="234" t="s">
        <v>239</v>
      </c>
      <c r="Q120" s="234"/>
      <c r="R120" s="234"/>
      <c r="S120" s="234"/>
      <c r="T120" s="240" t="s">
        <v>240</v>
      </c>
      <c r="U120" s="240"/>
      <c r="V120" s="240"/>
      <c r="W120" s="240"/>
      <c r="X120" s="240"/>
    </row>
    <row r="121" spans="3:50" x14ac:dyDescent="0.25">
      <c r="C121" s="234"/>
      <c r="D121" s="234"/>
      <c r="E121" s="234"/>
      <c r="F121" s="234"/>
      <c r="G121" s="234"/>
      <c r="H121" s="249" t="s">
        <v>241</v>
      </c>
      <c r="I121" s="249"/>
      <c r="J121" s="249"/>
      <c r="K121" s="249"/>
      <c r="L121" s="249"/>
      <c r="M121" s="249"/>
      <c r="N121" s="249"/>
      <c r="O121" s="249"/>
      <c r="P121" s="249"/>
      <c r="Q121" s="249"/>
      <c r="R121" s="234"/>
      <c r="S121" s="234"/>
      <c r="T121" s="234"/>
      <c r="U121" s="234"/>
    </row>
    <row r="122" spans="3:50" x14ac:dyDescent="0.25">
      <c r="C122" s="234"/>
      <c r="D122" s="234"/>
      <c r="E122" s="234"/>
      <c r="F122" s="234"/>
      <c r="G122" s="60"/>
      <c r="H122" s="60" t="s">
        <v>242</v>
      </c>
      <c r="I122" s="60" t="s">
        <v>195</v>
      </c>
      <c r="J122" s="60" t="s">
        <v>196</v>
      </c>
      <c r="K122" s="60" t="s">
        <v>197</v>
      </c>
      <c r="L122" s="60" t="s">
        <v>198</v>
      </c>
      <c r="M122" s="60" t="s">
        <v>199</v>
      </c>
      <c r="N122" s="60" t="s">
        <v>200</v>
      </c>
      <c r="O122" s="60" t="s">
        <v>201</v>
      </c>
      <c r="P122" s="60" t="s">
        <v>202</v>
      </c>
      <c r="Q122" s="60" t="s">
        <v>203</v>
      </c>
      <c r="R122" s="60" t="s">
        <v>204</v>
      </c>
      <c r="S122" s="234"/>
      <c r="T122" s="234"/>
      <c r="U122" s="234"/>
    </row>
    <row r="123" spans="3:50" x14ac:dyDescent="0.25">
      <c r="C123" s="234"/>
      <c r="D123" s="234"/>
      <c r="E123" s="234"/>
      <c r="F123" s="234"/>
      <c r="G123" s="60"/>
      <c r="H123" s="239" t="str">
        <f t="shared" ref="H123" si="34">IF(ISNUMBER(#REF!),#REF!-#REF!,"")</f>
        <v/>
      </c>
      <c r="I123" s="250" t="str">
        <f t="shared" ref="I123:I152" si="35">IF(ISNUMBER(H123),RANK(H123,H$47:H$76,1),"")</f>
        <v/>
      </c>
      <c r="J123" s="236" t="str">
        <f t="shared" ref="J123:J152" si="36">IF(ISNUMBER(H123),I123/(MAX($M$47:$M$76)+1),"")</f>
        <v/>
      </c>
      <c r="K123" s="236" t="str">
        <f>IF(ISNUMBER(H123),NORMSINV(J123),"")</f>
        <v/>
      </c>
      <c r="L123" s="236" t="str">
        <f t="shared" ref="L123:L152" si="37">IF(ISNUMBER(H123),((H123-AVERAGE($L$47:$L$76))/STDEV($L$47:$L$76)),"")</f>
        <v/>
      </c>
      <c r="M123" s="236" t="str">
        <f>IF(ISNUMBER(H123),NORMSDIST(L123),"")</f>
        <v/>
      </c>
      <c r="N123" s="236" t="str">
        <f>IF(ISNUMBER(H123),I123/COUNT($C$7:$C$36)-M123,"")</f>
        <v/>
      </c>
      <c r="O123" s="236" t="str">
        <f>IF(ISNUMBER(H123),M123-(I123-1)/COUNT($C$7:$C$36),"")</f>
        <v/>
      </c>
      <c r="P123" s="236">
        <f>MAX(N123:N152)</f>
        <v>0</v>
      </c>
      <c r="Q123" s="236">
        <f>MAX(O123:O152)</f>
        <v>0</v>
      </c>
      <c r="R123" s="236">
        <f>MAX(P123:Q123)</f>
        <v>0</v>
      </c>
      <c r="S123" s="234"/>
      <c r="T123" s="234"/>
      <c r="U123" s="234"/>
    </row>
    <row r="124" spans="3:50" x14ac:dyDescent="0.25">
      <c r="C124" s="234"/>
      <c r="D124" s="234"/>
      <c r="E124" s="234"/>
      <c r="F124" s="234"/>
      <c r="G124" s="60"/>
      <c r="H124" s="239" t="str">
        <f t="shared" ref="H124" si="38">IF(ISNUMBER(#REF!),#REF!-#REF!,"")</f>
        <v/>
      </c>
      <c r="I124" s="250" t="str">
        <f t="shared" si="35"/>
        <v/>
      </c>
      <c r="J124" s="236" t="str">
        <f t="shared" si="36"/>
        <v/>
      </c>
      <c r="K124" s="236" t="str">
        <f t="shared" ref="K124:K152" si="39">IF(ISNUMBER(H124),NORMSINV(J124),"")</f>
        <v/>
      </c>
      <c r="L124" s="236" t="str">
        <f t="shared" si="37"/>
        <v/>
      </c>
      <c r="M124" s="236" t="str">
        <f t="shared" ref="M124:M152" si="40">IF(ISNUMBER(H124),NORMSDIST(L124),"")</f>
        <v/>
      </c>
      <c r="N124" s="236" t="str">
        <f t="shared" ref="N124:N152" si="41">IF(ISNUMBER(H124),I124/COUNT($C$7:$C$36)-M124,"")</f>
        <v/>
      </c>
      <c r="O124" s="236" t="str">
        <f t="shared" ref="O124:O152" si="42">IF(ISNUMBER(H124),M124-(I124-1)/COUNT($C$7:$C$36),"")</f>
        <v/>
      </c>
      <c r="P124" s="234"/>
      <c r="Q124" s="234"/>
      <c r="R124" s="60"/>
      <c r="S124" s="234"/>
      <c r="T124" s="234"/>
      <c r="U124" s="234"/>
    </row>
    <row r="125" spans="3:50" x14ac:dyDescent="0.25">
      <c r="C125" s="234"/>
      <c r="D125" s="234"/>
      <c r="E125" s="234"/>
      <c r="F125" s="234"/>
      <c r="G125" s="60"/>
      <c r="H125" s="239" t="str">
        <f t="shared" ref="H125" si="43">IF(ISNUMBER(#REF!),#REF!-#REF!,"")</f>
        <v/>
      </c>
      <c r="I125" s="250" t="str">
        <f t="shared" si="35"/>
        <v/>
      </c>
      <c r="J125" s="236" t="str">
        <f t="shared" si="36"/>
        <v/>
      </c>
      <c r="K125" s="236" t="str">
        <f t="shared" si="39"/>
        <v/>
      </c>
      <c r="L125" s="236" t="str">
        <f t="shared" si="37"/>
        <v/>
      </c>
      <c r="M125" s="236" t="str">
        <f t="shared" si="40"/>
        <v/>
      </c>
      <c r="N125" s="236" t="str">
        <f t="shared" si="41"/>
        <v/>
      </c>
      <c r="O125" s="236" t="str">
        <f t="shared" si="42"/>
        <v/>
      </c>
      <c r="P125" s="234"/>
      <c r="Q125" s="234"/>
      <c r="R125" s="234"/>
      <c r="S125" s="234"/>
      <c r="T125" s="234"/>
      <c r="U125" s="234"/>
    </row>
    <row r="126" spans="3:50" x14ac:dyDescent="0.25">
      <c r="C126" s="240" t="s">
        <v>243</v>
      </c>
      <c r="D126" s="240"/>
      <c r="E126" s="240"/>
      <c r="F126" s="234"/>
      <c r="G126" s="60"/>
      <c r="H126" s="239" t="str">
        <f t="shared" ref="H126" si="44">IF(ISNUMBER(#REF!),#REF!-#REF!,"")</f>
        <v/>
      </c>
      <c r="I126" s="250" t="str">
        <f t="shared" si="35"/>
        <v/>
      </c>
      <c r="J126" s="236" t="str">
        <f t="shared" si="36"/>
        <v/>
      </c>
      <c r="K126" s="236" t="str">
        <f t="shared" si="39"/>
        <v/>
      </c>
      <c r="L126" s="236" t="str">
        <f t="shared" si="37"/>
        <v/>
      </c>
      <c r="M126" s="236" t="str">
        <f t="shared" si="40"/>
        <v/>
      </c>
      <c r="N126" s="236" t="str">
        <f t="shared" si="41"/>
        <v/>
      </c>
      <c r="O126" s="236" t="str">
        <f t="shared" si="42"/>
        <v/>
      </c>
      <c r="P126" s="234"/>
      <c r="Q126" s="234"/>
      <c r="R126" s="234"/>
      <c r="S126" s="234"/>
      <c r="T126" s="234"/>
      <c r="U126" s="234"/>
    </row>
    <row r="127" spans="3:50" x14ac:dyDescent="0.25">
      <c r="C127" s="251" t="s">
        <v>1</v>
      </c>
      <c r="D127" s="252" t="s">
        <v>267</v>
      </c>
      <c r="E127" s="252" t="s">
        <v>244</v>
      </c>
      <c r="F127" s="234"/>
      <c r="G127" s="60"/>
      <c r="H127" s="239" t="str">
        <f t="shared" ref="H127" si="45">IF(ISNUMBER(#REF!),#REF!-#REF!,"")</f>
        <v/>
      </c>
      <c r="I127" s="250" t="str">
        <f t="shared" si="35"/>
        <v/>
      </c>
      <c r="J127" s="236" t="str">
        <f t="shared" si="36"/>
        <v/>
      </c>
      <c r="K127" s="236" t="str">
        <f t="shared" si="39"/>
        <v/>
      </c>
      <c r="L127" s="236" t="str">
        <f t="shared" si="37"/>
        <v/>
      </c>
      <c r="M127" s="236" t="str">
        <f t="shared" si="40"/>
        <v/>
      </c>
      <c r="N127" s="236" t="str">
        <f t="shared" si="41"/>
        <v/>
      </c>
      <c r="O127" s="236" t="str">
        <f t="shared" si="42"/>
        <v/>
      </c>
      <c r="P127" s="234"/>
      <c r="Q127" s="234"/>
      <c r="R127" s="234"/>
      <c r="S127" s="234"/>
      <c r="T127" s="234"/>
      <c r="U127" s="234"/>
      <c r="AB127" s="60"/>
    </row>
    <row r="128" spans="3:50" x14ac:dyDescent="0.25">
      <c r="C128" s="252">
        <v>2</v>
      </c>
      <c r="D128" s="253">
        <v>0.76</v>
      </c>
      <c r="E128" s="253">
        <v>0.5</v>
      </c>
      <c r="F128" s="234"/>
      <c r="G128" s="60"/>
      <c r="H128" s="239" t="str">
        <f t="shared" ref="H128" si="46">IF(ISNUMBER(#REF!),#REF!-#REF!,"")</f>
        <v/>
      </c>
      <c r="I128" s="250" t="str">
        <f t="shared" si="35"/>
        <v/>
      </c>
      <c r="J128" s="236" t="str">
        <f t="shared" si="36"/>
        <v/>
      </c>
      <c r="K128" s="236" t="str">
        <f t="shared" si="39"/>
        <v/>
      </c>
      <c r="L128" s="236" t="str">
        <f t="shared" si="37"/>
        <v/>
      </c>
      <c r="M128" s="236" t="str">
        <f t="shared" si="40"/>
        <v/>
      </c>
      <c r="N128" s="236" t="str">
        <f t="shared" si="41"/>
        <v/>
      </c>
      <c r="O128" s="236" t="str">
        <f t="shared" si="42"/>
        <v/>
      </c>
      <c r="P128" s="234"/>
      <c r="Q128" s="234"/>
      <c r="R128" s="234"/>
      <c r="S128" s="234"/>
      <c r="T128" s="234"/>
      <c r="U128" s="234"/>
      <c r="AB128" s="235"/>
    </row>
    <row r="129" spans="3:37" x14ac:dyDescent="0.25">
      <c r="C129" s="252">
        <v>3</v>
      </c>
      <c r="D129" s="253">
        <v>0.52</v>
      </c>
      <c r="E129" s="253">
        <v>0.41</v>
      </c>
      <c r="F129" s="234"/>
      <c r="G129" s="60"/>
      <c r="H129" s="239" t="str">
        <f t="shared" ref="H129" si="47">IF(ISNUMBER(#REF!),#REF!-#REF!,"")</f>
        <v/>
      </c>
      <c r="I129" s="250" t="str">
        <f t="shared" si="35"/>
        <v/>
      </c>
      <c r="J129" s="236" t="str">
        <f t="shared" si="36"/>
        <v/>
      </c>
      <c r="K129" s="236" t="str">
        <f t="shared" si="39"/>
        <v/>
      </c>
      <c r="L129" s="236" t="str">
        <f t="shared" si="37"/>
        <v/>
      </c>
      <c r="M129" s="236" t="str">
        <f t="shared" si="40"/>
        <v/>
      </c>
      <c r="N129" s="236" t="str">
        <f t="shared" si="41"/>
        <v/>
      </c>
      <c r="O129" s="236" t="str">
        <f t="shared" si="42"/>
        <v/>
      </c>
      <c r="P129" s="234"/>
      <c r="Q129" s="234"/>
      <c r="R129" s="234"/>
      <c r="S129" s="234"/>
      <c r="T129" s="234"/>
      <c r="U129" s="234"/>
      <c r="AB129" s="235"/>
    </row>
    <row r="130" spans="3:37" x14ac:dyDescent="0.25">
      <c r="C130" s="252">
        <v>4</v>
      </c>
      <c r="D130" s="253">
        <v>0.42</v>
      </c>
      <c r="E130" s="253">
        <v>0.35</v>
      </c>
      <c r="F130" s="234"/>
      <c r="G130" s="60"/>
      <c r="H130" s="239" t="str">
        <f t="shared" ref="H130" si="48">IF(ISNUMBER(#REF!),#REF!-#REF!,"")</f>
        <v/>
      </c>
      <c r="I130" s="250" t="str">
        <f t="shared" si="35"/>
        <v/>
      </c>
      <c r="J130" s="236" t="str">
        <f t="shared" si="36"/>
        <v/>
      </c>
      <c r="K130" s="236" t="str">
        <f t="shared" si="39"/>
        <v/>
      </c>
      <c r="L130" s="236" t="str">
        <f t="shared" si="37"/>
        <v/>
      </c>
      <c r="M130" s="236" t="str">
        <f t="shared" si="40"/>
        <v/>
      </c>
      <c r="N130" s="236" t="str">
        <f t="shared" si="41"/>
        <v/>
      </c>
      <c r="O130" s="236" t="str">
        <f t="shared" si="42"/>
        <v/>
      </c>
      <c r="P130" s="234"/>
      <c r="Q130" s="234"/>
      <c r="R130" s="60"/>
      <c r="S130" s="234"/>
      <c r="T130" s="234"/>
      <c r="U130" s="234"/>
      <c r="AB130" s="235"/>
    </row>
    <row r="131" spans="3:37" x14ac:dyDescent="0.25">
      <c r="C131" s="252">
        <v>5</v>
      </c>
      <c r="D131" s="253">
        <v>0.36</v>
      </c>
      <c r="E131" s="253">
        <v>0.32</v>
      </c>
      <c r="F131" s="234"/>
      <c r="G131" s="60"/>
      <c r="H131" s="239" t="str">
        <f t="shared" ref="H131" si="49">IF(ISNUMBER(#REF!),#REF!-#REF!,"")</f>
        <v/>
      </c>
      <c r="I131" s="250" t="str">
        <f t="shared" si="35"/>
        <v/>
      </c>
      <c r="J131" s="236" t="str">
        <f t="shared" si="36"/>
        <v/>
      </c>
      <c r="K131" s="236" t="str">
        <f t="shared" si="39"/>
        <v/>
      </c>
      <c r="L131" s="236" t="str">
        <f t="shared" si="37"/>
        <v/>
      </c>
      <c r="M131" s="236" t="str">
        <f t="shared" si="40"/>
        <v/>
      </c>
      <c r="N131" s="236" t="str">
        <f t="shared" si="41"/>
        <v/>
      </c>
      <c r="O131" s="236" t="str">
        <f t="shared" si="42"/>
        <v/>
      </c>
      <c r="P131" s="234"/>
      <c r="Q131" s="234"/>
      <c r="R131" s="60"/>
      <c r="S131" s="234"/>
      <c r="T131" s="234"/>
      <c r="U131" s="234"/>
      <c r="AB131" s="235"/>
    </row>
    <row r="132" spans="3:37" x14ac:dyDescent="0.25">
      <c r="C132" s="252">
        <v>10</v>
      </c>
      <c r="D132" s="253">
        <v>0.24</v>
      </c>
      <c r="E132" s="253">
        <v>0.22</v>
      </c>
      <c r="F132" s="234"/>
      <c r="G132" s="60"/>
      <c r="H132" s="239" t="str">
        <f t="shared" ref="H132" si="50">IF(ISNUMBER(#REF!),#REF!-#REF!,"")</f>
        <v/>
      </c>
      <c r="I132" s="250" t="str">
        <f t="shared" si="35"/>
        <v/>
      </c>
      <c r="J132" s="236" t="str">
        <f t="shared" si="36"/>
        <v/>
      </c>
      <c r="K132" s="236" t="str">
        <f t="shared" si="39"/>
        <v/>
      </c>
      <c r="L132" s="236" t="str">
        <f t="shared" si="37"/>
        <v/>
      </c>
      <c r="M132" s="236" t="str">
        <f t="shared" si="40"/>
        <v/>
      </c>
      <c r="N132" s="236" t="str">
        <f t="shared" si="41"/>
        <v/>
      </c>
      <c r="O132" s="236" t="str">
        <f t="shared" si="42"/>
        <v/>
      </c>
      <c r="P132" s="234"/>
      <c r="Q132" s="234"/>
      <c r="R132" s="60"/>
      <c r="S132" s="234"/>
      <c r="T132" s="234"/>
      <c r="U132" s="234"/>
      <c r="AB132" s="235"/>
    </row>
    <row r="133" spans="3:37" x14ac:dyDescent="0.25">
      <c r="C133" s="252">
        <v>20</v>
      </c>
      <c r="D133" s="253">
        <v>0.16</v>
      </c>
      <c r="E133" s="253">
        <v>0.16</v>
      </c>
      <c r="F133" s="234"/>
      <c r="G133" s="60"/>
      <c r="H133" s="239" t="str">
        <f t="shared" ref="H133" si="51">IF(ISNUMBER(#REF!),#REF!-#REF!,"")</f>
        <v/>
      </c>
      <c r="I133" s="250" t="str">
        <f t="shared" si="35"/>
        <v/>
      </c>
      <c r="J133" s="236" t="str">
        <f t="shared" si="36"/>
        <v/>
      </c>
      <c r="K133" s="236" t="str">
        <f t="shared" si="39"/>
        <v/>
      </c>
      <c r="L133" s="236" t="str">
        <f t="shared" si="37"/>
        <v/>
      </c>
      <c r="M133" s="236" t="str">
        <f t="shared" si="40"/>
        <v/>
      </c>
      <c r="N133" s="236" t="str">
        <f t="shared" si="41"/>
        <v/>
      </c>
      <c r="O133" s="236" t="str">
        <f t="shared" si="42"/>
        <v/>
      </c>
      <c r="P133" s="234"/>
      <c r="Q133" s="234"/>
      <c r="R133" s="60"/>
      <c r="S133" s="234"/>
      <c r="T133" s="234"/>
      <c r="U133" s="234"/>
      <c r="AB133" s="235"/>
    </row>
    <row r="134" spans="3:37" x14ac:dyDescent="0.25">
      <c r="C134" s="252">
        <v>30</v>
      </c>
      <c r="D134" s="253">
        <v>0.13</v>
      </c>
      <c r="E134" s="253">
        <v>0.13</v>
      </c>
      <c r="F134" s="234"/>
      <c r="G134" s="60"/>
      <c r="H134" s="239" t="str">
        <f t="shared" ref="H134" si="52">IF(ISNUMBER(#REF!),#REF!-#REF!,"")</f>
        <v/>
      </c>
      <c r="I134" s="250" t="str">
        <f t="shared" si="35"/>
        <v/>
      </c>
      <c r="J134" s="236" t="str">
        <f t="shared" si="36"/>
        <v/>
      </c>
      <c r="K134" s="236" t="str">
        <f t="shared" si="39"/>
        <v/>
      </c>
      <c r="L134" s="236" t="str">
        <f t="shared" si="37"/>
        <v/>
      </c>
      <c r="M134" s="236" t="str">
        <f t="shared" si="40"/>
        <v/>
      </c>
      <c r="N134" s="236" t="str">
        <f t="shared" si="41"/>
        <v/>
      </c>
      <c r="O134" s="236" t="str">
        <f t="shared" si="42"/>
        <v/>
      </c>
      <c r="P134" s="234"/>
      <c r="Q134" s="234"/>
      <c r="R134" s="60"/>
      <c r="S134" s="234"/>
      <c r="T134" s="234"/>
      <c r="U134" s="234"/>
      <c r="AB134" s="235"/>
    </row>
    <row r="135" spans="3:37" x14ac:dyDescent="0.25">
      <c r="C135" s="234"/>
      <c r="D135" s="234"/>
      <c r="E135" s="234"/>
      <c r="F135" s="234"/>
      <c r="G135" s="60"/>
      <c r="H135" s="239" t="str">
        <f t="shared" ref="H135" si="53">IF(ISNUMBER(#REF!),#REF!-#REF!,"")</f>
        <v/>
      </c>
      <c r="I135" s="250" t="str">
        <f t="shared" si="35"/>
        <v/>
      </c>
      <c r="J135" s="236" t="str">
        <f t="shared" si="36"/>
        <v/>
      </c>
      <c r="K135" s="236" t="str">
        <f t="shared" si="39"/>
        <v/>
      </c>
      <c r="L135" s="236" t="str">
        <f t="shared" si="37"/>
        <v/>
      </c>
      <c r="M135" s="236" t="str">
        <f t="shared" si="40"/>
        <v/>
      </c>
      <c r="N135" s="236" t="str">
        <f t="shared" si="41"/>
        <v/>
      </c>
      <c r="O135" s="236" t="str">
        <f t="shared" si="42"/>
        <v/>
      </c>
      <c r="P135" s="234"/>
      <c r="Q135" s="234"/>
      <c r="R135" s="60"/>
      <c r="S135" s="234"/>
      <c r="T135" s="234"/>
      <c r="U135" s="234"/>
      <c r="AB135" s="235"/>
    </row>
    <row r="136" spans="3:37" x14ac:dyDescent="0.25">
      <c r="C136" s="240" t="s">
        <v>245</v>
      </c>
      <c r="D136" s="240"/>
      <c r="E136" s="234"/>
      <c r="F136" s="234"/>
      <c r="G136" s="60"/>
      <c r="H136" s="239" t="str">
        <f t="shared" ref="H136" si="54">IF(ISNUMBER(#REF!),#REF!-#REF!,"")</f>
        <v/>
      </c>
      <c r="I136" s="250" t="str">
        <f t="shared" si="35"/>
        <v/>
      </c>
      <c r="J136" s="236" t="str">
        <f t="shared" si="36"/>
        <v/>
      </c>
      <c r="K136" s="236" t="str">
        <f t="shared" si="39"/>
        <v/>
      </c>
      <c r="L136" s="236" t="str">
        <f t="shared" si="37"/>
        <v/>
      </c>
      <c r="M136" s="236" t="str">
        <f t="shared" si="40"/>
        <v/>
      </c>
      <c r="N136" s="236" t="str">
        <f t="shared" si="41"/>
        <v/>
      </c>
      <c r="O136" s="236" t="str">
        <f t="shared" si="42"/>
        <v/>
      </c>
      <c r="P136" s="234"/>
      <c r="Q136" s="234"/>
      <c r="R136" s="60"/>
      <c r="S136" s="234"/>
      <c r="T136" s="234"/>
      <c r="U136" s="234"/>
      <c r="AB136" s="235"/>
    </row>
    <row r="137" spans="3:37" x14ac:dyDescent="0.25">
      <c r="C137" s="236" t="s">
        <v>246</v>
      </c>
      <c r="D137" s="239">
        <f>IF(K32&gt;L32,K32/L32,L32/K32)</f>
        <v>3.7641216635631141</v>
      </c>
      <c r="E137" s="234"/>
      <c r="F137" s="234"/>
      <c r="G137" s="60"/>
      <c r="H137" s="239" t="str">
        <f t="shared" ref="H137" si="55">IF(ISNUMBER(#REF!),#REF!-#REF!,"")</f>
        <v/>
      </c>
      <c r="I137" s="250" t="str">
        <f t="shared" si="35"/>
        <v/>
      </c>
      <c r="J137" s="236" t="str">
        <f t="shared" si="36"/>
        <v/>
      </c>
      <c r="K137" s="236" t="str">
        <f t="shared" si="39"/>
        <v/>
      </c>
      <c r="L137" s="236" t="str">
        <f t="shared" si="37"/>
        <v/>
      </c>
      <c r="M137" s="236" t="str">
        <f t="shared" si="40"/>
        <v/>
      </c>
      <c r="N137" s="236" t="str">
        <f t="shared" si="41"/>
        <v/>
      </c>
      <c r="O137" s="236" t="str">
        <f t="shared" si="42"/>
        <v/>
      </c>
      <c r="P137" s="234"/>
      <c r="Q137" s="234"/>
      <c r="R137" s="60"/>
      <c r="S137" s="234"/>
      <c r="T137" s="234"/>
      <c r="U137" s="234"/>
      <c r="AB137" s="235"/>
    </row>
    <row r="138" spans="3:37" x14ac:dyDescent="0.25">
      <c r="C138" s="60" t="s">
        <v>247</v>
      </c>
      <c r="D138" s="239">
        <f>IF(K32&gt;L32,FINV(0.05,K29-1,L29-1),FINV(0.05,L29-1,K29-1))</f>
        <v>2.1682516014062614</v>
      </c>
      <c r="E138" s="234"/>
      <c r="F138" s="234"/>
      <c r="G138" s="60"/>
      <c r="H138" s="239" t="str">
        <f t="shared" ref="H138" si="56">IF(ISNUMBER(#REF!),#REF!-#REF!,"")</f>
        <v/>
      </c>
      <c r="I138" s="250" t="str">
        <f t="shared" si="35"/>
        <v/>
      </c>
      <c r="J138" s="236" t="str">
        <f t="shared" si="36"/>
        <v/>
      </c>
      <c r="K138" s="236" t="str">
        <f t="shared" si="39"/>
        <v/>
      </c>
      <c r="L138" s="236" t="str">
        <f t="shared" si="37"/>
        <v/>
      </c>
      <c r="M138" s="236" t="str">
        <f t="shared" si="40"/>
        <v/>
      </c>
      <c r="N138" s="236" t="str">
        <f t="shared" si="41"/>
        <v/>
      </c>
      <c r="O138" s="236" t="str">
        <f t="shared" si="42"/>
        <v/>
      </c>
      <c r="P138" s="234"/>
      <c r="Q138" s="234"/>
      <c r="R138" s="60"/>
      <c r="S138" s="234"/>
      <c r="T138" s="234"/>
      <c r="U138" s="234"/>
      <c r="AB138" s="235"/>
    </row>
    <row r="139" spans="3:37" x14ac:dyDescent="0.25">
      <c r="C139" s="234"/>
      <c r="D139" s="234"/>
      <c r="E139" s="234"/>
      <c r="F139" s="234"/>
      <c r="G139" s="60"/>
      <c r="H139" s="239" t="str">
        <f t="shared" ref="H139" si="57">IF(ISNUMBER(#REF!),#REF!-#REF!,"")</f>
        <v/>
      </c>
      <c r="I139" s="250" t="str">
        <f t="shared" si="35"/>
        <v/>
      </c>
      <c r="J139" s="236" t="str">
        <f t="shared" si="36"/>
        <v/>
      </c>
      <c r="K139" s="236" t="str">
        <f t="shared" si="39"/>
        <v/>
      </c>
      <c r="L139" s="236" t="str">
        <f t="shared" si="37"/>
        <v/>
      </c>
      <c r="M139" s="236" t="str">
        <f t="shared" si="40"/>
        <v/>
      </c>
      <c r="N139" s="236" t="str">
        <f t="shared" si="41"/>
        <v/>
      </c>
      <c r="O139" s="236" t="str">
        <f t="shared" si="42"/>
        <v/>
      </c>
      <c r="P139" s="234"/>
      <c r="Q139" s="234"/>
      <c r="R139" s="60"/>
      <c r="S139" s="234"/>
      <c r="T139" s="234"/>
      <c r="U139" s="234"/>
      <c r="AB139" s="235"/>
      <c r="AK139" s="244"/>
    </row>
    <row r="140" spans="3:37" x14ac:dyDescent="0.25">
      <c r="C140" s="234"/>
      <c r="D140" s="234"/>
      <c r="E140" s="234"/>
      <c r="F140" s="234"/>
      <c r="G140" s="60"/>
      <c r="H140" s="239" t="str">
        <f t="shared" ref="H140" si="58">IF(ISNUMBER(#REF!),#REF!-#REF!,"")</f>
        <v/>
      </c>
      <c r="I140" s="250" t="str">
        <f t="shared" si="35"/>
        <v/>
      </c>
      <c r="J140" s="236" t="str">
        <f t="shared" si="36"/>
        <v/>
      </c>
      <c r="K140" s="236" t="str">
        <f t="shared" si="39"/>
        <v/>
      </c>
      <c r="L140" s="236" t="str">
        <f t="shared" si="37"/>
        <v/>
      </c>
      <c r="M140" s="236" t="str">
        <f t="shared" si="40"/>
        <v/>
      </c>
      <c r="N140" s="236" t="str">
        <f t="shared" si="41"/>
        <v/>
      </c>
      <c r="O140" s="236" t="str">
        <f t="shared" si="42"/>
        <v/>
      </c>
      <c r="P140" s="234"/>
      <c r="Q140" s="234"/>
      <c r="R140" s="60"/>
      <c r="S140" s="234"/>
      <c r="T140" s="234"/>
      <c r="U140" s="234"/>
      <c r="AB140" s="235"/>
    </row>
    <row r="141" spans="3:37" x14ac:dyDescent="0.25">
      <c r="C141" s="234"/>
      <c r="D141" s="234"/>
      <c r="E141" s="234"/>
      <c r="F141" s="234"/>
      <c r="G141" s="60"/>
      <c r="H141" s="239" t="str">
        <f t="shared" ref="H141" si="59">IF(ISNUMBER(#REF!),#REF!-#REF!,"")</f>
        <v/>
      </c>
      <c r="I141" s="250" t="str">
        <f t="shared" si="35"/>
        <v/>
      </c>
      <c r="J141" s="236" t="str">
        <f t="shared" si="36"/>
        <v/>
      </c>
      <c r="K141" s="236" t="str">
        <f t="shared" si="39"/>
        <v/>
      </c>
      <c r="L141" s="236" t="str">
        <f t="shared" si="37"/>
        <v/>
      </c>
      <c r="M141" s="236" t="str">
        <f t="shared" si="40"/>
        <v/>
      </c>
      <c r="N141" s="236" t="str">
        <f t="shared" si="41"/>
        <v/>
      </c>
      <c r="O141" s="236" t="str">
        <f t="shared" si="42"/>
        <v/>
      </c>
      <c r="P141" s="60"/>
      <c r="Q141" s="60"/>
      <c r="R141" s="233"/>
      <c r="S141" s="234"/>
      <c r="T141" s="234"/>
      <c r="U141" s="234"/>
      <c r="AB141" s="235"/>
    </row>
    <row r="142" spans="3:37" x14ac:dyDescent="0.25">
      <c r="C142" s="234"/>
      <c r="D142" s="234"/>
      <c r="E142" s="234"/>
      <c r="F142" s="234"/>
      <c r="G142" s="60"/>
      <c r="H142" s="239" t="str">
        <f t="shared" ref="H142" si="60">IF(ISNUMBER(#REF!),#REF!-#REF!,"")</f>
        <v/>
      </c>
      <c r="I142" s="250" t="str">
        <f t="shared" si="35"/>
        <v/>
      </c>
      <c r="J142" s="236" t="str">
        <f t="shared" si="36"/>
        <v/>
      </c>
      <c r="K142" s="236" t="str">
        <f t="shared" si="39"/>
        <v/>
      </c>
      <c r="L142" s="236" t="str">
        <f t="shared" si="37"/>
        <v/>
      </c>
      <c r="M142" s="236" t="str">
        <f t="shared" si="40"/>
        <v/>
      </c>
      <c r="N142" s="236" t="str">
        <f t="shared" si="41"/>
        <v/>
      </c>
      <c r="O142" s="236" t="str">
        <f t="shared" si="42"/>
        <v/>
      </c>
      <c r="P142" s="234"/>
      <c r="Q142" s="234"/>
      <c r="R142" s="233"/>
      <c r="S142" s="234"/>
      <c r="T142" s="234"/>
      <c r="U142" s="234"/>
      <c r="AB142" s="235"/>
    </row>
    <row r="143" spans="3:37" x14ac:dyDescent="0.25">
      <c r="C143" s="234"/>
      <c r="D143" s="234"/>
      <c r="E143" s="234"/>
      <c r="F143" s="234"/>
      <c r="G143" s="60"/>
      <c r="H143" s="239" t="str">
        <f t="shared" ref="H143" si="61">IF(ISNUMBER(#REF!),#REF!-#REF!,"")</f>
        <v/>
      </c>
      <c r="I143" s="250" t="str">
        <f t="shared" si="35"/>
        <v/>
      </c>
      <c r="J143" s="236" t="str">
        <f t="shared" si="36"/>
        <v/>
      </c>
      <c r="K143" s="236" t="str">
        <f t="shared" si="39"/>
        <v/>
      </c>
      <c r="L143" s="236" t="str">
        <f t="shared" si="37"/>
        <v/>
      </c>
      <c r="M143" s="236" t="str">
        <f t="shared" si="40"/>
        <v/>
      </c>
      <c r="N143" s="236" t="str">
        <f t="shared" si="41"/>
        <v/>
      </c>
      <c r="O143" s="236" t="str">
        <f t="shared" si="42"/>
        <v/>
      </c>
      <c r="P143" s="60"/>
      <c r="Q143" s="60"/>
      <c r="R143" s="233"/>
      <c r="S143" s="234"/>
      <c r="T143" s="234"/>
      <c r="U143" s="234"/>
      <c r="AB143" s="235"/>
    </row>
    <row r="144" spans="3:37" x14ac:dyDescent="0.25">
      <c r="C144" s="234"/>
      <c r="D144" s="234"/>
      <c r="E144" s="234"/>
      <c r="F144" s="234"/>
      <c r="G144" s="60"/>
      <c r="H144" s="239" t="str">
        <f t="shared" ref="H144" si="62">IF(ISNUMBER(#REF!),#REF!-#REF!,"")</f>
        <v/>
      </c>
      <c r="I144" s="250" t="str">
        <f t="shared" si="35"/>
        <v/>
      </c>
      <c r="J144" s="236" t="str">
        <f t="shared" si="36"/>
        <v/>
      </c>
      <c r="K144" s="236" t="str">
        <f t="shared" si="39"/>
        <v/>
      </c>
      <c r="L144" s="236" t="str">
        <f t="shared" si="37"/>
        <v/>
      </c>
      <c r="M144" s="236" t="str">
        <f t="shared" si="40"/>
        <v/>
      </c>
      <c r="N144" s="236" t="str">
        <f t="shared" si="41"/>
        <v/>
      </c>
      <c r="O144" s="236" t="str">
        <f t="shared" si="42"/>
        <v/>
      </c>
      <c r="P144" s="60"/>
      <c r="Q144" s="60"/>
      <c r="R144" s="233"/>
      <c r="S144" s="234"/>
      <c r="T144" s="234"/>
      <c r="U144" s="234"/>
      <c r="AB144" s="235"/>
    </row>
    <row r="145" spans="3:28" x14ac:dyDescent="0.25">
      <c r="C145" s="234"/>
      <c r="D145" s="234"/>
      <c r="E145" s="234"/>
      <c r="F145" s="234"/>
      <c r="G145" s="60"/>
      <c r="H145" s="239" t="str">
        <f t="shared" ref="H145" si="63">IF(ISNUMBER(#REF!),#REF!-#REF!,"")</f>
        <v/>
      </c>
      <c r="I145" s="250" t="str">
        <f t="shared" si="35"/>
        <v/>
      </c>
      <c r="J145" s="236" t="str">
        <f t="shared" si="36"/>
        <v/>
      </c>
      <c r="K145" s="236" t="str">
        <f t="shared" si="39"/>
        <v/>
      </c>
      <c r="L145" s="236" t="str">
        <f t="shared" si="37"/>
        <v/>
      </c>
      <c r="M145" s="236" t="str">
        <f t="shared" si="40"/>
        <v/>
      </c>
      <c r="N145" s="236" t="str">
        <f t="shared" si="41"/>
        <v/>
      </c>
      <c r="O145" s="236" t="str">
        <f t="shared" si="42"/>
        <v/>
      </c>
      <c r="P145" s="60"/>
      <c r="Q145" s="60"/>
      <c r="R145" s="233"/>
      <c r="S145" s="234"/>
      <c r="T145" s="234"/>
      <c r="U145" s="234"/>
      <c r="AB145" s="235"/>
    </row>
    <row r="146" spans="3:28" x14ac:dyDescent="0.25">
      <c r="C146" s="234"/>
      <c r="D146" s="234"/>
      <c r="E146" s="234"/>
      <c r="F146" s="234"/>
      <c r="G146" s="60"/>
      <c r="H146" s="239" t="str">
        <f t="shared" ref="H146" si="64">IF(ISNUMBER(#REF!),#REF!-#REF!,"")</f>
        <v/>
      </c>
      <c r="I146" s="250" t="str">
        <f t="shared" si="35"/>
        <v/>
      </c>
      <c r="J146" s="236" t="str">
        <f t="shared" si="36"/>
        <v/>
      </c>
      <c r="K146" s="236" t="str">
        <f t="shared" si="39"/>
        <v/>
      </c>
      <c r="L146" s="236" t="str">
        <f t="shared" si="37"/>
        <v/>
      </c>
      <c r="M146" s="236" t="str">
        <f t="shared" si="40"/>
        <v/>
      </c>
      <c r="N146" s="236" t="str">
        <f t="shared" si="41"/>
        <v/>
      </c>
      <c r="O146" s="236" t="str">
        <f t="shared" si="42"/>
        <v/>
      </c>
      <c r="P146" s="60"/>
      <c r="Q146" s="60"/>
      <c r="R146" s="233"/>
      <c r="S146" s="234"/>
      <c r="T146" s="234"/>
      <c r="U146" s="234"/>
      <c r="AB146" s="235"/>
    </row>
    <row r="147" spans="3:28" x14ac:dyDescent="0.25">
      <c r="C147" s="234"/>
      <c r="D147" s="234"/>
      <c r="E147" s="234"/>
      <c r="F147" s="234"/>
      <c r="G147" s="60"/>
      <c r="H147" s="239" t="str">
        <f t="shared" ref="H147" si="65">IF(ISNUMBER(#REF!),#REF!-#REF!,"")</f>
        <v/>
      </c>
      <c r="I147" s="250" t="str">
        <f t="shared" si="35"/>
        <v/>
      </c>
      <c r="J147" s="236" t="str">
        <f t="shared" si="36"/>
        <v/>
      </c>
      <c r="K147" s="236" t="str">
        <f t="shared" si="39"/>
        <v/>
      </c>
      <c r="L147" s="236" t="str">
        <f t="shared" si="37"/>
        <v/>
      </c>
      <c r="M147" s="236" t="str">
        <f t="shared" si="40"/>
        <v/>
      </c>
      <c r="N147" s="236" t="str">
        <f t="shared" si="41"/>
        <v/>
      </c>
      <c r="O147" s="236" t="str">
        <f t="shared" si="42"/>
        <v/>
      </c>
      <c r="P147" s="234"/>
      <c r="Q147" s="234"/>
      <c r="R147" s="234"/>
      <c r="S147" s="234"/>
      <c r="T147" s="234"/>
      <c r="U147" s="234"/>
      <c r="AB147" s="235"/>
    </row>
    <row r="148" spans="3:28" x14ac:dyDescent="0.25">
      <c r="C148" s="234"/>
      <c r="D148" s="234"/>
      <c r="E148" s="234"/>
      <c r="F148" s="234"/>
      <c r="G148" s="60"/>
      <c r="H148" s="239" t="str">
        <f t="shared" ref="H148" si="66">IF(ISNUMBER(#REF!),#REF!-#REF!,"")</f>
        <v/>
      </c>
      <c r="I148" s="250" t="str">
        <f t="shared" si="35"/>
        <v/>
      </c>
      <c r="J148" s="236" t="str">
        <f t="shared" si="36"/>
        <v/>
      </c>
      <c r="K148" s="236" t="str">
        <f t="shared" si="39"/>
        <v/>
      </c>
      <c r="L148" s="236" t="str">
        <f t="shared" si="37"/>
        <v/>
      </c>
      <c r="M148" s="236" t="str">
        <f t="shared" si="40"/>
        <v/>
      </c>
      <c r="N148" s="236" t="str">
        <f t="shared" si="41"/>
        <v/>
      </c>
      <c r="O148" s="236" t="str">
        <f t="shared" si="42"/>
        <v/>
      </c>
      <c r="P148" s="234"/>
      <c r="Q148" s="234"/>
      <c r="R148" s="234"/>
      <c r="S148" s="234"/>
      <c r="T148" s="234"/>
      <c r="U148" s="234"/>
      <c r="AB148" s="235"/>
    </row>
    <row r="149" spans="3:28" x14ac:dyDescent="0.25">
      <c r="C149" s="234"/>
      <c r="D149" s="234"/>
      <c r="E149" s="234"/>
      <c r="F149" s="234"/>
      <c r="G149" s="60"/>
      <c r="H149" s="239" t="str">
        <f t="shared" ref="H149" si="67">IF(ISNUMBER(#REF!),#REF!-#REF!,"")</f>
        <v/>
      </c>
      <c r="I149" s="250" t="str">
        <f t="shared" si="35"/>
        <v/>
      </c>
      <c r="J149" s="236" t="str">
        <f t="shared" si="36"/>
        <v/>
      </c>
      <c r="K149" s="236" t="str">
        <f t="shared" si="39"/>
        <v/>
      </c>
      <c r="L149" s="236" t="str">
        <f t="shared" si="37"/>
        <v/>
      </c>
      <c r="M149" s="236" t="str">
        <f t="shared" si="40"/>
        <v/>
      </c>
      <c r="N149" s="236" t="str">
        <f t="shared" si="41"/>
        <v/>
      </c>
      <c r="O149" s="236" t="str">
        <f t="shared" si="42"/>
        <v/>
      </c>
      <c r="P149" s="234"/>
      <c r="Q149" s="234"/>
      <c r="R149" s="234"/>
      <c r="S149" s="234"/>
      <c r="T149" s="234"/>
      <c r="U149" s="234"/>
      <c r="AB149" s="235"/>
    </row>
    <row r="150" spans="3:28" x14ac:dyDescent="0.25">
      <c r="C150" s="234"/>
      <c r="D150" s="234"/>
      <c r="E150" s="234"/>
      <c r="F150" s="234"/>
      <c r="G150" s="60"/>
      <c r="H150" s="239" t="str">
        <f t="shared" ref="H150" si="68">IF(ISNUMBER(#REF!),#REF!-#REF!,"")</f>
        <v/>
      </c>
      <c r="I150" s="250" t="str">
        <f t="shared" si="35"/>
        <v/>
      </c>
      <c r="J150" s="236" t="str">
        <f t="shared" si="36"/>
        <v/>
      </c>
      <c r="K150" s="236" t="str">
        <f t="shared" si="39"/>
        <v/>
      </c>
      <c r="L150" s="236" t="str">
        <f t="shared" si="37"/>
        <v/>
      </c>
      <c r="M150" s="236" t="str">
        <f t="shared" si="40"/>
        <v/>
      </c>
      <c r="N150" s="236" t="str">
        <f t="shared" si="41"/>
        <v/>
      </c>
      <c r="O150" s="236" t="str">
        <f t="shared" si="42"/>
        <v/>
      </c>
      <c r="P150" s="234"/>
      <c r="Q150" s="234"/>
      <c r="R150" s="234"/>
      <c r="S150" s="234"/>
      <c r="T150" s="234"/>
      <c r="U150" s="234"/>
      <c r="AB150" s="235"/>
    </row>
    <row r="151" spans="3:28" x14ac:dyDescent="0.25">
      <c r="C151" s="234"/>
      <c r="D151" s="234"/>
      <c r="E151" s="234"/>
      <c r="F151" s="234"/>
      <c r="G151" s="60"/>
      <c r="H151" s="239" t="str">
        <f t="shared" ref="H151" si="69">IF(ISNUMBER(#REF!),#REF!-#REF!,"")</f>
        <v/>
      </c>
      <c r="I151" s="250" t="str">
        <f t="shared" si="35"/>
        <v/>
      </c>
      <c r="J151" s="236" t="str">
        <f t="shared" si="36"/>
        <v/>
      </c>
      <c r="K151" s="236" t="str">
        <f t="shared" si="39"/>
        <v/>
      </c>
      <c r="L151" s="236" t="str">
        <f t="shared" si="37"/>
        <v/>
      </c>
      <c r="M151" s="236" t="str">
        <f t="shared" si="40"/>
        <v/>
      </c>
      <c r="N151" s="236" t="str">
        <f t="shared" si="41"/>
        <v/>
      </c>
      <c r="O151" s="236" t="str">
        <f t="shared" si="42"/>
        <v/>
      </c>
      <c r="P151" s="234"/>
      <c r="Q151" s="234"/>
      <c r="R151" s="234"/>
      <c r="S151" s="234"/>
      <c r="T151" s="234"/>
      <c r="U151" s="234"/>
      <c r="AB151" s="235"/>
    </row>
    <row r="152" spans="3:28" x14ac:dyDescent="0.25">
      <c r="C152" s="234"/>
      <c r="D152" s="234"/>
      <c r="E152" s="234"/>
      <c r="F152" s="234"/>
      <c r="G152" s="60"/>
      <c r="H152" s="239" t="str">
        <f t="shared" ref="H152" si="70">IF(ISNUMBER(#REF!),#REF!-#REF!,"")</f>
        <v/>
      </c>
      <c r="I152" s="250" t="str">
        <f t="shared" si="35"/>
        <v/>
      </c>
      <c r="J152" s="236" t="str">
        <f t="shared" si="36"/>
        <v/>
      </c>
      <c r="K152" s="236" t="str">
        <f t="shared" si="39"/>
        <v/>
      </c>
      <c r="L152" s="236" t="str">
        <f t="shared" si="37"/>
        <v/>
      </c>
      <c r="M152" s="236" t="str">
        <f t="shared" si="40"/>
        <v/>
      </c>
      <c r="N152" s="236" t="str">
        <f t="shared" si="41"/>
        <v/>
      </c>
      <c r="O152" s="236" t="str">
        <f t="shared" si="42"/>
        <v/>
      </c>
      <c r="P152" s="234"/>
      <c r="Q152" s="234"/>
      <c r="R152" s="234"/>
      <c r="S152" s="234"/>
      <c r="T152" s="234"/>
      <c r="U152" s="234"/>
      <c r="AB152" s="235"/>
    </row>
    <row r="153" spans="3:28" x14ac:dyDescent="0.25">
      <c r="C153" s="234"/>
      <c r="D153" s="234"/>
      <c r="E153" s="234"/>
      <c r="F153" s="234"/>
      <c r="G153" s="234"/>
      <c r="H153" s="234"/>
      <c r="I153" s="60"/>
      <c r="J153" s="236"/>
      <c r="K153" s="236"/>
      <c r="L153" s="236"/>
      <c r="M153" s="236"/>
      <c r="N153" s="236"/>
      <c r="O153" s="236"/>
      <c r="P153" s="234"/>
      <c r="Q153" s="234"/>
      <c r="R153" s="234"/>
      <c r="S153" s="234"/>
      <c r="T153" s="234"/>
      <c r="U153" s="234"/>
      <c r="AB153" s="235"/>
    </row>
    <row r="154" spans="3:28" x14ac:dyDescent="0.25">
      <c r="C154" s="234"/>
      <c r="D154" s="234"/>
      <c r="E154" s="234"/>
      <c r="F154" s="234"/>
      <c r="G154" s="234"/>
      <c r="H154" s="234"/>
      <c r="I154" s="245" t="s">
        <v>228</v>
      </c>
      <c r="J154" s="245"/>
      <c r="K154" s="245"/>
      <c r="L154" s="245"/>
      <c r="M154" s="234"/>
      <c r="N154" s="245" t="s">
        <v>229</v>
      </c>
      <c r="O154" s="245"/>
      <c r="P154" s="245"/>
      <c r="Q154" s="245"/>
      <c r="R154" s="245"/>
      <c r="S154" s="234"/>
      <c r="T154" s="234"/>
      <c r="U154" s="234"/>
      <c r="AB154" s="235"/>
    </row>
    <row r="155" spans="3:28" x14ac:dyDescent="0.25">
      <c r="C155" s="234"/>
      <c r="D155" s="234"/>
      <c r="E155" s="234"/>
      <c r="F155" s="234"/>
      <c r="G155" s="234"/>
      <c r="H155" s="234"/>
      <c r="I155" s="60" t="s">
        <v>230</v>
      </c>
      <c r="J155" s="60" t="s">
        <v>121</v>
      </c>
      <c r="K155" s="60" t="s">
        <v>231</v>
      </c>
      <c r="L155" s="60" t="s">
        <v>232</v>
      </c>
      <c r="M155" s="234"/>
      <c r="N155" s="246"/>
      <c r="O155" s="60" t="s">
        <v>233</v>
      </c>
      <c r="P155" s="60" t="s">
        <v>234</v>
      </c>
      <c r="Q155" s="60" t="s">
        <v>235</v>
      </c>
      <c r="R155" s="60" t="s">
        <v>236</v>
      </c>
      <c r="S155" s="234"/>
      <c r="T155" s="234"/>
      <c r="U155" s="234"/>
      <c r="AB155" s="235"/>
    </row>
    <row r="156" spans="3:28" x14ac:dyDescent="0.25">
      <c r="C156" s="234"/>
      <c r="D156" s="234"/>
      <c r="E156" s="234"/>
      <c r="F156" s="234"/>
      <c r="G156" s="234"/>
      <c r="H156" s="234"/>
      <c r="I156" s="247">
        <f>R123*(SQRT(COUNT(D123:D152))-0.01+0.85/SQRT(COUNT(D123:D152)))</f>
        <v>0</v>
      </c>
      <c r="J156" s="248">
        <v>0.05</v>
      </c>
      <c r="K156" s="60">
        <v>0.89500000000000002</v>
      </c>
      <c r="L156" s="60" t="str">
        <f>IF(I156&lt;=K156,"oui","non")</f>
        <v>oui</v>
      </c>
      <c r="M156" s="234"/>
      <c r="N156" s="60" t="s">
        <v>237</v>
      </c>
      <c r="O156" s="239">
        <f>MAX(D123:D152)</f>
        <v>3.7641216635631141</v>
      </c>
      <c r="P156" s="236">
        <f>((MAX(D123:D152)-AVERAGE(D123:D152))/STDEV(D123:D152))</f>
        <v>2.2950753442598915</v>
      </c>
      <c r="Q156" s="237">
        <f>IF(COUNT(D123:D152)=12,2.285,IF(COUNT(D123:D152)=13,2.331,IF(COUNT(D123:D152)=14,2.409,IF(COUNT(D123:D152)=15,2.409,IF(COUNT(D123:D152)&lt;21,2.557,IF(COUNT(D123:D152)&lt;26,2.663,IF(COUNT(D123:D152)&lt;31,2.745,"")))))))</f>
        <v>2.5569999999999999</v>
      </c>
      <c r="R156" s="237" t="str">
        <f>IF(COUNT(D123:D152)=12,"2.55",IF(COUNT(D123:D152)=13,"2.607",IF(COUNT(D123:D152)=14,"2.705",IF(COUNT(D123:D152)=15,"2.705",IF(COUNT(D123:D152)&lt;21,"2.884",IF(COUNT(D123:D152)&lt;26,"3.009",IF(COUNT(D123:D152)&lt;31,"3.103","")))))))</f>
        <v>2.884</v>
      </c>
      <c r="S156" s="234"/>
      <c r="T156" s="234"/>
      <c r="U156" s="234"/>
      <c r="AB156" s="235"/>
    </row>
    <row r="157" spans="3:28" x14ac:dyDescent="0.25">
      <c r="C157" s="234"/>
      <c r="D157" s="234"/>
      <c r="E157" s="234"/>
      <c r="F157" s="234"/>
      <c r="G157" s="234"/>
      <c r="H157" s="234"/>
      <c r="I157" s="234"/>
      <c r="J157" s="248">
        <v>0.01</v>
      </c>
      <c r="K157" s="60">
        <v>1.0349999999999999</v>
      </c>
      <c r="L157" s="60" t="str">
        <f>IF(I156&lt;=K157,"oui","non")</f>
        <v>oui</v>
      </c>
      <c r="M157" s="234"/>
      <c r="N157" s="60" t="s">
        <v>238</v>
      </c>
      <c r="O157" s="239">
        <f>MIN(D123:D152)</f>
        <v>0.13</v>
      </c>
      <c r="P157" s="236">
        <f>(ABS((MIN(D123:D152)-AVERAGE(D123:D152))/STDEV(D123:D152)))</f>
        <v>0.66552694985811911</v>
      </c>
      <c r="Q157" s="237"/>
      <c r="R157" s="237"/>
      <c r="S157" s="234"/>
      <c r="T157" s="234"/>
      <c r="U157" s="234"/>
      <c r="AB157" s="235"/>
    </row>
    <row r="158" spans="3:28" x14ac:dyDescent="0.25">
      <c r="C158" s="234"/>
      <c r="D158" s="234"/>
      <c r="E158" s="234"/>
      <c r="F158" s="234"/>
      <c r="G158" s="234"/>
      <c r="H158" s="234"/>
      <c r="I158" s="240" t="s">
        <v>239</v>
      </c>
      <c r="J158" s="240"/>
      <c r="K158" s="240"/>
      <c r="L158" s="240"/>
      <c r="M158" s="234"/>
      <c r="N158" s="240" t="s">
        <v>240</v>
      </c>
      <c r="O158" s="240"/>
      <c r="P158" s="240"/>
      <c r="Q158" s="240"/>
      <c r="R158" s="240"/>
      <c r="S158" s="234"/>
      <c r="T158" s="234"/>
      <c r="U158" s="234"/>
    </row>
    <row r="159" spans="3:28" x14ac:dyDescent="0.25"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</row>
    <row r="160" spans="3:28" x14ac:dyDescent="0.25"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</row>
    <row r="161" spans="3:21" x14ac:dyDescent="0.25"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3:21" x14ac:dyDescent="0.25"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</sheetData>
  <protectedRanges>
    <protectedRange sqref="D50:E59" name="Plage3_2"/>
    <protectedRange sqref="E30:E49" name="Plage3_1_1"/>
    <protectedRange sqref="G146:G152 G122:G142" name="Plage3_3"/>
  </protectedRanges>
  <mergeCells count="74">
    <mergeCell ref="AK11:AL11"/>
    <mergeCell ref="C8:D8"/>
    <mergeCell ref="E8:F8"/>
    <mergeCell ref="C9:D9"/>
    <mergeCell ref="E9:F9"/>
    <mergeCell ref="E3:F3"/>
    <mergeCell ref="C3:D3"/>
    <mergeCell ref="C4:D4"/>
    <mergeCell ref="E4:F4"/>
    <mergeCell ref="D28:E28"/>
    <mergeCell ref="C81:L81"/>
    <mergeCell ref="N81:W81"/>
    <mergeCell ref="B13:B14"/>
    <mergeCell ref="AI11:AJ11"/>
    <mergeCell ref="G29:J29"/>
    <mergeCell ref="G51:J51"/>
    <mergeCell ref="G52:J52"/>
    <mergeCell ref="G53:J53"/>
    <mergeCell ref="G54:J54"/>
    <mergeCell ref="G37:L37"/>
    <mergeCell ref="G32:J32"/>
    <mergeCell ref="G31:J31"/>
    <mergeCell ref="G30:J30"/>
    <mergeCell ref="G33:J33"/>
    <mergeCell ref="B15:B16"/>
    <mergeCell ref="G50:J50"/>
    <mergeCell ref="G55:J55"/>
    <mergeCell ref="G56:J56"/>
    <mergeCell ref="G43:L43"/>
    <mergeCell ref="G49:L49"/>
    <mergeCell ref="K50:L50"/>
    <mergeCell ref="K51:L51"/>
    <mergeCell ref="K52:L52"/>
    <mergeCell ref="K53:L53"/>
    <mergeCell ref="K54:L54"/>
    <mergeCell ref="K55:L55"/>
    <mergeCell ref="K56:L56"/>
    <mergeCell ref="G44:J44"/>
    <mergeCell ref="G45:J45"/>
    <mergeCell ref="G46:J46"/>
    <mergeCell ref="G47:J47"/>
    <mergeCell ref="G28:L28"/>
    <mergeCell ref="J36:L36"/>
    <mergeCell ref="L39:L41"/>
    <mergeCell ref="L44:L48"/>
    <mergeCell ref="K31:L31"/>
    <mergeCell ref="G38:J38"/>
    <mergeCell ref="G48:J48"/>
    <mergeCell ref="G42:J42"/>
    <mergeCell ref="G34:J34"/>
    <mergeCell ref="G35:J35"/>
    <mergeCell ref="G39:J39"/>
    <mergeCell ref="G40:J40"/>
    <mergeCell ref="G41:J41"/>
    <mergeCell ref="C116:F116"/>
    <mergeCell ref="H116:L116"/>
    <mergeCell ref="O116:R116"/>
    <mergeCell ref="T116:X116"/>
    <mergeCell ref="K118:K119"/>
    <mergeCell ref="L118:L119"/>
    <mergeCell ref="W118:W119"/>
    <mergeCell ref="X118:X119"/>
    <mergeCell ref="C120:F120"/>
    <mergeCell ref="H120:L120"/>
    <mergeCell ref="T120:X120"/>
    <mergeCell ref="H121:Q121"/>
    <mergeCell ref="C126:E126"/>
    <mergeCell ref="I158:L158"/>
    <mergeCell ref="N158:R158"/>
    <mergeCell ref="C136:D136"/>
    <mergeCell ref="I154:L154"/>
    <mergeCell ref="N154:R154"/>
    <mergeCell ref="Q156:Q157"/>
    <mergeCell ref="R156:R157"/>
  </mergeCells>
  <conditionalFormatting sqref="F118:F119">
    <cfRule type="cellIs" dxfId="8" priority="5" stopIfTrue="1" operator="equal">
      <formula>"oui"</formula>
    </cfRule>
    <cfRule type="cellIs" dxfId="7" priority="6" stopIfTrue="1" operator="equal">
      <formula>"non"</formula>
    </cfRule>
  </conditionalFormatting>
  <conditionalFormatting sqref="K33:L33">
    <cfRule type="containsText" dxfId="6" priority="11" operator="containsText" text="non">
      <formula>NOT(ISERROR(SEARCH("non",K33)))</formula>
    </cfRule>
  </conditionalFormatting>
  <conditionalFormatting sqref="K34:L35">
    <cfRule type="cellIs" dxfId="5" priority="8" operator="equal">
      <formula>"non"</formula>
    </cfRule>
    <cfRule type="cellIs" dxfId="4" priority="10" operator="equal">
      <formula>"non"</formula>
    </cfRule>
  </conditionalFormatting>
  <conditionalFormatting sqref="L156:L157">
    <cfRule type="cellIs" dxfId="3" priority="1" stopIfTrue="1" operator="equal">
      <formula>"oui"</formula>
    </cfRule>
    <cfRule type="cellIs" dxfId="2" priority="2" stopIfTrue="1" operator="equal">
      <formula>"non"</formula>
    </cfRule>
  </conditionalFormatting>
  <conditionalFormatting sqref="R118:R119">
    <cfRule type="cellIs" dxfId="1" priority="3" stopIfTrue="1" operator="equal">
      <formula>"oui"</formula>
    </cfRule>
    <cfRule type="cellIs" dxfId="0" priority="4" stopIfTrue="1" operator="equal">
      <formula>"non"</formula>
    </cfRule>
  </conditionalFormatting>
  <dataValidations count="2">
    <dataValidation type="list" allowBlank="1" showInputMessage="1" showErrorMessage="1" sqref="E8:F8" xr:uid="{00000000-0002-0000-0000-000000000000}">
      <formula1>$V$3:$V$4</formula1>
    </dataValidation>
    <dataValidation type="list" allowBlank="1" showInputMessage="1" showErrorMessage="1" sqref="E3" xr:uid="{00000000-0002-0000-0000-000001000000}">
      <formula1>$V$5:$V$6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I144"/>
  <sheetViews>
    <sheetView showGridLines="0" zoomScale="85" zoomScaleNormal="85" workbookViewId="0">
      <selection activeCell="H8" sqref="H6:H8"/>
    </sheetView>
  </sheetViews>
  <sheetFormatPr baseColWidth="10" defaultRowHeight="15" x14ac:dyDescent="0.25"/>
  <cols>
    <col min="1" max="2" width="4.42578125" customWidth="1"/>
    <col min="3" max="3" width="12.28515625" customWidth="1"/>
    <col min="8" max="8" width="14" bestFit="1" customWidth="1"/>
  </cols>
  <sheetData>
    <row r="1" spans="1:33" ht="15.75" thickBot="1" x14ac:dyDescent="0.3"/>
    <row r="2" spans="1:33" x14ac:dyDescent="0.25">
      <c r="B2" s="75"/>
      <c r="C2" s="76"/>
      <c r="D2" s="8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</row>
    <row r="3" spans="1:33" x14ac:dyDescent="0.25">
      <c r="B3" s="78"/>
      <c r="C3" s="224" t="s">
        <v>145</v>
      </c>
      <c r="D3" s="224"/>
      <c r="E3" s="225" t="s">
        <v>147</v>
      </c>
      <c r="F3" s="225"/>
      <c r="G3" s="225"/>
      <c r="H3" s="225"/>
      <c r="I3" s="28"/>
      <c r="J3" s="59"/>
      <c r="K3" s="58"/>
      <c r="L3" s="58"/>
      <c r="M3" s="58"/>
      <c r="N3" s="58"/>
      <c r="O3" s="58"/>
      <c r="P3" s="58"/>
      <c r="Q3" s="58"/>
      <c r="R3" s="58"/>
      <c r="S3" s="79"/>
      <c r="AB3" s="58"/>
      <c r="AC3" s="58"/>
      <c r="AD3" s="58"/>
      <c r="AE3" s="58"/>
      <c r="AF3" s="58"/>
      <c r="AG3" s="58"/>
    </row>
    <row r="4" spans="1:33" x14ac:dyDescent="0.25">
      <c r="B4" s="78"/>
      <c r="C4" s="98" t="s">
        <v>27</v>
      </c>
      <c r="D4" s="62">
        <v>1.8</v>
      </c>
      <c r="E4" s="98" t="s">
        <v>146</v>
      </c>
      <c r="F4" s="99">
        <v>1</v>
      </c>
      <c r="G4" s="98" t="s">
        <v>144</v>
      </c>
      <c r="H4" s="99">
        <v>1.95</v>
      </c>
      <c r="I4" s="28"/>
      <c r="J4" s="57"/>
      <c r="K4" s="57"/>
      <c r="L4" s="57"/>
      <c r="M4" s="57"/>
      <c r="N4" s="57"/>
      <c r="O4" s="57"/>
      <c r="P4" s="57"/>
      <c r="Q4" s="57"/>
      <c r="R4" s="57"/>
      <c r="S4" s="79"/>
      <c r="AB4" s="57"/>
      <c r="AC4" s="57"/>
      <c r="AD4" s="57"/>
      <c r="AE4" s="57"/>
      <c r="AF4" s="57"/>
      <c r="AG4" s="57"/>
    </row>
    <row r="5" spans="1:33" x14ac:dyDescent="0.25">
      <c r="B5" s="78"/>
      <c r="C5" s="98" t="s">
        <v>54</v>
      </c>
      <c r="D5" s="171">
        <v>0.05</v>
      </c>
      <c r="E5" s="9" t="s">
        <v>151</v>
      </c>
      <c r="F5" s="102">
        <f>(D4-F4)/(3*D5)</f>
        <v>5.333333333333333</v>
      </c>
      <c r="G5" s="9" t="s">
        <v>152</v>
      </c>
      <c r="H5" s="102">
        <f>(H4-D4)/(3*D5)</f>
        <v>0.99999999999999922</v>
      </c>
      <c r="I5" s="28"/>
      <c r="J5" s="57"/>
      <c r="K5" s="49"/>
      <c r="L5" s="49"/>
      <c r="M5" s="49"/>
      <c r="N5" s="49"/>
      <c r="O5" s="49"/>
      <c r="P5" s="49"/>
      <c r="Q5" s="49"/>
      <c r="R5" s="49"/>
      <c r="S5" s="79"/>
      <c r="AB5" s="49"/>
      <c r="AC5" s="49"/>
      <c r="AD5" s="49"/>
      <c r="AE5" s="49"/>
      <c r="AF5" s="49"/>
      <c r="AG5" s="49"/>
    </row>
    <row r="6" spans="1:33" x14ac:dyDescent="0.25">
      <c r="B6" s="78"/>
      <c r="C6" s="98" t="s">
        <v>171</v>
      </c>
      <c r="D6" s="53">
        <v>30</v>
      </c>
      <c r="E6" s="9" t="s">
        <v>153</v>
      </c>
      <c r="F6" s="90">
        <f>NORMDIST(F4,D4,D5,1)</f>
        <v>6.3887544005379043E-58</v>
      </c>
      <c r="G6" s="9" t="s">
        <v>153</v>
      </c>
      <c r="H6" s="179">
        <f>1-NORMDIST(H4,D4,D5,1)</f>
        <v>1.3498980316301035E-3</v>
      </c>
      <c r="I6" s="28"/>
      <c r="J6" s="57"/>
      <c r="K6" s="49"/>
      <c r="L6" s="49"/>
      <c r="M6" s="49"/>
      <c r="N6" s="49"/>
      <c r="O6" s="49"/>
      <c r="P6" s="49"/>
      <c r="Q6" s="49"/>
      <c r="R6" s="49"/>
      <c r="S6" s="79"/>
      <c r="AB6" s="49"/>
      <c r="AC6" s="49"/>
      <c r="AD6" s="49"/>
      <c r="AE6" s="49"/>
      <c r="AF6" s="49"/>
      <c r="AG6" s="49"/>
    </row>
    <row r="7" spans="1:33" x14ac:dyDescent="0.25">
      <c r="B7" s="78"/>
      <c r="C7" s="28"/>
      <c r="D7" s="28"/>
      <c r="E7" s="98" t="s">
        <v>155</v>
      </c>
      <c r="F7" s="5">
        <f>-NORMSINV(0.05)</f>
        <v>1.6448536269514726</v>
      </c>
      <c r="G7" s="103" t="s">
        <v>154</v>
      </c>
      <c r="H7" s="179">
        <f>F6+H6</f>
        <v>1.3498980316301035E-3</v>
      </c>
      <c r="I7" s="28"/>
      <c r="J7" s="57"/>
      <c r="K7" s="49"/>
      <c r="L7" s="49"/>
      <c r="M7" s="49"/>
      <c r="N7" s="49"/>
      <c r="O7" s="49"/>
      <c r="P7" s="49"/>
      <c r="Q7" s="49"/>
      <c r="R7" s="49"/>
      <c r="S7" s="79"/>
      <c r="AB7" s="49"/>
      <c r="AC7" s="49"/>
      <c r="AD7" s="49"/>
      <c r="AE7" s="49"/>
      <c r="AF7" s="49"/>
      <c r="AG7" s="49"/>
    </row>
    <row r="8" spans="1:33" x14ac:dyDescent="0.25">
      <c r="B8" s="78"/>
      <c r="C8" s="28"/>
      <c r="D8" s="28"/>
      <c r="E8" s="98" t="s">
        <v>156</v>
      </c>
      <c r="F8" s="5">
        <f>-NORMSINV(0.1)</f>
        <v>1.2815515655446006</v>
      </c>
      <c r="G8" s="104" t="s">
        <v>164</v>
      </c>
      <c r="H8" s="179">
        <f>1-H7</f>
        <v>0.9986501019683699</v>
      </c>
      <c r="I8" s="28"/>
      <c r="J8" s="57"/>
      <c r="K8" s="49"/>
      <c r="L8" s="49"/>
      <c r="M8" s="49"/>
      <c r="N8" s="49"/>
      <c r="O8" s="49"/>
      <c r="P8" s="49"/>
      <c r="Q8" s="49"/>
      <c r="R8" s="49"/>
      <c r="S8" s="79"/>
      <c r="AB8" s="49"/>
      <c r="AC8" s="49"/>
      <c r="AD8" s="49"/>
      <c r="AE8" s="49"/>
      <c r="AF8" s="49"/>
      <c r="AG8" s="49"/>
    </row>
    <row r="9" spans="1:33" x14ac:dyDescent="0.25">
      <c r="B9" s="78"/>
      <c r="C9" s="28"/>
      <c r="D9" s="28"/>
      <c r="E9" s="28"/>
      <c r="F9" s="28"/>
      <c r="G9" s="80"/>
      <c r="H9" s="80"/>
      <c r="I9" s="28"/>
      <c r="J9" s="57"/>
      <c r="K9" s="49"/>
      <c r="L9" s="49"/>
      <c r="M9" s="49"/>
      <c r="N9" s="49"/>
      <c r="O9" s="49"/>
      <c r="P9" s="49"/>
      <c r="Q9" s="49"/>
      <c r="R9" s="49"/>
      <c r="S9" s="79"/>
      <c r="AB9" s="49"/>
      <c r="AC9" s="49"/>
      <c r="AD9" s="49"/>
      <c r="AE9" s="49"/>
      <c r="AF9" s="49"/>
      <c r="AG9" s="49"/>
    </row>
    <row r="10" spans="1:33" x14ac:dyDescent="0.25">
      <c r="B10" s="78"/>
      <c r="C10" s="28" t="s">
        <v>170</v>
      </c>
      <c r="D10" s="28"/>
      <c r="E10" s="28"/>
      <c r="F10" s="28"/>
      <c r="G10" s="80"/>
      <c r="H10" s="80"/>
      <c r="I10" s="28"/>
      <c r="J10" s="57"/>
      <c r="K10" s="49"/>
      <c r="L10" s="49"/>
      <c r="M10" s="49"/>
      <c r="N10" s="49"/>
      <c r="O10" s="49"/>
      <c r="P10" s="49"/>
      <c r="Q10" s="49"/>
      <c r="R10" s="49"/>
      <c r="S10" s="79"/>
      <c r="AB10" s="49"/>
      <c r="AC10" s="49"/>
      <c r="AD10" s="49"/>
      <c r="AE10" s="49"/>
      <c r="AF10" s="49"/>
      <c r="AG10" s="49"/>
    </row>
    <row r="11" spans="1:33" x14ac:dyDescent="0.25">
      <c r="B11" s="78"/>
      <c r="C11" s="98" t="s">
        <v>165</v>
      </c>
      <c r="D11" s="100" t="s">
        <v>252</v>
      </c>
      <c r="E11" s="28"/>
      <c r="F11" s="28"/>
      <c r="G11" s="28"/>
      <c r="H11" s="80"/>
      <c r="I11" s="28"/>
      <c r="J11" s="57"/>
      <c r="K11" s="49"/>
      <c r="L11" s="49"/>
      <c r="M11" s="49"/>
      <c r="N11" s="49"/>
      <c r="O11" s="49"/>
      <c r="P11" s="49"/>
      <c r="Q11" s="49"/>
      <c r="R11" s="49"/>
      <c r="S11" s="79"/>
      <c r="AB11" s="49"/>
      <c r="AC11" s="49"/>
      <c r="AD11" s="49"/>
      <c r="AE11" s="49"/>
      <c r="AF11" s="49"/>
      <c r="AG11" s="49"/>
    </row>
    <row r="12" spans="1:33" x14ac:dyDescent="0.25">
      <c r="A12" s="28"/>
      <c r="B12" s="78"/>
      <c r="C12" s="98" t="s">
        <v>54</v>
      </c>
      <c r="D12" s="100"/>
      <c r="E12" s="28"/>
      <c r="F12" s="222" t="s">
        <v>179</v>
      </c>
      <c r="G12" s="222"/>
      <c r="H12" s="8">
        <f>1-NORMDIST(D14,D4,D5,1)</f>
        <v>1.3498980316301035E-3</v>
      </c>
      <c r="I12" s="28"/>
      <c r="J12" s="57"/>
      <c r="K12" s="49"/>
      <c r="L12" s="49"/>
      <c r="M12" s="49"/>
      <c r="N12" s="49"/>
      <c r="O12" s="49"/>
      <c r="P12" s="49"/>
      <c r="Q12" s="49"/>
      <c r="R12" s="49"/>
      <c r="S12" s="79"/>
      <c r="AA12" s="69"/>
      <c r="AB12" s="49"/>
      <c r="AC12" s="49"/>
      <c r="AD12" s="49"/>
      <c r="AE12" s="49"/>
      <c r="AF12" s="49"/>
      <c r="AG12" s="49"/>
    </row>
    <row r="13" spans="1:33" x14ac:dyDescent="0.25">
      <c r="B13" s="78"/>
      <c r="C13" s="98" t="s">
        <v>166</v>
      </c>
      <c r="D13" s="5">
        <f>F4+D12</f>
        <v>1</v>
      </c>
      <c r="E13" s="28"/>
      <c r="F13" s="223" t="s">
        <v>180</v>
      </c>
      <c r="G13" s="223"/>
      <c r="H13" s="8">
        <f>H16/H20</f>
        <v>0.50000000000001366</v>
      </c>
      <c r="I13" s="28"/>
      <c r="J13" s="57"/>
      <c r="K13" s="49"/>
      <c r="L13" s="49"/>
      <c r="M13" s="49"/>
      <c r="N13" s="49"/>
      <c r="O13" s="49"/>
      <c r="P13" s="49"/>
      <c r="Q13" s="49"/>
      <c r="R13" s="49"/>
      <c r="S13" s="79"/>
      <c r="AB13" s="49"/>
      <c r="AC13" s="49"/>
      <c r="AD13" s="49"/>
      <c r="AE13" s="49"/>
      <c r="AF13" s="49"/>
      <c r="AG13" s="49"/>
    </row>
    <row r="14" spans="1:33" x14ac:dyDescent="0.25">
      <c r="B14" s="78"/>
      <c r="C14" s="9" t="s">
        <v>167</v>
      </c>
      <c r="D14" s="5">
        <f>H4-D12</f>
        <v>1.95</v>
      </c>
      <c r="E14" s="28"/>
      <c r="F14" s="169"/>
      <c r="G14" s="170"/>
      <c r="H14" s="170"/>
      <c r="I14" s="28"/>
      <c r="J14" s="57"/>
      <c r="K14" s="49"/>
      <c r="L14" s="49"/>
      <c r="M14" s="49"/>
      <c r="N14" s="49"/>
      <c r="O14" s="49"/>
      <c r="P14" s="49"/>
      <c r="Q14" s="49"/>
      <c r="R14" s="49"/>
      <c r="S14" s="79"/>
      <c r="AB14" s="49"/>
      <c r="AC14" s="49"/>
      <c r="AD14" s="49"/>
      <c r="AE14" s="49"/>
      <c r="AF14" s="49"/>
      <c r="AG14" s="49"/>
    </row>
    <row r="15" spans="1:33" x14ac:dyDescent="0.25">
      <c r="B15" s="78"/>
      <c r="C15" s="106" t="s">
        <v>177</v>
      </c>
      <c r="D15" s="8">
        <f>NORMDIST(D14,D4,D5,1) + NORMDIST(D13,D4,D5,1)</f>
        <v>0.9986501019683699</v>
      </c>
      <c r="E15" s="28"/>
      <c r="F15" s="219" t="s">
        <v>164</v>
      </c>
      <c r="G15" s="220"/>
      <c r="H15" s="16">
        <f>D6*H8</f>
        <v>29.959503059051098</v>
      </c>
      <c r="I15" s="28"/>
      <c r="J15" s="57"/>
      <c r="K15" s="49"/>
      <c r="L15" s="49"/>
      <c r="M15" s="49"/>
      <c r="N15" s="49"/>
      <c r="O15" s="49"/>
      <c r="P15" s="49"/>
      <c r="Q15" s="49"/>
      <c r="R15" s="49"/>
      <c r="S15" s="79"/>
      <c r="AB15" s="49"/>
      <c r="AC15" s="49"/>
      <c r="AD15" s="49"/>
      <c r="AE15" s="49"/>
      <c r="AF15" s="49"/>
      <c r="AG15" s="49"/>
    </row>
    <row r="16" spans="1:33" x14ac:dyDescent="0.25">
      <c r="B16" s="78"/>
      <c r="C16" s="106" t="s">
        <v>178</v>
      </c>
      <c r="D16" s="8">
        <f>NORMDIST(H4+D12,D4,D5,1)+NORMDIST(F4-D12,D4,D5,1)</f>
        <v>0.9986501019683699</v>
      </c>
      <c r="E16" s="28"/>
      <c r="F16" s="219" t="s">
        <v>174</v>
      </c>
      <c r="G16" s="220"/>
      <c r="H16" s="16">
        <f>D6*H12</f>
        <v>4.0496940948903104E-2</v>
      </c>
      <c r="I16" s="28"/>
      <c r="J16" s="57"/>
      <c r="K16" s="49"/>
      <c r="L16" s="49"/>
      <c r="M16" s="49"/>
      <c r="N16" s="49"/>
      <c r="O16" s="49"/>
      <c r="P16" s="49"/>
      <c r="Q16" s="49"/>
      <c r="R16" s="49"/>
      <c r="S16" s="79"/>
      <c r="AA16" s="49"/>
      <c r="AB16" s="49"/>
      <c r="AC16" s="49"/>
      <c r="AD16" s="49"/>
      <c r="AE16" s="49"/>
      <c r="AF16" s="49"/>
      <c r="AG16" s="49"/>
    </row>
    <row r="17" spans="2:33" x14ac:dyDescent="0.25">
      <c r="B17" s="78"/>
      <c r="E17" s="28"/>
      <c r="F17" s="219" t="s">
        <v>176</v>
      </c>
      <c r="G17" s="220"/>
      <c r="H17" s="16">
        <f>H15-H16</f>
        <v>29.919006118102196</v>
      </c>
      <c r="I17" s="28"/>
      <c r="J17" s="57"/>
      <c r="K17" s="57"/>
      <c r="L17" s="57"/>
      <c r="M17" s="57"/>
      <c r="N17" s="57"/>
      <c r="O17" s="57"/>
      <c r="P17" s="57"/>
      <c r="Q17" s="57"/>
      <c r="R17" s="57"/>
      <c r="S17" s="79"/>
      <c r="AA17" s="57"/>
      <c r="AB17" s="57"/>
      <c r="AC17" s="57"/>
      <c r="AD17" s="57"/>
      <c r="AE17" s="57"/>
      <c r="AF17" s="57"/>
      <c r="AG17" s="57"/>
    </row>
    <row r="18" spans="2:33" x14ac:dyDescent="0.25">
      <c r="B18" s="78"/>
      <c r="F18" s="219" t="s">
        <v>172</v>
      </c>
      <c r="G18" s="220"/>
      <c r="H18" s="16">
        <f>D6*H7</f>
        <v>4.0496940948903104E-2</v>
      </c>
      <c r="I18" s="28"/>
      <c r="J18" s="58"/>
      <c r="K18" s="60"/>
      <c r="L18" s="60"/>
      <c r="M18" s="60"/>
      <c r="N18" s="60"/>
      <c r="O18" s="60"/>
      <c r="P18" s="60"/>
      <c r="Q18" s="60"/>
      <c r="R18" s="60"/>
      <c r="S18" s="79"/>
      <c r="AA18" s="60"/>
      <c r="AB18" s="60"/>
      <c r="AC18" s="60"/>
      <c r="AD18" s="60"/>
      <c r="AE18" s="60"/>
      <c r="AF18" s="60"/>
      <c r="AG18" s="60"/>
    </row>
    <row r="19" spans="2:33" x14ac:dyDescent="0.25">
      <c r="B19" s="78"/>
      <c r="C19" s="28"/>
      <c r="D19" s="28"/>
      <c r="E19" s="28"/>
      <c r="F19" s="219" t="s">
        <v>173</v>
      </c>
      <c r="G19" s="220"/>
      <c r="H19" s="16">
        <f>D6*D16</f>
        <v>29.959503059051098</v>
      </c>
      <c r="I19" s="28"/>
      <c r="J19" s="57"/>
      <c r="K19" s="61"/>
      <c r="L19" s="58"/>
      <c r="M19" s="58"/>
      <c r="N19" s="58"/>
      <c r="O19" s="58"/>
      <c r="P19" s="58"/>
      <c r="Q19" s="58"/>
      <c r="R19" s="58"/>
      <c r="S19" s="79"/>
      <c r="AA19" s="58"/>
      <c r="AB19" s="58"/>
      <c r="AC19" s="58"/>
      <c r="AD19" s="58"/>
      <c r="AE19" s="58"/>
      <c r="AF19" s="58"/>
      <c r="AG19" s="58"/>
    </row>
    <row r="20" spans="2:33" x14ac:dyDescent="0.25">
      <c r="B20" s="78"/>
      <c r="C20" s="28"/>
      <c r="D20" s="28"/>
      <c r="E20" s="28"/>
      <c r="F20" s="221" t="s">
        <v>175</v>
      </c>
      <c r="G20" s="221"/>
      <c r="H20" s="16">
        <f>D6-H17</f>
        <v>8.0993881897803988E-2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79"/>
    </row>
    <row r="21" spans="2:33" x14ac:dyDescent="0.25">
      <c r="B21" s="78"/>
      <c r="C21" s="28"/>
      <c r="D21" s="28"/>
      <c r="E21" s="101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79"/>
    </row>
    <row r="22" spans="2:33" x14ac:dyDescent="0.25">
      <c r="B22" s="78" t="s">
        <v>181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79"/>
    </row>
    <row r="23" spans="2:33" x14ac:dyDescent="0.25">
      <c r="B23" s="7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79"/>
    </row>
    <row r="24" spans="2:33" x14ac:dyDescent="0.25">
      <c r="B24" s="78"/>
      <c r="C24" s="28"/>
      <c r="D24" s="8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79"/>
    </row>
    <row r="25" spans="2:33" ht="15.75" thickBot="1" x14ac:dyDescent="0.3">
      <c r="B25" s="96"/>
      <c r="C25" s="82"/>
      <c r="D25" s="88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3"/>
    </row>
    <row r="26" spans="2:33" x14ac:dyDescent="0.25">
      <c r="E26" s="72"/>
      <c r="F26" s="73"/>
      <c r="G26" s="1"/>
    </row>
    <row r="30" spans="2:33" x14ac:dyDescent="0.25">
      <c r="F30" s="218" t="s">
        <v>105</v>
      </c>
      <c r="G30" s="218"/>
      <c r="H30" s="218" t="s">
        <v>148</v>
      </c>
      <c r="I30" s="218"/>
      <c r="J30" s="218" t="s">
        <v>149</v>
      </c>
      <c r="K30" s="218"/>
      <c r="L30" s="218" t="s">
        <v>168</v>
      </c>
      <c r="M30" s="218"/>
      <c r="N30" s="218" t="s">
        <v>169</v>
      </c>
      <c r="O30" s="218"/>
    </row>
    <row r="31" spans="2:33" x14ac:dyDescent="0.25">
      <c r="E31" s="72"/>
      <c r="F31" s="5">
        <f>D4</f>
        <v>1.8</v>
      </c>
      <c r="G31" s="5">
        <f>H65</f>
        <v>7.9788456080286538</v>
      </c>
      <c r="H31" s="5">
        <f>H4</f>
        <v>1.95</v>
      </c>
      <c r="I31" s="5">
        <f>G31</f>
        <v>7.9788456080286538</v>
      </c>
      <c r="J31" s="5">
        <f>F4</f>
        <v>1</v>
      </c>
      <c r="K31" s="5">
        <f>G31</f>
        <v>7.9788456080286538</v>
      </c>
      <c r="L31" s="74">
        <f>D14</f>
        <v>1.95</v>
      </c>
      <c r="M31" s="74">
        <f>G31</f>
        <v>7.9788456080286538</v>
      </c>
      <c r="N31" s="74">
        <f>D13</f>
        <v>1</v>
      </c>
      <c r="O31" s="74">
        <f>M31</f>
        <v>7.9788456080286538</v>
      </c>
    </row>
    <row r="32" spans="2:33" x14ac:dyDescent="0.25">
      <c r="F32" s="5">
        <f>F31</f>
        <v>1.8</v>
      </c>
      <c r="G32" s="5">
        <v>0</v>
      </c>
      <c r="H32" s="5">
        <f>H31</f>
        <v>1.95</v>
      </c>
      <c r="I32" s="5">
        <v>0</v>
      </c>
      <c r="J32" s="5">
        <f>J31</f>
        <v>1</v>
      </c>
      <c r="K32" s="5">
        <v>0</v>
      </c>
      <c r="L32" s="74">
        <f>L31</f>
        <v>1.95</v>
      </c>
      <c r="M32" s="74">
        <f>G32</f>
        <v>0</v>
      </c>
      <c r="N32" s="74">
        <f>N31</f>
        <v>1</v>
      </c>
      <c r="O32" s="74">
        <f>M32</f>
        <v>0</v>
      </c>
    </row>
    <row r="34" spans="5:35" x14ac:dyDescent="0.25">
      <c r="F34" s="85" t="s">
        <v>118</v>
      </c>
      <c r="G34" s="85" t="s">
        <v>27</v>
      </c>
      <c r="H34" s="85" t="s">
        <v>104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 spans="5:35" x14ac:dyDescent="0.25">
      <c r="E35" s="55" t="s">
        <v>102</v>
      </c>
      <c r="F35" s="86">
        <v>3</v>
      </c>
      <c r="G35" s="5">
        <f t="shared" ref="G35:G64" si="0">$G$65-F35*$D$5</f>
        <v>1.65</v>
      </c>
      <c r="H35" s="5">
        <f>NORMDIST(G35,$D$4,$D$5,0)</f>
        <v>8.8636968238759439E-2</v>
      </c>
      <c r="L35" s="91"/>
      <c r="M35" s="92"/>
      <c r="N35" s="93"/>
      <c r="O35" s="92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5:35" x14ac:dyDescent="0.25">
      <c r="F36" s="86">
        <v>2.9</v>
      </c>
      <c r="G36" s="5">
        <f t="shared" si="0"/>
        <v>1.655</v>
      </c>
      <c r="H36" s="5">
        <f t="shared" ref="H36:H95" si="1">NORMDIST(G36,$D$4,$D$5,0)</f>
        <v>0.11905064839551695</v>
      </c>
      <c r="M36" s="93"/>
      <c r="N36" s="93"/>
      <c r="O36" s="93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 spans="5:35" x14ac:dyDescent="0.25">
      <c r="F37" s="86">
        <v>2.8</v>
      </c>
      <c r="G37" s="5">
        <f t="shared" si="0"/>
        <v>1.6600000000000001</v>
      </c>
      <c r="H37" s="5">
        <f t="shared" si="1"/>
        <v>0.15830903165960014</v>
      </c>
      <c r="M37" s="93"/>
      <c r="N37" s="93"/>
      <c r="O37" s="93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5:35" x14ac:dyDescent="0.25">
      <c r="F38" s="86">
        <v>2.7</v>
      </c>
      <c r="G38" s="5">
        <f t="shared" si="0"/>
        <v>1.665</v>
      </c>
      <c r="H38" s="5">
        <f t="shared" si="1"/>
        <v>0.2084186962884518</v>
      </c>
      <c r="M38" s="80"/>
      <c r="N38" s="80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5:35" x14ac:dyDescent="0.25">
      <c r="F39" s="86">
        <v>2.6</v>
      </c>
      <c r="G39" s="5">
        <f t="shared" si="0"/>
        <v>1.67</v>
      </c>
      <c r="H39" s="5">
        <f t="shared" si="1"/>
        <v>0.2716593846737107</v>
      </c>
      <c r="M39" s="80"/>
      <c r="N39" s="80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4"/>
      <c r="AD39" s="94"/>
      <c r="AE39" s="92"/>
      <c r="AF39" s="91"/>
      <c r="AG39" s="91"/>
      <c r="AH39" s="91"/>
      <c r="AI39" s="91"/>
    </row>
    <row r="40" spans="5:35" x14ac:dyDescent="0.25">
      <c r="F40" s="86">
        <v>2.5</v>
      </c>
      <c r="G40" s="5">
        <f t="shared" si="0"/>
        <v>1.675</v>
      </c>
      <c r="H40" s="5">
        <f t="shared" si="1"/>
        <v>0.35056600987137082</v>
      </c>
      <c r="M40" s="80"/>
      <c r="N40" s="80"/>
      <c r="O40" s="91"/>
      <c r="P40" s="91"/>
      <c r="Q40" s="91"/>
      <c r="R40" s="91"/>
      <c r="S40" s="91"/>
      <c r="T40" s="91"/>
      <c r="U40" s="91"/>
      <c r="V40" s="91"/>
      <c r="W40" s="91"/>
      <c r="X40" s="92"/>
      <c r="Y40" s="91"/>
      <c r="Z40" s="95"/>
      <c r="AA40" s="95"/>
      <c r="AB40" s="91"/>
      <c r="AC40" s="91"/>
      <c r="AD40" s="91"/>
      <c r="AE40" s="91"/>
      <c r="AF40" s="91"/>
      <c r="AG40" s="91"/>
      <c r="AH40" s="91"/>
      <c r="AI40" s="91"/>
    </row>
    <row r="41" spans="5:35" x14ac:dyDescent="0.25">
      <c r="F41" s="86">
        <v>2.4</v>
      </c>
      <c r="G41" s="5">
        <f t="shared" si="0"/>
        <v>1.6800000000000002</v>
      </c>
      <c r="H41" s="5">
        <f t="shared" si="1"/>
        <v>0.44789060589686036</v>
      </c>
      <c r="M41" s="80"/>
      <c r="N41" s="80"/>
      <c r="O41" s="91"/>
      <c r="P41" s="91"/>
      <c r="Q41" s="91"/>
      <c r="R41" s="91"/>
      <c r="S41" s="91"/>
      <c r="T41" s="91"/>
      <c r="U41" s="91"/>
      <c r="V41" s="91"/>
      <c r="W41" s="91"/>
      <c r="X41" s="93"/>
      <c r="Y41" s="93"/>
      <c r="Z41" s="93"/>
      <c r="AA41" s="93"/>
      <c r="AB41" s="93"/>
      <c r="AC41" s="93"/>
      <c r="AD41" s="93"/>
      <c r="AE41" s="93"/>
      <c r="AF41" s="93"/>
      <c r="AG41" s="91"/>
      <c r="AH41" s="95"/>
      <c r="AI41" s="91"/>
    </row>
    <row r="42" spans="5:35" x14ac:dyDescent="0.25">
      <c r="F42" s="86">
        <v>2.2999999999999998</v>
      </c>
      <c r="G42" s="5">
        <f t="shared" si="0"/>
        <v>1.6850000000000001</v>
      </c>
      <c r="H42" s="5">
        <f t="shared" si="1"/>
        <v>0.56654075483202371</v>
      </c>
      <c r="L42" s="91"/>
      <c r="M42" s="92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3"/>
      <c r="Y42" s="93"/>
      <c r="Z42" s="91"/>
      <c r="AA42" s="91"/>
      <c r="AB42" s="95"/>
      <c r="AC42" s="91"/>
      <c r="AD42" s="91"/>
      <c r="AE42" s="91"/>
      <c r="AF42" s="93"/>
      <c r="AG42" s="91"/>
      <c r="AH42" s="95"/>
      <c r="AI42" s="91"/>
    </row>
    <row r="43" spans="5:35" x14ac:dyDescent="0.25">
      <c r="F43" s="86">
        <v>2.2000000000000002</v>
      </c>
      <c r="G43" s="5">
        <f t="shared" si="0"/>
        <v>1.69</v>
      </c>
      <c r="H43" s="5">
        <f t="shared" si="1"/>
        <v>0.70949185692462557</v>
      </c>
      <c r="L43" s="91"/>
      <c r="M43" s="93"/>
      <c r="N43" s="93"/>
      <c r="O43" s="91"/>
      <c r="P43" s="93"/>
      <c r="Q43" s="93"/>
      <c r="R43" s="91"/>
      <c r="S43" s="93"/>
      <c r="T43" s="93"/>
      <c r="U43" s="91"/>
      <c r="V43" s="91"/>
      <c r="W43" s="91"/>
      <c r="X43" s="93"/>
      <c r="Y43" s="93"/>
      <c r="Z43" s="93"/>
      <c r="AA43" s="95"/>
      <c r="AB43" s="93"/>
      <c r="AC43" s="93"/>
      <c r="AD43" s="93"/>
      <c r="AE43" s="93"/>
      <c r="AF43" s="93"/>
      <c r="AG43" s="91"/>
      <c r="AH43" s="91"/>
      <c r="AI43" s="91"/>
    </row>
    <row r="44" spans="5:35" x14ac:dyDescent="0.25">
      <c r="F44" s="86">
        <v>2.1</v>
      </c>
      <c r="G44" s="5">
        <f t="shared" si="0"/>
        <v>1.6950000000000001</v>
      </c>
      <c r="H44" s="5">
        <f t="shared" si="1"/>
        <v>0.87967191960854463</v>
      </c>
      <c r="L44" s="91"/>
      <c r="M44" s="93"/>
      <c r="N44" s="93"/>
      <c r="O44" s="91"/>
      <c r="P44" s="91"/>
      <c r="Q44" s="95"/>
      <c r="R44" s="91"/>
      <c r="S44" s="95"/>
      <c r="T44" s="93"/>
      <c r="U44" s="91"/>
      <c r="V44" s="91"/>
      <c r="W44" s="91"/>
      <c r="X44" s="93"/>
      <c r="Y44" s="93"/>
      <c r="Z44" s="95"/>
      <c r="AA44" s="95"/>
      <c r="AB44" s="93"/>
      <c r="AC44" s="93"/>
      <c r="AD44" s="93"/>
      <c r="AE44" s="93"/>
      <c r="AF44" s="93"/>
      <c r="AG44" s="91"/>
      <c r="AH44" s="91"/>
      <c r="AI44" s="91"/>
    </row>
    <row r="45" spans="5:35" x14ac:dyDescent="0.25">
      <c r="F45" s="86">
        <v>2</v>
      </c>
      <c r="G45" s="5">
        <f t="shared" si="0"/>
        <v>1.7</v>
      </c>
      <c r="H45" s="5">
        <f t="shared" si="1"/>
        <v>1.0798193302637571</v>
      </c>
      <c r="L45" s="91"/>
      <c r="M45" s="93"/>
      <c r="N45" s="93"/>
      <c r="O45" s="91"/>
      <c r="P45" s="93"/>
      <c r="Q45" s="93"/>
      <c r="R45" s="91"/>
      <c r="S45" s="93"/>
      <c r="T45" s="93"/>
      <c r="U45" s="91"/>
      <c r="V45" s="91"/>
      <c r="W45" s="91"/>
      <c r="X45" s="93"/>
      <c r="Y45" s="93"/>
      <c r="Z45" s="93"/>
      <c r="AA45" s="95"/>
      <c r="AB45" s="93"/>
      <c r="AC45" s="93"/>
      <c r="AD45" s="93"/>
      <c r="AE45" s="93"/>
      <c r="AF45" s="93"/>
      <c r="AG45" s="91"/>
      <c r="AH45" s="91"/>
      <c r="AI45" s="91"/>
    </row>
    <row r="46" spans="5:35" x14ac:dyDescent="0.25">
      <c r="F46" s="86">
        <v>1.9</v>
      </c>
      <c r="G46" s="5">
        <f t="shared" si="0"/>
        <v>1.7050000000000001</v>
      </c>
      <c r="H46" s="5">
        <f t="shared" si="1"/>
        <v>1.3123162954935332</v>
      </c>
      <c r="L46" s="91"/>
      <c r="M46" s="93"/>
      <c r="N46" s="93"/>
      <c r="O46" s="91"/>
      <c r="P46" s="91"/>
      <c r="Q46" s="95"/>
      <c r="R46" s="91"/>
      <c r="S46" s="95"/>
      <c r="T46" s="93"/>
      <c r="U46" s="91"/>
      <c r="V46" s="91"/>
      <c r="W46" s="91"/>
      <c r="X46" s="93"/>
      <c r="Y46" s="93"/>
      <c r="Z46" s="95"/>
      <c r="AA46" s="95"/>
      <c r="AB46" s="93"/>
      <c r="AC46" s="91"/>
      <c r="AD46" s="91"/>
      <c r="AE46" s="91"/>
      <c r="AF46" s="93"/>
      <c r="AG46" s="91"/>
      <c r="AH46" s="91"/>
      <c r="AI46" s="91"/>
    </row>
    <row r="47" spans="5:35" x14ac:dyDescent="0.25">
      <c r="F47" s="86">
        <v>1.8</v>
      </c>
      <c r="G47" s="5">
        <f t="shared" si="0"/>
        <v>1.71</v>
      </c>
      <c r="H47" s="5">
        <f t="shared" si="1"/>
        <v>1.5790031660178787</v>
      </c>
      <c r="L47" s="91"/>
      <c r="M47" s="93"/>
      <c r="N47" s="93"/>
      <c r="O47" s="91"/>
      <c r="P47" s="93"/>
      <c r="Q47" s="93"/>
      <c r="R47" s="91"/>
      <c r="S47" s="93"/>
      <c r="T47" s="93"/>
      <c r="U47" s="91"/>
      <c r="V47" s="91"/>
      <c r="W47" s="91"/>
      <c r="X47" s="93"/>
      <c r="Y47" s="93"/>
      <c r="Z47" s="93"/>
      <c r="AA47" s="95"/>
      <c r="AB47" s="93"/>
      <c r="AC47" s="93"/>
      <c r="AD47" s="93"/>
      <c r="AE47" s="93"/>
      <c r="AF47" s="93"/>
      <c r="AG47" s="91"/>
      <c r="AH47" s="91"/>
      <c r="AI47" s="91"/>
    </row>
    <row r="48" spans="5:35" x14ac:dyDescent="0.25">
      <c r="F48" s="86">
        <v>1.7</v>
      </c>
      <c r="G48" s="5">
        <f t="shared" si="0"/>
        <v>1.7150000000000001</v>
      </c>
      <c r="H48" s="5">
        <f t="shared" si="1"/>
        <v>1.8809815475377407</v>
      </c>
      <c r="L48" s="91"/>
      <c r="M48" s="93"/>
      <c r="N48" s="93"/>
      <c r="O48" s="91"/>
      <c r="P48" s="91"/>
      <c r="Q48" s="95"/>
      <c r="R48" s="91"/>
      <c r="S48" s="95"/>
      <c r="T48" s="93"/>
      <c r="U48" s="91"/>
      <c r="V48" s="91"/>
      <c r="W48" s="91"/>
      <c r="X48" s="93"/>
      <c r="Y48" s="93"/>
      <c r="Z48" s="95"/>
      <c r="AA48" s="95"/>
      <c r="AB48" s="93"/>
      <c r="AC48" s="91"/>
      <c r="AD48" s="91"/>
      <c r="AE48" s="91"/>
      <c r="AF48" s="93"/>
      <c r="AG48" s="91"/>
      <c r="AH48" s="91"/>
      <c r="AI48" s="91"/>
    </row>
    <row r="49" spans="6:35" x14ac:dyDescent="0.25">
      <c r="F49" s="86">
        <v>1.6</v>
      </c>
      <c r="G49" s="5">
        <f t="shared" si="0"/>
        <v>1.72</v>
      </c>
      <c r="H49" s="5">
        <f t="shared" si="1"/>
        <v>2.2184166935891065</v>
      </c>
      <c r="L49" s="91"/>
      <c r="M49" s="93"/>
      <c r="N49" s="93"/>
      <c r="O49" s="91"/>
      <c r="P49" s="93"/>
      <c r="Q49" s="93"/>
      <c r="R49" s="91"/>
      <c r="S49" s="93"/>
      <c r="T49" s="93"/>
      <c r="U49" s="91"/>
      <c r="V49" s="91"/>
      <c r="W49" s="91"/>
      <c r="X49" s="93"/>
      <c r="Y49" s="93"/>
      <c r="Z49" s="93"/>
      <c r="AA49" s="95"/>
      <c r="AB49" s="93"/>
      <c r="AC49" s="93"/>
      <c r="AD49" s="93"/>
      <c r="AE49" s="93"/>
      <c r="AF49" s="93"/>
      <c r="AG49" s="91"/>
      <c r="AH49" s="91"/>
      <c r="AI49" s="91"/>
    </row>
    <row r="50" spans="6:35" x14ac:dyDescent="0.25">
      <c r="F50" s="86">
        <v>1.5</v>
      </c>
      <c r="G50" s="5">
        <f t="shared" si="0"/>
        <v>1.7250000000000001</v>
      </c>
      <c r="H50" s="5">
        <f t="shared" si="1"/>
        <v>2.5903519133178383</v>
      </c>
      <c r="L50" s="91"/>
      <c r="M50" s="93"/>
      <c r="N50" s="93"/>
      <c r="O50" s="91"/>
      <c r="P50" s="91"/>
      <c r="Q50" s="95"/>
      <c r="R50" s="91"/>
      <c r="S50" s="95"/>
      <c r="T50" s="93"/>
      <c r="U50" s="91"/>
      <c r="V50" s="91"/>
      <c r="W50" s="91"/>
      <c r="X50" s="93"/>
      <c r="Y50" s="93"/>
      <c r="Z50" s="95"/>
      <c r="AA50" s="95"/>
      <c r="AB50" s="93"/>
      <c r="AC50" s="91"/>
      <c r="AD50" s="91"/>
      <c r="AE50" s="91"/>
      <c r="AF50" s="93"/>
      <c r="AG50" s="91"/>
      <c r="AH50" s="91"/>
      <c r="AI50" s="91"/>
    </row>
    <row r="51" spans="6:35" x14ac:dyDescent="0.25">
      <c r="F51" s="86">
        <v>1.4</v>
      </c>
      <c r="G51" s="5">
        <f t="shared" si="0"/>
        <v>1.73</v>
      </c>
      <c r="H51" s="5">
        <f t="shared" si="1"/>
        <v>2.9945493127148919</v>
      </c>
      <c r="L51" s="91"/>
      <c r="M51" s="93"/>
      <c r="N51" s="93"/>
      <c r="O51" s="91"/>
      <c r="P51" s="93"/>
      <c r="Q51" s="93"/>
      <c r="R51" s="91"/>
      <c r="S51" s="93"/>
      <c r="T51" s="93"/>
      <c r="U51" s="91"/>
      <c r="V51" s="91"/>
      <c r="W51" s="91"/>
      <c r="X51" s="93"/>
      <c r="Y51" s="93"/>
      <c r="Z51" s="93"/>
      <c r="AA51" s="95"/>
      <c r="AB51" s="93"/>
      <c r="AC51" s="93"/>
      <c r="AD51" s="93"/>
      <c r="AE51" s="93"/>
      <c r="AF51" s="93"/>
      <c r="AG51" s="91"/>
      <c r="AH51" s="91"/>
      <c r="AI51" s="91"/>
    </row>
    <row r="52" spans="6:35" x14ac:dyDescent="0.25">
      <c r="F52" s="86">
        <v>1.3</v>
      </c>
      <c r="G52" s="5">
        <f t="shared" si="0"/>
        <v>1.7350000000000001</v>
      </c>
      <c r="H52" s="5">
        <f t="shared" si="1"/>
        <v>3.4273718409561518</v>
      </c>
      <c r="L52" s="91"/>
      <c r="M52" s="93"/>
      <c r="N52" s="93"/>
      <c r="O52" s="91"/>
      <c r="P52" s="91"/>
      <c r="Q52" s="95"/>
      <c r="R52" s="91"/>
      <c r="S52" s="95"/>
      <c r="T52" s="93"/>
      <c r="U52" s="91"/>
      <c r="V52" s="91"/>
      <c r="W52" s="91"/>
      <c r="X52" s="93"/>
      <c r="Y52" s="93"/>
      <c r="Z52" s="95"/>
      <c r="AA52" s="95"/>
      <c r="AB52" s="93"/>
      <c r="AC52" s="91"/>
      <c r="AD52" s="91"/>
      <c r="AE52" s="91"/>
      <c r="AF52" s="93"/>
      <c r="AG52" s="91"/>
      <c r="AH52" s="91"/>
      <c r="AI52" s="91"/>
    </row>
    <row r="53" spans="6:35" x14ac:dyDescent="0.25">
      <c r="F53" s="86">
        <v>1.2</v>
      </c>
      <c r="G53" s="5">
        <f t="shared" si="0"/>
        <v>1.74</v>
      </c>
      <c r="H53" s="5">
        <f t="shared" si="1"/>
        <v>3.8837210996642537</v>
      </c>
      <c r="L53" s="91"/>
      <c r="M53" s="93"/>
      <c r="N53" s="93"/>
      <c r="O53" s="91"/>
      <c r="P53" s="93"/>
      <c r="Q53" s="93"/>
      <c r="R53" s="91"/>
      <c r="S53" s="93"/>
      <c r="T53" s="93"/>
      <c r="U53" s="91"/>
      <c r="V53" s="91"/>
      <c r="W53" s="91"/>
      <c r="X53" s="93"/>
      <c r="Y53" s="93"/>
      <c r="Z53" s="93"/>
      <c r="AA53" s="95"/>
      <c r="AB53" s="93"/>
      <c r="AC53" s="93"/>
      <c r="AD53" s="93"/>
      <c r="AE53" s="93"/>
      <c r="AF53" s="93"/>
      <c r="AG53" s="91"/>
      <c r="AH53" s="91"/>
      <c r="AI53" s="91"/>
    </row>
    <row r="54" spans="6:35" x14ac:dyDescent="0.25">
      <c r="F54" s="86">
        <v>1.1000000000000001</v>
      </c>
      <c r="G54" s="5">
        <f t="shared" si="0"/>
        <v>1.7450000000000001</v>
      </c>
      <c r="H54" s="5">
        <f t="shared" si="1"/>
        <v>4.3570435406510173</v>
      </c>
      <c r="L54" s="91"/>
      <c r="M54" s="93"/>
      <c r="N54" s="93"/>
      <c r="O54" s="91"/>
      <c r="P54" s="91"/>
      <c r="Q54" s="95"/>
      <c r="R54" s="91"/>
      <c r="S54" s="95"/>
      <c r="T54" s="93"/>
      <c r="U54" s="91"/>
      <c r="V54" s="91"/>
      <c r="W54" s="91"/>
      <c r="X54" s="93"/>
      <c r="Y54" s="93"/>
      <c r="Z54" s="95"/>
      <c r="AA54" s="95"/>
      <c r="AB54" s="93"/>
      <c r="AC54" s="91"/>
      <c r="AD54" s="91"/>
      <c r="AE54" s="91"/>
      <c r="AF54" s="93"/>
      <c r="AG54" s="91"/>
      <c r="AH54" s="91"/>
      <c r="AI54" s="91"/>
    </row>
    <row r="55" spans="6:35" x14ac:dyDescent="0.25">
      <c r="F55" s="86">
        <v>1</v>
      </c>
      <c r="G55" s="5">
        <f t="shared" si="0"/>
        <v>1.75</v>
      </c>
      <c r="H55" s="5">
        <f t="shared" si="1"/>
        <v>4.8394144903828629</v>
      </c>
      <c r="L55" s="91"/>
      <c r="M55" s="93"/>
      <c r="N55" s="93"/>
      <c r="O55" s="91"/>
      <c r="P55" s="93"/>
      <c r="Q55" s="93"/>
      <c r="R55" s="91"/>
      <c r="S55" s="93"/>
      <c r="T55" s="93"/>
      <c r="U55" s="91"/>
      <c r="V55" s="91"/>
      <c r="W55" s="91"/>
      <c r="X55" s="93"/>
      <c r="Y55" s="93"/>
      <c r="Z55" s="93"/>
      <c r="AA55" s="95"/>
      <c r="AB55" s="93"/>
      <c r="AC55" s="93"/>
      <c r="AD55" s="93"/>
      <c r="AE55" s="93"/>
      <c r="AF55" s="93"/>
      <c r="AG55" s="91"/>
      <c r="AH55" s="91"/>
      <c r="AI55" s="91"/>
    </row>
    <row r="56" spans="6:35" x14ac:dyDescent="0.25">
      <c r="F56" s="86">
        <v>0.9</v>
      </c>
      <c r="G56" s="5">
        <f t="shared" si="0"/>
        <v>1.7550000000000001</v>
      </c>
      <c r="H56" s="5">
        <f t="shared" si="1"/>
        <v>5.321704997975103</v>
      </c>
      <c r="L56" s="91"/>
      <c r="M56" s="93"/>
      <c r="N56" s="93"/>
      <c r="O56" s="91"/>
      <c r="P56" s="91"/>
      <c r="Q56" s="95"/>
      <c r="R56" s="91"/>
      <c r="S56" s="95"/>
      <c r="T56" s="93"/>
      <c r="U56" s="91"/>
      <c r="V56" s="91"/>
      <c r="W56" s="91"/>
      <c r="X56" s="93"/>
      <c r="Y56" s="93"/>
      <c r="Z56" s="95"/>
      <c r="AA56" s="95"/>
      <c r="AB56" s="93"/>
      <c r="AC56" s="91"/>
      <c r="AD56" s="91"/>
      <c r="AE56" s="91"/>
      <c r="AF56" s="93"/>
      <c r="AG56" s="91"/>
      <c r="AH56" s="91"/>
      <c r="AI56" s="91"/>
    </row>
    <row r="57" spans="6:35" x14ac:dyDescent="0.25">
      <c r="F57" s="86">
        <v>0.8</v>
      </c>
      <c r="G57" s="5">
        <f t="shared" si="0"/>
        <v>1.76</v>
      </c>
      <c r="H57" s="5">
        <f t="shared" si="1"/>
        <v>5.793831055229651</v>
      </c>
      <c r="L57" s="91"/>
      <c r="M57" s="93"/>
      <c r="N57" s="93"/>
      <c r="O57" s="91"/>
      <c r="P57" s="93"/>
      <c r="Q57" s="93"/>
      <c r="R57" s="91"/>
      <c r="S57" s="93"/>
      <c r="T57" s="93"/>
      <c r="U57" s="91"/>
      <c r="V57" s="91"/>
      <c r="W57" s="91"/>
      <c r="X57" s="93"/>
      <c r="Y57" s="93"/>
      <c r="Z57" s="93"/>
      <c r="AA57" s="95"/>
      <c r="AB57" s="93"/>
      <c r="AC57" s="93"/>
      <c r="AD57" s="93"/>
      <c r="AE57" s="93"/>
      <c r="AF57" s="93"/>
      <c r="AG57" s="91"/>
      <c r="AH57" s="91"/>
      <c r="AI57" s="91"/>
    </row>
    <row r="58" spans="6:35" x14ac:dyDescent="0.25">
      <c r="F58" s="86">
        <v>0.7</v>
      </c>
      <c r="G58" s="5">
        <f t="shared" si="0"/>
        <v>1.7650000000000001</v>
      </c>
      <c r="H58" s="5">
        <f t="shared" si="1"/>
        <v>6.2450786673352319</v>
      </c>
      <c r="L58" s="91"/>
      <c r="M58" s="93"/>
      <c r="N58" s="93"/>
      <c r="O58" s="91"/>
      <c r="P58" s="91"/>
      <c r="Q58" s="95"/>
      <c r="R58" s="91"/>
      <c r="S58" s="95"/>
      <c r="T58" s="93"/>
      <c r="U58" s="91"/>
      <c r="V58" s="91"/>
      <c r="W58" s="91"/>
      <c r="X58" s="93"/>
      <c r="Y58" s="93"/>
      <c r="Z58" s="95"/>
      <c r="AA58" s="95"/>
      <c r="AB58" s="93"/>
      <c r="AC58" s="91"/>
      <c r="AD58" s="91"/>
      <c r="AE58" s="91"/>
      <c r="AF58" s="93"/>
      <c r="AG58" s="91"/>
      <c r="AH58" s="91"/>
      <c r="AI58" s="91"/>
    </row>
    <row r="59" spans="6:35" x14ac:dyDescent="0.25">
      <c r="F59" s="86">
        <v>0.6</v>
      </c>
      <c r="G59" s="5">
        <f t="shared" si="0"/>
        <v>1.77</v>
      </c>
      <c r="H59" s="5">
        <f t="shared" si="1"/>
        <v>6.6644920578359903</v>
      </c>
      <c r="L59" s="91"/>
      <c r="M59" s="93"/>
      <c r="N59" s="93"/>
      <c r="O59" s="91"/>
      <c r="P59" s="93"/>
      <c r="Q59" s="93"/>
      <c r="R59" s="91"/>
      <c r="S59" s="93"/>
      <c r="T59" s="93"/>
      <c r="U59" s="91"/>
      <c r="V59" s="91"/>
      <c r="W59" s="91"/>
      <c r="X59" s="93"/>
      <c r="Y59" s="93"/>
      <c r="Z59" s="93"/>
      <c r="AA59" s="95"/>
      <c r="AB59" s="93"/>
      <c r="AC59" s="93"/>
      <c r="AD59" s="93"/>
      <c r="AE59" s="93"/>
      <c r="AF59" s="93"/>
      <c r="AG59" s="91"/>
      <c r="AH59" s="91"/>
      <c r="AI59" s="91"/>
    </row>
    <row r="60" spans="6:35" x14ac:dyDescent="0.25">
      <c r="F60" s="86">
        <v>0.5</v>
      </c>
      <c r="G60" s="5">
        <f t="shared" si="0"/>
        <v>1.7750000000000001</v>
      </c>
      <c r="H60" s="5">
        <f t="shared" si="1"/>
        <v>7.0413065352859956</v>
      </c>
      <c r="L60" s="91"/>
      <c r="M60" s="93"/>
      <c r="N60" s="93"/>
      <c r="O60" s="91"/>
      <c r="P60" s="91"/>
      <c r="Q60" s="95"/>
      <c r="R60" s="91"/>
      <c r="S60" s="95"/>
      <c r="T60" s="93"/>
      <c r="U60" s="91"/>
      <c r="V60" s="91"/>
      <c r="W60" s="91"/>
      <c r="X60" s="93"/>
      <c r="Y60" s="93"/>
      <c r="Z60" s="95"/>
      <c r="AA60" s="95"/>
      <c r="AB60" s="93"/>
      <c r="AC60" s="91"/>
      <c r="AD60" s="91"/>
      <c r="AE60" s="91"/>
      <c r="AF60" s="93"/>
      <c r="AG60" s="91"/>
      <c r="AH60" s="91"/>
      <c r="AI60" s="91"/>
    </row>
    <row r="61" spans="6:35" x14ac:dyDescent="0.25">
      <c r="F61" s="86">
        <v>0.4</v>
      </c>
      <c r="G61" s="5">
        <f t="shared" si="0"/>
        <v>1.78</v>
      </c>
      <c r="H61" s="5">
        <f t="shared" si="1"/>
        <v>7.3654028060664647</v>
      </c>
      <c r="L61" s="91"/>
      <c r="M61" s="93"/>
      <c r="N61" s="93"/>
      <c r="O61" s="91"/>
      <c r="P61" s="93"/>
      <c r="Q61" s="93"/>
      <c r="R61" s="91"/>
      <c r="S61" s="93"/>
      <c r="T61" s="93"/>
      <c r="U61" s="91"/>
      <c r="V61" s="91"/>
      <c r="W61" s="91"/>
      <c r="X61" s="93"/>
      <c r="Y61" s="93"/>
      <c r="Z61" s="93"/>
      <c r="AA61" s="95"/>
      <c r="AB61" s="93"/>
      <c r="AC61" s="93"/>
      <c r="AD61" s="93"/>
      <c r="AE61" s="93"/>
      <c r="AF61" s="93"/>
      <c r="AG61" s="91"/>
      <c r="AH61" s="91"/>
      <c r="AI61" s="91"/>
    </row>
    <row r="62" spans="6:35" x14ac:dyDescent="0.25">
      <c r="F62" s="86">
        <v>0.3</v>
      </c>
      <c r="G62" s="5">
        <f t="shared" si="0"/>
        <v>1.7850000000000001</v>
      </c>
      <c r="H62" s="5">
        <f t="shared" si="1"/>
        <v>7.6277563092104872</v>
      </c>
      <c r="L62" s="91"/>
      <c r="M62" s="93"/>
      <c r="N62" s="93"/>
      <c r="O62" s="91"/>
      <c r="P62" s="91"/>
      <c r="Q62" s="95"/>
      <c r="R62" s="91"/>
      <c r="S62" s="95"/>
      <c r="T62" s="93"/>
      <c r="U62" s="91"/>
      <c r="V62" s="91"/>
      <c r="W62" s="91"/>
      <c r="X62" s="93"/>
      <c r="Y62" s="93"/>
      <c r="Z62" s="95"/>
      <c r="AA62" s="95"/>
      <c r="AB62" s="93"/>
      <c r="AC62" s="91"/>
      <c r="AD62" s="91"/>
      <c r="AE62" s="91"/>
      <c r="AF62" s="93"/>
      <c r="AG62" s="91"/>
      <c r="AH62" s="91"/>
      <c r="AI62" s="91"/>
    </row>
    <row r="63" spans="6:35" x14ac:dyDescent="0.25">
      <c r="F63" s="86">
        <v>0.2</v>
      </c>
      <c r="G63" s="5">
        <f t="shared" si="0"/>
        <v>1.79</v>
      </c>
      <c r="H63" s="5">
        <f t="shared" si="1"/>
        <v>7.8208538795091176</v>
      </c>
      <c r="L63" s="91"/>
      <c r="M63" s="93"/>
      <c r="N63" s="93"/>
      <c r="O63" s="91"/>
      <c r="P63" s="93"/>
      <c r="Q63" s="93"/>
      <c r="R63" s="91"/>
      <c r="S63" s="93"/>
      <c r="T63" s="93"/>
      <c r="U63" s="91"/>
      <c r="V63" s="91"/>
      <c r="W63" s="91"/>
      <c r="X63" s="93"/>
      <c r="Y63" s="93"/>
      <c r="Z63" s="93"/>
      <c r="AA63" s="95"/>
      <c r="AB63" s="93"/>
      <c r="AC63" s="93"/>
      <c r="AD63" s="93"/>
      <c r="AE63" s="93"/>
      <c r="AF63" s="93"/>
      <c r="AG63" s="91"/>
      <c r="AH63" s="91"/>
      <c r="AI63" s="91"/>
    </row>
    <row r="64" spans="6:35" x14ac:dyDescent="0.25">
      <c r="F64" s="86">
        <v>0.1</v>
      </c>
      <c r="G64" s="5">
        <f t="shared" si="0"/>
        <v>1.7950000000000002</v>
      </c>
      <c r="H64" s="5">
        <f t="shared" si="1"/>
        <v>7.9390509495402375</v>
      </c>
      <c r="L64" s="91"/>
      <c r="M64" s="91"/>
      <c r="N64" s="91"/>
      <c r="O64" s="91"/>
      <c r="P64" s="91"/>
      <c r="Q64" s="95"/>
      <c r="R64" s="91"/>
      <c r="S64" s="95"/>
      <c r="T64" s="93"/>
      <c r="U64" s="91"/>
      <c r="V64" s="91"/>
      <c r="W64" s="91"/>
      <c r="X64" s="93"/>
      <c r="Y64" s="93"/>
      <c r="Z64" s="95"/>
      <c r="AA64" s="95"/>
      <c r="AB64" s="93"/>
      <c r="AC64" s="91"/>
      <c r="AD64" s="91"/>
      <c r="AE64" s="91"/>
      <c r="AF64" s="93"/>
      <c r="AG64" s="91"/>
      <c r="AH64" s="91"/>
      <c r="AI64" s="91"/>
    </row>
    <row r="65" spans="5:35" x14ac:dyDescent="0.25">
      <c r="E65" s="55" t="s">
        <v>119</v>
      </c>
      <c r="F65" s="50">
        <v>0</v>
      </c>
      <c r="G65" s="51">
        <f>D4</f>
        <v>1.8</v>
      </c>
      <c r="H65" s="5">
        <f>NORMDIST(G65,$D$4,$D$5,0)</f>
        <v>7.9788456080286538</v>
      </c>
      <c r="L65" s="91"/>
      <c r="M65" s="91"/>
      <c r="N65" s="91"/>
      <c r="O65" s="91"/>
      <c r="P65" s="93"/>
      <c r="Q65" s="93"/>
      <c r="R65" s="91"/>
      <c r="S65" s="93"/>
      <c r="T65" s="93"/>
      <c r="U65" s="91"/>
      <c r="V65" s="91"/>
      <c r="W65" s="91"/>
      <c r="X65" s="93"/>
      <c r="Y65" s="93"/>
      <c r="Z65" s="93"/>
      <c r="AA65" s="95"/>
      <c r="AB65" s="93"/>
      <c r="AC65" s="93"/>
      <c r="AD65" s="93"/>
      <c r="AE65" s="93"/>
      <c r="AF65" s="93"/>
      <c r="AG65" s="91"/>
      <c r="AH65" s="91"/>
      <c r="AI65" s="91"/>
    </row>
    <row r="66" spans="5:35" x14ac:dyDescent="0.25">
      <c r="F66" s="86">
        <v>0.1</v>
      </c>
      <c r="G66" s="5">
        <f t="shared" ref="G66:G95" si="2">$G$65+F66*$D$5</f>
        <v>1.8049999999999999</v>
      </c>
      <c r="H66" s="5">
        <f t="shared" si="1"/>
        <v>7.9390509495402375</v>
      </c>
      <c r="L66" s="91"/>
      <c r="M66" s="91"/>
      <c r="N66" s="91"/>
      <c r="O66" s="91"/>
      <c r="P66" s="91"/>
      <c r="Q66" s="95"/>
      <c r="R66" s="91"/>
      <c r="S66" s="95"/>
      <c r="T66" s="93"/>
      <c r="U66" s="91"/>
      <c r="V66" s="91"/>
      <c r="W66" s="91"/>
      <c r="X66" s="93"/>
      <c r="Y66" s="93"/>
      <c r="Z66" s="95"/>
      <c r="AA66" s="95"/>
      <c r="AB66" s="93"/>
      <c r="AC66" s="91"/>
      <c r="AD66" s="91"/>
      <c r="AE66" s="91"/>
      <c r="AF66" s="93"/>
      <c r="AG66" s="91"/>
      <c r="AH66" s="91"/>
      <c r="AI66" s="91"/>
    </row>
    <row r="67" spans="5:35" x14ac:dyDescent="0.25">
      <c r="F67" s="86">
        <v>0.2</v>
      </c>
      <c r="G67" s="5">
        <f t="shared" si="2"/>
        <v>1.81</v>
      </c>
      <c r="H67" s="5">
        <f t="shared" si="1"/>
        <v>7.8208538795091176</v>
      </c>
      <c r="L67" s="91"/>
      <c r="M67" s="91"/>
      <c r="N67" s="91"/>
      <c r="O67" s="91"/>
      <c r="P67" s="93"/>
      <c r="Q67" s="93"/>
      <c r="R67" s="91"/>
      <c r="S67" s="93"/>
      <c r="T67" s="93"/>
      <c r="U67" s="91"/>
      <c r="V67" s="91"/>
      <c r="W67" s="91"/>
      <c r="X67" s="93"/>
      <c r="Y67" s="93"/>
      <c r="Z67" s="93"/>
      <c r="AA67" s="95"/>
      <c r="AB67" s="93"/>
      <c r="AC67" s="93"/>
      <c r="AD67" s="93"/>
      <c r="AE67" s="93"/>
      <c r="AF67" s="93"/>
      <c r="AG67" s="91"/>
      <c r="AH67" s="91"/>
      <c r="AI67" s="91"/>
    </row>
    <row r="68" spans="5:35" x14ac:dyDescent="0.25">
      <c r="F68" s="86">
        <v>0.3</v>
      </c>
      <c r="G68" s="5">
        <f t="shared" si="2"/>
        <v>1.8149999999999999</v>
      </c>
      <c r="H68" s="5">
        <f t="shared" si="1"/>
        <v>7.6277563092104872</v>
      </c>
      <c r="L68" s="91"/>
      <c r="M68" s="91"/>
      <c r="N68" s="91"/>
      <c r="O68" s="91"/>
      <c r="P68" s="91"/>
      <c r="Q68" s="95"/>
      <c r="R68" s="91"/>
      <c r="S68" s="95"/>
      <c r="T68" s="93"/>
      <c r="U68" s="91"/>
      <c r="V68" s="91"/>
      <c r="W68" s="91"/>
      <c r="X68" s="93"/>
      <c r="Y68" s="93"/>
      <c r="Z68" s="95"/>
      <c r="AA68" s="95"/>
      <c r="AB68" s="93"/>
      <c r="AC68" s="91"/>
      <c r="AD68" s="91"/>
      <c r="AE68" s="91"/>
      <c r="AF68" s="93"/>
      <c r="AG68" s="91"/>
      <c r="AH68" s="91"/>
      <c r="AI68" s="91"/>
    </row>
    <row r="69" spans="5:35" x14ac:dyDescent="0.25">
      <c r="F69" s="86">
        <v>0.4</v>
      </c>
      <c r="G69" s="5">
        <f t="shared" si="2"/>
        <v>1.82</v>
      </c>
      <c r="H69" s="5">
        <f t="shared" si="1"/>
        <v>7.3654028060664647</v>
      </c>
      <c r="L69" s="91"/>
      <c r="M69" s="91"/>
      <c r="N69" s="91"/>
      <c r="O69" s="91"/>
      <c r="P69" s="93"/>
      <c r="Q69" s="93"/>
      <c r="R69" s="91"/>
      <c r="S69" s="93"/>
      <c r="T69" s="93"/>
      <c r="U69" s="91"/>
      <c r="V69" s="91"/>
      <c r="W69" s="91"/>
      <c r="X69" s="93"/>
      <c r="Y69" s="93"/>
      <c r="Z69" s="93"/>
      <c r="AA69" s="95"/>
      <c r="AB69" s="93"/>
      <c r="AC69" s="93"/>
      <c r="AD69" s="93"/>
      <c r="AE69" s="93"/>
      <c r="AF69" s="93"/>
      <c r="AG69" s="91"/>
      <c r="AH69" s="91"/>
      <c r="AI69" s="91"/>
    </row>
    <row r="70" spans="5:35" x14ac:dyDescent="0.25">
      <c r="F70" s="86">
        <v>0.5</v>
      </c>
      <c r="G70" s="5">
        <f t="shared" si="2"/>
        <v>1.825</v>
      </c>
      <c r="H70" s="5">
        <f t="shared" si="1"/>
        <v>7.0413065352859956</v>
      </c>
      <c r="L70" s="91"/>
      <c r="M70" s="91"/>
      <c r="N70" s="91"/>
      <c r="O70" s="91"/>
      <c r="P70" s="91"/>
      <c r="Q70" s="95"/>
      <c r="R70" s="91"/>
      <c r="S70" s="95"/>
      <c r="T70" s="93"/>
      <c r="U70" s="91"/>
      <c r="V70" s="91"/>
      <c r="W70" s="91"/>
      <c r="X70" s="93"/>
      <c r="Y70" s="93"/>
      <c r="Z70" s="95"/>
      <c r="AA70" s="95"/>
      <c r="AB70" s="93"/>
      <c r="AC70" s="91"/>
      <c r="AD70" s="91"/>
      <c r="AE70" s="91"/>
      <c r="AF70" s="93"/>
      <c r="AG70" s="91"/>
      <c r="AH70" s="91"/>
      <c r="AI70" s="91"/>
    </row>
    <row r="71" spans="5:35" x14ac:dyDescent="0.25">
      <c r="F71" s="86">
        <v>0.6</v>
      </c>
      <c r="G71" s="5">
        <f t="shared" si="2"/>
        <v>1.83</v>
      </c>
      <c r="H71" s="5">
        <f t="shared" si="1"/>
        <v>6.6644920578359903</v>
      </c>
      <c r="L71" s="91"/>
      <c r="M71" s="91"/>
      <c r="N71" s="91"/>
      <c r="O71" s="91"/>
      <c r="P71" s="93"/>
      <c r="Q71" s="93"/>
      <c r="R71" s="91"/>
      <c r="S71" s="93"/>
      <c r="T71" s="93"/>
      <c r="U71" s="91"/>
      <c r="V71" s="91"/>
      <c r="W71" s="91"/>
      <c r="X71" s="93"/>
      <c r="Y71" s="93"/>
      <c r="Z71" s="93"/>
      <c r="AA71" s="95"/>
      <c r="AB71" s="93"/>
      <c r="AC71" s="93"/>
      <c r="AD71" s="93"/>
      <c r="AE71" s="93"/>
      <c r="AF71" s="93"/>
      <c r="AG71" s="91"/>
      <c r="AH71" s="91"/>
      <c r="AI71" s="91"/>
    </row>
    <row r="72" spans="5:35" x14ac:dyDescent="0.25">
      <c r="F72" s="86">
        <v>0.7</v>
      </c>
      <c r="G72" s="5">
        <f t="shared" si="2"/>
        <v>1.835</v>
      </c>
      <c r="H72" s="5">
        <f t="shared" si="1"/>
        <v>6.2450786673352319</v>
      </c>
      <c r="L72" s="91"/>
      <c r="M72" s="91"/>
      <c r="N72" s="91"/>
      <c r="O72" s="91"/>
      <c r="P72" s="91"/>
      <c r="Q72" s="95"/>
      <c r="R72" s="91"/>
      <c r="S72" s="95"/>
      <c r="T72" s="93"/>
      <c r="U72" s="91"/>
      <c r="V72" s="91"/>
      <c r="W72" s="91"/>
      <c r="X72" s="93"/>
      <c r="Y72" s="93"/>
      <c r="Z72" s="95"/>
      <c r="AA72" s="95"/>
      <c r="AB72" s="93"/>
      <c r="AC72" s="91"/>
      <c r="AD72" s="91"/>
      <c r="AE72" s="91"/>
      <c r="AF72" s="93"/>
      <c r="AG72" s="91"/>
      <c r="AH72" s="91"/>
      <c r="AI72" s="91"/>
    </row>
    <row r="73" spans="5:35" x14ac:dyDescent="0.25">
      <c r="F73" s="86">
        <v>0.8</v>
      </c>
      <c r="G73" s="5">
        <f t="shared" si="2"/>
        <v>1.84</v>
      </c>
      <c r="H73" s="5">
        <f t="shared" si="1"/>
        <v>5.793831055229651</v>
      </c>
      <c r="L73" s="91"/>
      <c r="M73" s="91"/>
      <c r="N73" s="91"/>
      <c r="O73" s="91"/>
      <c r="P73" s="93"/>
      <c r="Q73" s="93"/>
      <c r="R73" s="91"/>
      <c r="S73" s="93"/>
      <c r="T73" s="93"/>
      <c r="U73" s="91"/>
      <c r="V73" s="91"/>
      <c r="W73" s="91"/>
      <c r="X73" s="93"/>
      <c r="Y73" s="93"/>
      <c r="Z73" s="93"/>
      <c r="AA73" s="95"/>
      <c r="AB73" s="93"/>
      <c r="AC73" s="93"/>
      <c r="AD73" s="93"/>
      <c r="AE73" s="93"/>
      <c r="AF73" s="93"/>
      <c r="AG73" s="91"/>
      <c r="AH73" s="91"/>
      <c r="AI73" s="91"/>
    </row>
    <row r="74" spans="5:35" x14ac:dyDescent="0.25">
      <c r="F74" s="86">
        <v>0.9</v>
      </c>
      <c r="G74" s="5">
        <f t="shared" si="2"/>
        <v>1.845</v>
      </c>
      <c r="H74" s="5">
        <f t="shared" si="1"/>
        <v>5.321704997975103</v>
      </c>
      <c r="L74" s="91"/>
      <c r="M74" s="91"/>
      <c r="N74" s="91"/>
      <c r="O74" s="91"/>
      <c r="P74" s="91"/>
      <c r="Q74" s="95"/>
      <c r="R74" s="91"/>
      <c r="S74" s="95"/>
      <c r="T74" s="93"/>
      <c r="U74" s="91"/>
      <c r="V74" s="91"/>
      <c r="W74" s="91"/>
      <c r="X74" s="93"/>
      <c r="Y74" s="93"/>
      <c r="Z74" s="95"/>
      <c r="AA74" s="95"/>
      <c r="AB74" s="93"/>
      <c r="AC74" s="91"/>
      <c r="AD74" s="91"/>
      <c r="AE74" s="91"/>
      <c r="AF74" s="93"/>
      <c r="AG74" s="91"/>
      <c r="AH74" s="91"/>
      <c r="AI74" s="91"/>
    </row>
    <row r="75" spans="5:35" x14ac:dyDescent="0.25">
      <c r="F75" s="86">
        <v>1</v>
      </c>
      <c r="G75" s="5">
        <f t="shared" si="2"/>
        <v>1.85</v>
      </c>
      <c r="H75" s="5">
        <f t="shared" si="1"/>
        <v>4.8394144903828629</v>
      </c>
      <c r="L75" s="91"/>
      <c r="M75" s="91"/>
      <c r="N75" s="91"/>
      <c r="O75" s="91"/>
      <c r="P75" s="93"/>
      <c r="Q75" s="93"/>
      <c r="R75" s="91"/>
      <c r="S75" s="93"/>
      <c r="T75" s="93"/>
      <c r="U75" s="91"/>
      <c r="V75" s="91"/>
      <c r="W75" s="91"/>
      <c r="X75" s="93"/>
      <c r="Y75" s="93"/>
      <c r="Z75" s="93"/>
      <c r="AA75" s="95"/>
      <c r="AB75" s="93"/>
      <c r="AC75" s="93"/>
      <c r="AD75" s="93"/>
      <c r="AE75" s="93"/>
      <c r="AF75" s="93"/>
      <c r="AG75" s="91"/>
      <c r="AH75" s="91"/>
      <c r="AI75" s="91"/>
    </row>
    <row r="76" spans="5:35" x14ac:dyDescent="0.25">
      <c r="F76" s="86">
        <v>1.1000000000000001</v>
      </c>
      <c r="G76" s="5">
        <f t="shared" si="2"/>
        <v>1.855</v>
      </c>
      <c r="H76" s="5">
        <f t="shared" si="1"/>
        <v>4.3570435406510173</v>
      </c>
      <c r="L76" s="91"/>
      <c r="M76" s="91"/>
      <c r="N76" s="91"/>
      <c r="O76" s="91"/>
      <c r="P76" s="91"/>
      <c r="Q76" s="95"/>
      <c r="R76" s="91"/>
      <c r="S76" s="95"/>
      <c r="T76" s="93"/>
      <c r="U76" s="91"/>
      <c r="V76" s="91"/>
      <c r="W76" s="91"/>
      <c r="X76" s="93"/>
      <c r="Y76" s="93"/>
      <c r="Z76" s="95"/>
      <c r="AA76" s="95"/>
      <c r="AB76" s="93"/>
      <c r="AC76" s="91"/>
      <c r="AD76" s="91"/>
      <c r="AE76" s="91"/>
      <c r="AF76" s="93"/>
      <c r="AG76" s="91"/>
      <c r="AH76" s="91"/>
      <c r="AI76" s="91"/>
    </row>
    <row r="77" spans="5:35" x14ac:dyDescent="0.25">
      <c r="F77" s="86">
        <v>1.2</v>
      </c>
      <c r="G77" s="5">
        <f t="shared" si="2"/>
        <v>1.86</v>
      </c>
      <c r="H77" s="5">
        <f t="shared" si="1"/>
        <v>3.8837210996642537</v>
      </c>
      <c r="L77" s="91"/>
      <c r="M77" s="91"/>
      <c r="N77" s="91"/>
      <c r="O77" s="91"/>
      <c r="P77" s="93"/>
      <c r="Q77" s="93"/>
      <c r="R77" s="91"/>
      <c r="S77" s="93"/>
      <c r="T77" s="93"/>
      <c r="U77" s="91"/>
      <c r="V77" s="91"/>
      <c r="W77" s="91"/>
      <c r="X77" s="93"/>
      <c r="Y77" s="93"/>
      <c r="Z77" s="93"/>
      <c r="AA77" s="95"/>
      <c r="AB77" s="93"/>
      <c r="AC77" s="93"/>
      <c r="AD77" s="93"/>
      <c r="AE77" s="93"/>
      <c r="AF77" s="93"/>
      <c r="AG77" s="91"/>
      <c r="AH77" s="91"/>
      <c r="AI77" s="91"/>
    </row>
    <row r="78" spans="5:35" x14ac:dyDescent="0.25">
      <c r="F78" s="86">
        <v>1.3</v>
      </c>
      <c r="G78" s="5">
        <f t="shared" si="2"/>
        <v>1.865</v>
      </c>
      <c r="H78" s="5">
        <f t="shared" si="1"/>
        <v>3.4273718409561518</v>
      </c>
      <c r="L78" s="91"/>
      <c r="M78" s="91"/>
      <c r="N78" s="91"/>
      <c r="O78" s="91"/>
      <c r="P78" s="91"/>
      <c r="Q78" s="95"/>
      <c r="R78" s="91"/>
      <c r="S78" s="95"/>
      <c r="T78" s="93"/>
      <c r="U78" s="91"/>
      <c r="V78" s="91"/>
      <c r="W78" s="91"/>
      <c r="X78" s="93"/>
      <c r="Y78" s="93"/>
      <c r="Z78" s="95"/>
      <c r="AA78" s="95"/>
      <c r="AB78" s="93"/>
      <c r="AC78" s="91"/>
      <c r="AD78" s="91"/>
      <c r="AE78" s="91"/>
      <c r="AF78" s="93"/>
      <c r="AG78" s="91"/>
      <c r="AH78" s="91"/>
      <c r="AI78" s="91"/>
    </row>
    <row r="79" spans="5:35" x14ac:dyDescent="0.25">
      <c r="F79" s="86">
        <v>1.4</v>
      </c>
      <c r="G79" s="5">
        <f t="shared" si="2"/>
        <v>1.87</v>
      </c>
      <c r="H79" s="5">
        <f t="shared" si="1"/>
        <v>2.9945493127148919</v>
      </c>
      <c r="L79" s="91"/>
      <c r="M79" s="91"/>
      <c r="N79" s="91"/>
      <c r="O79" s="91"/>
      <c r="P79" s="93"/>
      <c r="Q79" s="93"/>
      <c r="R79" s="91"/>
      <c r="S79" s="93"/>
      <c r="T79" s="93"/>
      <c r="U79" s="91"/>
      <c r="V79" s="91"/>
      <c r="W79" s="91"/>
      <c r="X79" s="93"/>
      <c r="Y79" s="93"/>
      <c r="Z79" s="93"/>
      <c r="AA79" s="95"/>
      <c r="AB79" s="93"/>
      <c r="AC79" s="93"/>
      <c r="AD79" s="93"/>
      <c r="AE79" s="93"/>
      <c r="AF79" s="93"/>
      <c r="AG79" s="91"/>
      <c r="AH79" s="91"/>
      <c r="AI79" s="91"/>
    </row>
    <row r="80" spans="5:35" x14ac:dyDescent="0.25">
      <c r="F80" s="86">
        <v>1.5</v>
      </c>
      <c r="G80" s="5">
        <f t="shared" si="2"/>
        <v>1.875</v>
      </c>
      <c r="H80" s="5">
        <f t="shared" si="1"/>
        <v>2.5903519133178383</v>
      </c>
      <c r="L80" s="91"/>
      <c r="M80" s="91"/>
      <c r="N80" s="91"/>
      <c r="O80" s="91"/>
      <c r="P80" s="91"/>
      <c r="Q80" s="95"/>
      <c r="R80" s="91"/>
      <c r="S80" s="95"/>
      <c r="T80" s="93"/>
      <c r="U80" s="91"/>
      <c r="V80" s="91"/>
      <c r="W80" s="91"/>
      <c r="X80" s="93"/>
      <c r="Y80" s="93"/>
      <c r="Z80" s="95"/>
      <c r="AA80" s="95"/>
      <c r="AB80" s="93"/>
      <c r="AC80" s="91"/>
      <c r="AD80" s="91"/>
      <c r="AE80" s="91"/>
      <c r="AF80" s="93"/>
      <c r="AG80" s="91"/>
      <c r="AH80" s="91"/>
      <c r="AI80" s="91"/>
    </row>
    <row r="81" spans="5:35" x14ac:dyDescent="0.25">
      <c r="F81" s="86">
        <v>1.6</v>
      </c>
      <c r="G81" s="5">
        <f t="shared" si="2"/>
        <v>1.8800000000000001</v>
      </c>
      <c r="H81" s="5">
        <f t="shared" si="1"/>
        <v>2.2184166935891065</v>
      </c>
      <c r="L81" s="91"/>
      <c r="M81" s="91"/>
      <c r="N81" s="91"/>
      <c r="O81" s="91"/>
      <c r="P81" s="93"/>
      <c r="Q81" s="93"/>
      <c r="R81" s="91"/>
      <c r="S81" s="93"/>
      <c r="T81" s="93"/>
      <c r="U81" s="91"/>
      <c r="V81" s="91"/>
      <c r="W81" s="91"/>
      <c r="X81" s="93"/>
      <c r="Y81" s="93"/>
      <c r="Z81" s="93"/>
      <c r="AA81" s="95"/>
      <c r="AB81" s="93"/>
      <c r="AC81" s="93"/>
      <c r="AD81" s="93"/>
      <c r="AE81" s="93"/>
      <c r="AF81" s="93"/>
      <c r="AG81" s="91"/>
      <c r="AH81" s="91"/>
      <c r="AI81" s="91"/>
    </row>
    <row r="82" spans="5:35" x14ac:dyDescent="0.25">
      <c r="F82" s="86">
        <v>1.7</v>
      </c>
      <c r="G82" s="5">
        <f t="shared" si="2"/>
        <v>1.885</v>
      </c>
      <c r="H82" s="5">
        <f t="shared" si="1"/>
        <v>1.8809815475377407</v>
      </c>
      <c r="L82" s="91"/>
      <c r="M82" s="91"/>
      <c r="N82" s="91"/>
      <c r="O82" s="91"/>
      <c r="P82" s="91"/>
      <c r="Q82" s="95"/>
      <c r="R82" s="91"/>
      <c r="S82" s="95"/>
      <c r="T82" s="93"/>
      <c r="U82" s="91"/>
      <c r="V82" s="91"/>
      <c r="W82" s="91"/>
      <c r="X82" s="93"/>
      <c r="Y82" s="93"/>
      <c r="Z82" s="95"/>
      <c r="AA82" s="95"/>
      <c r="AB82" s="93"/>
      <c r="AC82" s="91"/>
      <c r="AD82" s="91"/>
      <c r="AE82" s="91"/>
      <c r="AF82" s="93"/>
      <c r="AG82" s="91"/>
      <c r="AH82" s="91"/>
      <c r="AI82" s="91"/>
    </row>
    <row r="83" spans="5:35" x14ac:dyDescent="0.25">
      <c r="F83" s="86">
        <v>1.8</v>
      </c>
      <c r="G83" s="5">
        <f t="shared" si="2"/>
        <v>1.8900000000000001</v>
      </c>
      <c r="H83" s="5">
        <f t="shared" si="1"/>
        <v>1.5790031660178787</v>
      </c>
      <c r="L83" s="91"/>
      <c r="M83" s="91"/>
      <c r="N83" s="91"/>
      <c r="O83" s="91"/>
      <c r="P83" s="93"/>
      <c r="Q83" s="93"/>
      <c r="R83" s="91"/>
      <c r="S83" s="93"/>
      <c r="T83" s="93"/>
      <c r="U83" s="91"/>
      <c r="V83" s="91"/>
      <c r="W83" s="91"/>
      <c r="X83" s="93"/>
      <c r="Y83" s="93"/>
      <c r="Z83" s="93"/>
      <c r="AA83" s="95"/>
      <c r="AB83" s="93"/>
      <c r="AC83" s="93"/>
      <c r="AD83" s="93"/>
      <c r="AE83" s="93"/>
      <c r="AF83" s="93"/>
      <c r="AG83" s="91"/>
      <c r="AH83" s="91"/>
      <c r="AI83" s="91"/>
    </row>
    <row r="84" spans="5:35" x14ac:dyDescent="0.25">
      <c r="F84" s="86">
        <v>1.9</v>
      </c>
      <c r="G84" s="5">
        <f t="shared" si="2"/>
        <v>1.895</v>
      </c>
      <c r="H84" s="5">
        <f t="shared" si="1"/>
        <v>1.3123162954935332</v>
      </c>
      <c r="L84" s="91"/>
      <c r="M84" s="91"/>
      <c r="N84" s="91"/>
      <c r="O84" s="91"/>
      <c r="P84" s="91"/>
      <c r="Q84" s="95"/>
      <c r="R84" s="91"/>
      <c r="S84" s="95"/>
      <c r="T84" s="93"/>
      <c r="U84" s="91"/>
      <c r="V84" s="91"/>
      <c r="W84" s="91"/>
      <c r="X84" s="93"/>
      <c r="Y84" s="93"/>
      <c r="Z84" s="95"/>
      <c r="AA84" s="95"/>
      <c r="AB84" s="93"/>
      <c r="AC84" s="91"/>
      <c r="AD84" s="91"/>
      <c r="AE84" s="91"/>
      <c r="AF84" s="93"/>
      <c r="AG84" s="91"/>
      <c r="AH84" s="91"/>
      <c r="AI84" s="91"/>
    </row>
    <row r="85" spans="5:35" x14ac:dyDescent="0.25">
      <c r="F85" s="86">
        <v>2</v>
      </c>
      <c r="G85" s="5">
        <f t="shared" si="2"/>
        <v>1.9000000000000001</v>
      </c>
      <c r="H85" s="5">
        <f t="shared" si="1"/>
        <v>1.0798193302637571</v>
      </c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3"/>
      <c r="Y85" s="93"/>
      <c r="Z85" s="93"/>
      <c r="AA85" s="95"/>
      <c r="AB85" s="93"/>
      <c r="AC85" s="93"/>
      <c r="AD85" s="93"/>
      <c r="AE85" s="93"/>
      <c r="AF85" s="93"/>
      <c r="AG85" s="91"/>
      <c r="AH85" s="91"/>
      <c r="AI85" s="91"/>
    </row>
    <row r="86" spans="5:35" x14ac:dyDescent="0.25">
      <c r="F86" s="86">
        <v>2.1</v>
      </c>
      <c r="G86" s="5">
        <f t="shared" si="2"/>
        <v>1.905</v>
      </c>
      <c r="H86" s="5">
        <f t="shared" si="1"/>
        <v>0.87967191960854463</v>
      </c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3"/>
      <c r="Y86" s="93"/>
      <c r="Z86" s="95"/>
      <c r="AA86" s="95"/>
      <c r="AB86" s="93"/>
      <c r="AC86" s="91"/>
      <c r="AD86" s="91"/>
      <c r="AE86" s="91"/>
      <c r="AF86" s="93"/>
      <c r="AG86" s="91"/>
      <c r="AH86" s="91"/>
      <c r="AI86" s="91"/>
    </row>
    <row r="87" spans="5:35" x14ac:dyDescent="0.25">
      <c r="F87" s="86">
        <v>2.2000000000000002</v>
      </c>
      <c r="G87" s="5">
        <f t="shared" si="2"/>
        <v>1.9100000000000001</v>
      </c>
      <c r="H87" s="5">
        <f t="shared" si="1"/>
        <v>0.70949185692462557</v>
      </c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3"/>
      <c r="Y87" s="93"/>
      <c r="Z87" s="93"/>
      <c r="AA87" s="95"/>
      <c r="AB87" s="93"/>
      <c r="AC87" s="93"/>
      <c r="AD87" s="93"/>
      <c r="AE87" s="93"/>
      <c r="AF87" s="93"/>
      <c r="AG87" s="91"/>
      <c r="AH87" s="91"/>
      <c r="AI87" s="91"/>
    </row>
    <row r="88" spans="5:35" x14ac:dyDescent="0.25">
      <c r="F88" s="86">
        <v>2.2999999999999998</v>
      </c>
      <c r="G88" s="5">
        <f t="shared" si="2"/>
        <v>1.915</v>
      </c>
      <c r="H88" s="5">
        <f t="shared" si="1"/>
        <v>0.56654075483202371</v>
      </c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3"/>
      <c r="Y88" s="93"/>
      <c r="Z88" s="95"/>
      <c r="AA88" s="95"/>
      <c r="AB88" s="93"/>
      <c r="AC88" s="91"/>
      <c r="AD88" s="91"/>
      <c r="AE88" s="91"/>
      <c r="AF88" s="93"/>
      <c r="AG88" s="91"/>
      <c r="AH88" s="91"/>
      <c r="AI88" s="91"/>
    </row>
    <row r="89" spans="5:35" x14ac:dyDescent="0.25">
      <c r="F89" s="86">
        <v>2.4</v>
      </c>
      <c r="G89" s="5">
        <f t="shared" si="2"/>
        <v>1.92</v>
      </c>
      <c r="H89" s="5">
        <f t="shared" si="1"/>
        <v>0.44789060589686036</v>
      </c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3"/>
      <c r="Y89" s="93"/>
      <c r="Z89" s="93"/>
      <c r="AA89" s="95"/>
      <c r="AB89" s="93"/>
      <c r="AC89" s="93"/>
      <c r="AD89" s="93"/>
      <c r="AE89" s="93"/>
      <c r="AF89" s="93"/>
      <c r="AG89" s="91"/>
      <c r="AH89" s="91"/>
      <c r="AI89" s="91"/>
    </row>
    <row r="90" spans="5:35" x14ac:dyDescent="0.25">
      <c r="F90" s="86">
        <v>2.5</v>
      </c>
      <c r="G90" s="5">
        <f t="shared" si="2"/>
        <v>1.925</v>
      </c>
      <c r="H90" s="5">
        <f t="shared" si="1"/>
        <v>0.35056600987137082</v>
      </c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3"/>
      <c r="Y90" s="93"/>
      <c r="Z90" s="95"/>
      <c r="AA90" s="95"/>
      <c r="AB90" s="93"/>
      <c r="AC90" s="91"/>
      <c r="AD90" s="91"/>
      <c r="AE90" s="91"/>
      <c r="AF90" s="93"/>
      <c r="AG90" s="91"/>
      <c r="AH90" s="91"/>
      <c r="AI90" s="91"/>
    </row>
    <row r="91" spans="5:35" x14ac:dyDescent="0.25">
      <c r="F91" s="86">
        <v>2.6</v>
      </c>
      <c r="G91" s="5">
        <f t="shared" si="2"/>
        <v>1.9300000000000002</v>
      </c>
      <c r="H91" s="5">
        <f t="shared" si="1"/>
        <v>0.2716593846737107</v>
      </c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3"/>
      <c r="Y91" s="93"/>
      <c r="Z91" s="93"/>
      <c r="AA91" s="95"/>
      <c r="AB91" s="93"/>
      <c r="AC91" s="93"/>
      <c r="AD91" s="93"/>
      <c r="AE91" s="93"/>
      <c r="AF91" s="93"/>
      <c r="AG91" s="91"/>
      <c r="AH91" s="91"/>
      <c r="AI91" s="91"/>
    </row>
    <row r="92" spans="5:35" x14ac:dyDescent="0.25">
      <c r="F92" s="86">
        <v>2.7</v>
      </c>
      <c r="G92" s="5">
        <f t="shared" si="2"/>
        <v>1.9350000000000001</v>
      </c>
      <c r="H92" s="5">
        <f t="shared" si="1"/>
        <v>0.2084186962884518</v>
      </c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3"/>
      <c r="Y92" s="93"/>
      <c r="Z92" s="95"/>
      <c r="AA92" s="95"/>
      <c r="AB92" s="93"/>
      <c r="AC92" s="91"/>
      <c r="AD92" s="91"/>
      <c r="AE92" s="91"/>
      <c r="AF92" s="93"/>
      <c r="AG92" s="91"/>
      <c r="AH92" s="91"/>
      <c r="AI92" s="91"/>
    </row>
    <row r="93" spans="5:35" x14ac:dyDescent="0.25">
      <c r="F93" s="86">
        <v>2.8</v>
      </c>
      <c r="G93" s="5">
        <f t="shared" si="2"/>
        <v>1.94</v>
      </c>
      <c r="H93" s="5">
        <f t="shared" si="1"/>
        <v>0.15830903165960014</v>
      </c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3"/>
      <c r="Y93" s="93"/>
      <c r="Z93" s="93"/>
      <c r="AA93" s="95"/>
      <c r="AB93" s="93"/>
      <c r="AC93" s="93"/>
      <c r="AD93" s="93"/>
      <c r="AE93" s="93"/>
      <c r="AF93" s="93"/>
      <c r="AG93" s="91"/>
      <c r="AH93" s="91"/>
      <c r="AI93" s="91"/>
    </row>
    <row r="94" spans="5:35" x14ac:dyDescent="0.25">
      <c r="F94" s="86">
        <v>2.9</v>
      </c>
      <c r="G94" s="5">
        <f t="shared" si="2"/>
        <v>1.9450000000000001</v>
      </c>
      <c r="H94" s="5">
        <f t="shared" si="1"/>
        <v>0.11905064839551695</v>
      </c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3"/>
      <c r="Y94" s="93"/>
      <c r="Z94" s="95"/>
      <c r="AA94" s="95"/>
      <c r="AB94" s="93"/>
      <c r="AC94" s="91"/>
      <c r="AD94" s="91"/>
      <c r="AE94" s="91"/>
      <c r="AF94" s="93"/>
      <c r="AG94" s="91"/>
      <c r="AH94" s="91"/>
      <c r="AI94" s="91"/>
    </row>
    <row r="95" spans="5:35" x14ac:dyDescent="0.25">
      <c r="E95" s="55" t="s">
        <v>103</v>
      </c>
      <c r="F95" s="86">
        <v>3</v>
      </c>
      <c r="G95" s="5">
        <f t="shared" si="2"/>
        <v>1.9500000000000002</v>
      </c>
      <c r="H95" s="5">
        <f t="shared" si="1"/>
        <v>8.8636968238759439E-2</v>
      </c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3"/>
      <c r="Y95" s="93"/>
      <c r="Z95" s="93"/>
      <c r="AA95" s="95"/>
      <c r="AB95" s="93"/>
      <c r="AC95" s="93"/>
      <c r="AD95" s="93"/>
      <c r="AE95" s="93"/>
      <c r="AF95" s="93"/>
      <c r="AG95" s="91"/>
      <c r="AH95" s="91"/>
      <c r="AI95" s="91"/>
    </row>
    <row r="96" spans="5:35" x14ac:dyDescent="0.25"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3"/>
      <c r="Y96" s="93"/>
      <c r="Z96" s="95"/>
      <c r="AA96" s="95"/>
      <c r="AB96" s="93"/>
      <c r="AC96" s="91"/>
      <c r="AD96" s="91"/>
      <c r="AE96" s="91"/>
      <c r="AF96" s="93"/>
      <c r="AG96" s="91"/>
      <c r="AH96" s="91"/>
      <c r="AI96" s="91"/>
    </row>
    <row r="97" spans="12:35" x14ac:dyDescent="0.25"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3"/>
      <c r="Y97" s="93"/>
      <c r="Z97" s="93"/>
      <c r="AA97" s="95"/>
      <c r="AB97" s="93"/>
      <c r="AC97" s="93"/>
      <c r="AD97" s="93"/>
      <c r="AE97" s="93"/>
      <c r="AF97" s="93"/>
      <c r="AG97" s="91"/>
      <c r="AH97" s="91"/>
      <c r="AI97" s="91"/>
    </row>
    <row r="98" spans="12:35" x14ac:dyDescent="0.25"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3"/>
      <c r="Y98" s="93"/>
      <c r="Z98" s="95"/>
      <c r="AA98" s="95"/>
      <c r="AB98" s="93"/>
      <c r="AC98" s="91"/>
      <c r="AD98" s="91"/>
      <c r="AE98" s="91"/>
      <c r="AF98" s="93"/>
      <c r="AG98" s="91"/>
      <c r="AH98" s="91"/>
      <c r="AI98" s="91"/>
    </row>
    <row r="99" spans="12:35" x14ac:dyDescent="0.25"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3"/>
      <c r="Y99" s="93"/>
      <c r="Z99" s="93"/>
      <c r="AA99" s="95"/>
      <c r="AB99" s="93"/>
      <c r="AC99" s="93"/>
      <c r="AD99" s="93"/>
      <c r="AE99" s="93"/>
      <c r="AF99" s="93"/>
      <c r="AG99" s="91"/>
      <c r="AH99" s="91"/>
      <c r="AI99" s="91"/>
    </row>
    <row r="100" spans="12:35" x14ac:dyDescent="0.25"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3"/>
      <c r="Y100" s="93"/>
      <c r="Z100" s="95"/>
      <c r="AA100" s="95"/>
      <c r="AB100" s="93"/>
      <c r="AC100" s="91"/>
      <c r="AD100" s="91"/>
      <c r="AE100" s="91"/>
      <c r="AF100" s="93"/>
      <c r="AG100" s="91"/>
      <c r="AH100" s="91"/>
      <c r="AI100" s="91"/>
    </row>
    <row r="101" spans="12:35" x14ac:dyDescent="0.25"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3"/>
      <c r="Y101" s="93"/>
      <c r="Z101" s="93"/>
      <c r="AA101" s="95"/>
      <c r="AB101" s="93"/>
      <c r="AC101" s="93"/>
      <c r="AD101" s="93"/>
      <c r="AE101" s="93"/>
      <c r="AF101" s="93"/>
      <c r="AG101" s="91"/>
      <c r="AH101" s="91"/>
      <c r="AI101" s="91"/>
    </row>
    <row r="102" spans="12:35" x14ac:dyDescent="0.25"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3"/>
      <c r="Y102" s="93"/>
      <c r="Z102" s="95"/>
      <c r="AA102" s="95"/>
      <c r="AB102" s="93"/>
      <c r="AC102" s="91"/>
      <c r="AD102" s="91"/>
      <c r="AE102" s="91"/>
      <c r="AF102" s="93"/>
      <c r="AG102" s="91"/>
      <c r="AH102" s="91"/>
      <c r="AI102" s="91"/>
    </row>
    <row r="103" spans="12:35" x14ac:dyDescent="0.25"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3"/>
      <c r="Y103" s="93"/>
      <c r="Z103" s="93"/>
      <c r="AA103" s="95"/>
      <c r="AB103" s="93"/>
      <c r="AC103" s="93"/>
      <c r="AD103" s="93"/>
      <c r="AE103" s="93"/>
      <c r="AF103" s="93"/>
      <c r="AG103" s="91"/>
      <c r="AH103" s="91"/>
      <c r="AI103" s="91"/>
    </row>
    <row r="104" spans="12:35" x14ac:dyDescent="0.25"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3"/>
      <c r="Y104" s="93"/>
      <c r="Z104" s="95"/>
      <c r="AA104" s="95"/>
      <c r="AB104" s="93"/>
      <c r="AC104" s="91"/>
      <c r="AD104" s="91"/>
      <c r="AE104" s="91"/>
      <c r="AF104" s="93"/>
      <c r="AG104" s="91"/>
      <c r="AH104" s="91"/>
      <c r="AI104" s="91"/>
    </row>
    <row r="105" spans="12:35" x14ac:dyDescent="0.25"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3"/>
      <c r="Y105" s="93"/>
      <c r="Z105" s="93"/>
      <c r="AA105" s="95"/>
      <c r="AB105" s="93"/>
      <c r="AC105" s="93"/>
      <c r="AD105" s="93"/>
      <c r="AE105" s="93"/>
      <c r="AF105" s="93"/>
      <c r="AG105" s="91"/>
      <c r="AH105" s="91"/>
      <c r="AI105" s="91"/>
    </row>
    <row r="106" spans="12:35" x14ac:dyDescent="0.25"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3"/>
      <c r="Y106" s="93"/>
      <c r="Z106" s="95"/>
      <c r="AA106" s="95"/>
      <c r="AB106" s="93"/>
      <c r="AC106" s="91"/>
      <c r="AD106" s="91"/>
      <c r="AE106" s="91"/>
      <c r="AF106" s="93"/>
      <c r="AG106" s="91"/>
      <c r="AH106" s="91"/>
      <c r="AI106" s="91"/>
    </row>
    <row r="107" spans="12:35" x14ac:dyDescent="0.25"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3"/>
      <c r="Y107" s="93"/>
      <c r="Z107" s="93"/>
      <c r="AA107" s="95"/>
      <c r="AB107" s="93"/>
      <c r="AC107" s="93"/>
      <c r="AD107" s="93"/>
      <c r="AE107" s="93"/>
      <c r="AF107" s="93"/>
      <c r="AG107" s="91"/>
      <c r="AH107" s="91"/>
      <c r="AI107" s="91"/>
    </row>
    <row r="108" spans="12:35" x14ac:dyDescent="0.25"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3"/>
      <c r="Y108" s="93"/>
      <c r="Z108" s="95"/>
      <c r="AA108" s="95"/>
      <c r="AB108" s="93"/>
      <c r="AC108" s="91"/>
      <c r="AD108" s="91"/>
      <c r="AE108" s="91"/>
      <c r="AF108" s="93"/>
      <c r="AG108" s="91"/>
      <c r="AH108" s="91"/>
      <c r="AI108" s="91"/>
    </row>
    <row r="109" spans="12:35" x14ac:dyDescent="0.25"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3"/>
      <c r="Y109" s="93"/>
      <c r="Z109" s="93"/>
      <c r="AA109" s="95"/>
      <c r="AB109" s="93"/>
      <c r="AC109" s="93"/>
      <c r="AD109" s="93"/>
      <c r="AE109" s="93"/>
      <c r="AF109" s="93"/>
      <c r="AG109" s="91"/>
      <c r="AH109" s="91"/>
      <c r="AI109" s="91"/>
    </row>
    <row r="110" spans="12:35" x14ac:dyDescent="0.25"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3"/>
      <c r="Y110" s="93"/>
      <c r="Z110" s="95"/>
      <c r="AA110" s="95"/>
      <c r="AB110" s="93"/>
      <c r="AC110" s="91"/>
      <c r="AD110" s="91"/>
      <c r="AE110" s="91"/>
      <c r="AF110" s="93"/>
      <c r="AG110" s="91"/>
      <c r="AH110" s="91"/>
      <c r="AI110" s="91"/>
    </row>
    <row r="111" spans="12:35" x14ac:dyDescent="0.25"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3"/>
      <c r="Y111" s="93"/>
      <c r="Z111" s="93"/>
      <c r="AA111" s="95"/>
      <c r="AB111" s="93"/>
      <c r="AC111" s="93"/>
      <c r="AD111" s="93"/>
      <c r="AE111" s="93"/>
      <c r="AF111" s="93"/>
      <c r="AG111" s="91"/>
      <c r="AH111" s="91"/>
      <c r="AI111" s="91"/>
    </row>
    <row r="112" spans="12:35" x14ac:dyDescent="0.25"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3"/>
      <c r="Y112" s="93"/>
      <c r="Z112" s="95"/>
      <c r="AA112" s="95"/>
      <c r="AB112" s="93"/>
      <c r="AC112" s="91"/>
      <c r="AD112" s="91"/>
      <c r="AE112" s="91"/>
      <c r="AF112" s="93"/>
      <c r="AG112" s="91"/>
      <c r="AH112" s="91"/>
      <c r="AI112" s="91"/>
    </row>
    <row r="113" spans="12:35" x14ac:dyDescent="0.25"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3"/>
      <c r="Y113" s="93"/>
      <c r="Z113" s="93"/>
      <c r="AA113" s="95"/>
      <c r="AB113" s="93"/>
      <c r="AC113" s="93"/>
      <c r="AD113" s="93"/>
      <c r="AE113" s="93"/>
      <c r="AF113" s="93"/>
      <c r="AG113" s="91"/>
      <c r="AH113" s="91"/>
      <c r="AI113" s="91"/>
    </row>
    <row r="114" spans="12:35" x14ac:dyDescent="0.25"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3"/>
      <c r="Y114" s="93"/>
      <c r="Z114" s="95"/>
      <c r="AA114" s="95"/>
      <c r="AB114" s="93"/>
      <c r="AC114" s="91"/>
      <c r="AD114" s="91"/>
      <c r="AE114" s="91"/>
      <c r="AF114" s="93"/>
      <c r="AG114" s="91"/>
      <c r="AH114" s="91"/>
      <c r="AI114" s="91"/>
    </row>
    <row r="115" spans="12:35" x14ac:dyDescent="0.25"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3"/>
      <c r="Y115" s="93"/>
      <c r="Z115" s="93"/>
      <c r="AA115" s="95"/>
      <c r="AB115" s="93"/>
      <c r="AC115" s="93"/>
      <c r="AD115" s="93"/>
      <c r="AE115" s="93"/>
      <c r="AF115" s="93"/>
      <c r="AG115" s="91"/>
      <c r="AH115" s="91"/>
      <c r="AI115" s="91"/>
    </row>
    <row r="116" spans="12:35" x14ac:dyDescent="0.25"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3"/>
      <c r="Y116" s="93"/>
      <c r="Z116" s="95"/>
      <c r="AA116" s="95"/>
      <c r="AB116" s="93"/>
      <c r="AC116" s="91"/>
      <c r="AD116" s="91"/>
      <c r="AE116" s="91"/>
      <c r="AF116" s="93"/>
      <c r="AG116" s="91"/>
      <c r="AH116" s="91"/>
      <c r="AI116" s="91"/>
    </row>
    <row r="117" spans="12:35" x14ac:dyDescent="0.25"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3"/>
      <c r="Y117" s="93"/>
      <c r="Z117" s="93"/>
      <c r="AA117" s="95"/>
      <c r="AB117" s="93"/>
      <c r="AC117" s="93"/>
      <c r="AD117" s="93"/>
      <c r="AE117" s="93"/>
      <c r="AF117" s="93"/>
      <c r="AG117" s="91"/>
      <c r="AH117" s="91"/>
      <c r="AI117" s="91"/>
    </row>
    <row r="118" spans="12:35" x14ac:dyDescent="0.25"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3"/>
      <c r="Y118" s="93"/>
      <c r="Z118" s="95"/>
      <c r="AA118" s="95"/>
      <c r="AB118" s="93"/>
      <c r="AC118" s="91"/>
      <c r="AD118" s="91"/>
      <c r="AE118" s="91"/>
      <c r="AF118" s="93"/>
      <c r="AG118" s="91"/>
      <c r="AH118" s="91"/>
      <c r="AI118" s="91"/>
    </row>
    <row r="119" spans="12:35" x14ac:dyDescent="0.25"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3"/>
      <c r="Y119" s="93"/>
      <c r="Z119" s="93"/>
      <c r="AA119" s="95"/>
      <c r="AB119" s="93"/>
      <c r="AC119" s="93"/>
      <c r="AD119" s="93"/>
      <c r="AE119" s="93"/>
      <c r="AF119" s="93"/>
      <c r="AG119" s="91"/>
      <c r="AH119" s="91"/>
      <c r="AI119" s="91"/>
    </row>
    <row r="120" spans="12:35" x14ac:dyDescent="0.25"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3"/>
      <c r="Y120" s="93"/>
      <c r="Z120" s="95"/>
      <c r="AA120" s="95"/>
      <c r="AB120" s="93"/>
      <c r="AC120" s="91"/>
      <c r="AD120" s="91"/>
      <c r="AE120" s="91"/>
      <c r="AF120" s="93"/>
      <c r="AG120" s="91"/>
      <c r="AH120" s="91"/>
      <c r="AI120" s="91"/>
    </row>
    <row r="121" spans="12:35" x14ac:dyDescent="0.25"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3"/>
      <c r="Y121" s="93"/>
      <c r="Z121" s="93"/>
      <c r="AA121" s="95"/>
      <c r="AB121" s="93"/>
      <c r="AC121" s="93"/>
      <c r="AD121" s="93"/>
      <c r="AE121" s="93"/>
      <c r="AF121" s="93"/>
      <c r="AG121" s="91"/>
      <c r="AH121" s="91"/>
      <c r="AI121" s="91"/>
    </row>
    <row r="122" spans="12:35" x14ac:dyDescent="0.25"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3"/>
      <c r="Y122" s="93"/>
      <c r="Z122" s="95"/>
      <c r="AA122" s="95"/>
      <c r="AB122" s="93"/>
      <c r="AC122" s="91"/>
      <c r="AD122" s="91"/>
      <c r="AE122" s="91"/>
      <c r="AF122" s="93"/>
      <c r="AG122" s="91"/>
      <c r="AH122" s="91"/>
      <c r="AI122" s="91"/>
    </row>
    <row r="123" spans="12:35" x14ac:dyDescent="0.25"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3"/>
      <c r="Y123" s="93"/>
      <c r="Z123" s="93"/>
      <c r="AA123" s="95"/>
      <c r="AB123" s="93"/>
      <c r="AC123" s="93"/>
      <c r="AD123" s="93"/>
      <c r="AE123" s="93"/>
      <c r="AF123" s="93"/>
      <c r="AG123" s="91"/>
      <c r="AH123" s="91"/>
      <c r="AI123" s="91"/>
    </row>
    <row r="124" spans="12:35" x14ac:dyDescent="0.25"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3"/>
      <c r="Y124" s="93"/>
      <c r="Z124" s="95"/>
      <c r="AA124" s="95"/>
      <c r="AB124" s="93"/>
      <c r="AC124" s="91"/>
      <c r="AD124" s="91"/>
      <c r="AE124" s="91"/>
      <c r="AF124" s="93"/>
      <c r="AG124" s="91"/>
      <c r="AH124" s="91"/>
      <c r="AI124" s="91"/>
    </row>
    <row r="125" spans="12:35" x14ac:dyDescent="0.25"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3"/>
      <c r="Y125" s="93"/>
      <c r="Z125" s="93"/>
      <c r="AA125" s="95"/>
      <c r="AB125" s="93"/>
      <c r="AC125" s="93"/>
      <c r="AD125" s="93"/>
      <c r="AE125" s="93"/>
      <c r="AF125" s="93"/>
      <c r="AG125" s="91"/>
      <c r="AH125" s="91"/>
      <c r="AI125" s="91"/>
    </row>
    <row r="126" spans="12:35" x14ac:dyDescent="0.25"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3"/>
      <c r="Y126" s="93"/>
      <c r="Z126" s="95"/>
      <c r="AA126" s="95"/>
      <c r="AB126" s="93"/>
      <c r="AC126" s="91"/>
      <c r="AD126" s="91"/>
      <c r="AE126" s="91"/>
      <c r="AF126" s="93"/>
      <c r="AG126" s="91"/>
      <c r="AH126" s="91"/>
      <c r="AI126" s="91"/>
    </row>
    <row r="127" spans="12:35" x14ac:dyDescent="0.25"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3"/>
      <c r="Y127" s="93"/>
      <c r="Z127" s="93"/>
      <c r="AA127" s="95"/>
      <c r="AB127" s="93"/>
      <c r="AC127" s="93"/>
      <c r="AD127" s="93"/>
      <c r="AE127" s="93"/>
      <c r="AF127" s="93"/>
      <c r="AG127" s="91"/>
      <c r="AH127" s="91"/>
      <c r="AI127" s="91"/>
    </row>
    <row r="128" spans="12:35" x14ac:dyDescent="0.25"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3"/>
      <c r="Y128" s="93"/>
      <c r="Z128" s="95"/>
      <c r="AA128" s="95"/>
      <c r="AB128" s="93"/>
      <c r="AC128" s="91"/>
      <c r="AD128" s="91"/>
      <c r="AE128" s="91"/>
      <c r="AF128" s="93"/>
      <c r="AG128" s="91"/>
      <c r="AH128" s="91"/>
      <c r="AI128" s="91"/>
    </row>
    <row r="129" spans="12:35" x14ac:dyDescent="0.25"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3"/>
      <c r="Y129" s="93"/>
      <c r="Z129" s="93"/>
      <c r="AA129" s="95"/>
      <c r="AB129" s="93"/>
      <c r="AC129" s="93"/>
      <c r="AD129" s="93"/>
      <c r="AE129" s="93"/>
      <c r="AF129" s="93"/>
      <c r="AG129" s="91"/>
      <c r="AH129" s="91"/>
      <c r="AI129" s="91"/>
    </row>
    <row r="130" spans="12:35" x14ac:dyDescent="0.25"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3"/>
      <c r="Y130" s="93"/>
      <c r="Z130" s="95"/>
      <c r="AA130" s="95"/>
      <c r="AB130" s="93"/>
      <c r="AC130" s="91"/>
      <c r="AD130" s="91"/>
      <c r="AE130" s="91"/>
      <c r="AF130" s="93"/>
      <c r="AG130" s="91"/>
      <c r="AH130" s="91"/>
      <c r="AI130" s="91"/>
    </row>
    <row r="131" spans="12:35" x14ac:dyDescent="0.25"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3"/>
      <c r="Y131" s="93"/>
      <c r="Z131" s="93"/>
      <c r="AA131" s="95"/>
      <c r="AB131" s="93"/>
      <c r="AC131" s="93"/>
      <c r="AD131" s="93"/>
      <c r="AE131" s="93"/>
      <c r="AF131" s="93"/>
      <c r="AG131" s="91"/>
      <c r="AH131" s="91"/>
      <c r="AI131" s="91"/>
    </row>
    <row r="132" spans="12:35" x14ac:dyDescent="0.25"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3"/>
      <c r="Y132" s="93"/>
      <c r="Z132" s="95"/>
      <c r="AA132" s="95"/>
      <c r="AB132" s="93"/>
      <c r="AC132" s="91"/>
      <c r="AD132" s="91"/>
      <c r="AE132" s="91"/>
      <c r="AF132" s="93"/>
      <c r="AG132" s="91"/>
      <c r="AH132" s="91"/>
      <c r="AI132" s="91"/>
    </row>
    <row r="133" spans="12:35" x14ac:dyDescent="0.25"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3"/>
      <c r="Y133" s="93"/>
      <c r="Z133" s="93"/>
      <c r="AA133" s="95"/>
      <c r="AB133" s="93"/>
      <c r="AC133" s="93"/>
      <c r="AD133" s="93"/>
      <c r="AE133" s="93"/>
      <c r="AF133" s="93"/>
      <c r="AG133" s="91"/>
      <c r="AH133" s="91"/>
      <c r="AI133" s="91"/>
    </row>
    <row r="134" spans="12:35" x14ac:dyDescent="0.25"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3"/>
      <c r="Y134" s="93"/>
      <c r="Z134" s="95"/>
      <c r="AA134" s="95"/>
      <c r="AB134" s="93"/>
      <c r="AC134" s="91"/>
      <c r="AD134" s="91"/>
      <c r="AE134" s="91"/>
      <c r="AF134" s="93"/>
      <c r="AG134" s="91"/>
      <c r="AH134" s="91"/>
      <c r="AI134" s="91"/>
    </row>
    <row r="135" spans="12:35" x14ac:dyDescent="0.25"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3"/>
      <c r="Y135" s="93"/>
      <c r="Z135" s="93"/>
      <c r="AA135" s="95"/>
      <c r="AB135" s="93"/>
      <c r="AC135" s="93"/>
      <c r="AD135" s="93"/>
      <c r="AE135" s="93"/>
      <c r="AF135" s="93"/>
      <c r="AG135" s="91"/>
      <c r="AH135" s="91"/>
      <c r="AI135" s="91"/>
    </row>
    <row r="136" spans="12:35" x14ac:dyDescent="0.25"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3"/>
      <c r="Y136" s="93"/>
      <c r="Z136" s="95"/>
      <c r="AA136" s="95"/>
      <c r="AB136" s="93"/>
      <c r="AC136" s="91"/>
      <c r="AD136" s="91"/>
      <c r="AE136" s="91"/>
      <c r="AF136" s="93"/>
      <c r="AG136" s="91"/>
      <c r="AH136" s="91"/>
      <c r="AI136" s="91"/>
    </row>
    <row r="137" spans="12:35" x14ac:dyDescent="0.25"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3"/>
      <c r="Y137" s="93"/>
      <c r="Z137" s="93"/>
      <c r="AA137" s="95"/>
      <c r="AB137" s="93"/>
      <c r="AC137" s="93"/>
      <c r="AD137" s="93"/>
      <c r="AE137" s="93"/>
      <c r="AF137" s="93"/>
      <c r="AG137" s="91"/>
      <c r="AH137" s="91"/>
      <c r="AI137" s="91"/>
    </row>
    <row r="138" spans="12:35" x14ac:dyDescent="0.25"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3"/>
      <c r="Y138" s="93"/>
      <c r="Z138" s="95"/>
      <c r="AA138" s="95"/>
      <c r="AB138" s="93"/>
      <c r="AC138" s="91"/>
      <c r="AD138" s="91"/>
      <c r="AE138" s="91"/>
      <c r="AF138" s="93"/>
      <c r="AG138" s="91"/>
      <c r="AH138" s="91"/>
      <c r="AI138" s="91"/>
    </row>
    <row r="139" spans="12:35" x14ac:dyDescent="0.25"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3"/>
      <c r="Y139" s="93"/>
      <c r="Z139" s="93"/>
      <c r="AA139" s="95"/>
      <c r="AB139" s="93"/>
      <c r="AC139" s="93"/>
      <c r="AD139" s="93"/>
      <c r="AE139" s="93"/>
      <c r="AF139" s="93"/>
      <c r="AG139" s="91"/>
      <c r="AH139" s="91"/>
      <c r="AI139" s="91"/>
    </row>
    <row r="140" spans="12:35" x14ac:dyDescent="0.25"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3"/>
      <c r="Y140" s="93"/>
      <c r="Z140" s="95"/>
      <c r="AA140" s="95"/>
      <c r="AB140" s="93"/>
      <c r="AC140" s="91"/>
      <c r="AD140" s="91"/>
      <c r="AE140" s="91"/>
      <c r="AF140" s="93"/>
      <c r="AG140" s="91"/>
      <c r="AH140" s="91"/>
      <c r="AI140" s="91"/>
    </row>
    <row r="141" spans="12:35" x14ac:dyDescent="0.25"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3"/>
      <c r="Y141" s="93"/>
      <c r="Z141" s="91"/>
      <c r="AA141" s="95"/>
      <c r="AB141" s="93"/>
      <c r="AC141" s="91"/>
      <c r="AD141" s="91"/>
      <c r="AE141" s="91"/>
      <c r="AF141" s="91"/>
      <c r="AG141" s="91"/>
      <c r="AH141" s="91"/>
      <c r="AI141" s="91"/>
    </row>
    <row r="142" spans="12:35" x14ac:dyDescent="0.25"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5"/>
      <c r="AB142" s="91"/>
      <c r="AC142" s="91"/>
      <c r="AD142" s="91"/>
      <c r="AE142" s="91"/>
      <c r="AF142" s="91"/>
      <c r="AG142" s="91"/>
      <c r="AH142" s="91"/>
      <c r="AI142" s="91"/>
    </row>
    <row r="143" spans="12:35" x14ac:dyDescent="0.25"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</row>
    <row r="144" spans="12:35" x14ac:dyDescent="0.25"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</row>
  </sheetData>
  <mergeCells count="15">
    <mergeCell ref="C3:D3"/>
    <mergeCell ref="J30:K30"/>
    <mergeCell ref="E3:H3"/>
    <mergeCell ref="F15:G15"/>
    <mergeCell ref="F16:G16"/>
    <mergeCell ref="F17:G17"/>
    <mergeCell ref="F18:G18"/>
    <mergeCell ref="L30:M30"/>
    <mergeCell ref="N30:O30"/>
    <mergeCell ref="F19:G19"/>
    <mergeCell ref="F20:G20"/>
    <mergeCell ref="F12:G12"/>
    <mergeCell ref="F13:G13"/>
    <mergeCell ref="F30:G30"/>
    <mergeCell ref="H30:I3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99"/>
  <sheetViews>
    <sheetView showGridLines="0" zoomScale="60" zoomScaleNormal="60" workbookViewId="0">
      <selection activeCell="D49" sqref="D49"/>
    </sheetView>
  </sheetViews>
  <sheetFormatPr baseColWidth="10" defaultRowHeight="15" x14ac:dyDescent="0.25"/>
  <sheetData>
    <row r="1" spans="2:13" x14ac:dyDescent="0.25">
      <c r="B1" s="18" t="s">
        <v>25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2:13" x14ac:dyDescent="0.25">
      <c r="C3" s="230" t="s">
        <v>12</v>
      </c>
      <c r="D3" s="230"/>
    </row>
    <row r="4" spans="2:13" x14ac:dyDescent="0.25">
      <c r="C4" s="37" t="s">
        <v>60</v>
      </c>
    </row>
    <row r="5" spans="2:13" x14ac:dyDescent="0.25">
      <c r="C5" s="2" t="s">
        <v>0</v>
      </c>
      <c r="D5" s="16">
        <v>7</v>
      </c>
      <c r="E5" t="s">
        <v>35</v>
      </c>
    </row>
    <row r="6" spans="2:13" x14ac:dyDescent="0.25">
      <c r="C6" s="2" t="s">
        <v>55</v>
      </c>
      <c r="D6" s="4">
        <v>6</v>
      </c>
      <c r="E6" t="s">
        <v>34</v>
      </c>
    </row>
    <row r="7" spans="2:13" x14ac:dyDescent="0.25">
      <c r="C7" s="2" t="s">
        <v>1</v>
      </c>
      <c r="D7" s="4">
        <v>20</v>
      </c>
    </row>
    <row r="8" spans="2:13" x14ac:dyDescent="0.25">
      <c r="C8" s="3" t="s">
        <v>54</v>
      </c>
      <c r="D8" s="16">
        <v>2</v>
      </c>
      <c r="E8" s="21"/>
    </row>
    <row r="9" spans="2:13" x14ac:dyDescent="0.25">
      <c r="C9" s="3" t="s">
        <v>9</v>
      </c>
      <c r="D9" s="5">
        <f>ABS(D5-D6)/D8*SQRT(D7)</f>
        <v>2.2360679774997898</v>
      </c>
      <c r="E9" t="s">
        <v>63</v>
      </c>
    </row>
    <row r="10" spans="2:13" x14ac:dyDescent="0.25">
      <c r="C10" s="3" t="s">
        <v>4</v>
      </c>
      <c r="D10" s="7">
        <v>0.05</v>
      </c>
      <c r="E10" t="s">
        <v>50</v>
      </c>
    </row>
    <row r="11" spans="2:13" x14ac:dyDescent="0.25">
      <c r="C11" s="6" t="s">
        <v>5</v>
      </c>
      <c r="D11" s="5">
        <f>TINV(D10,D7-1)</f>
        <v>2.0930240544083096</v>
      </c>
      <c r="E11" t="s">
        <v>51</v>
      </c>
    </row>
    <row r="12" spans="2:13" x14ac:dyDescent="0.25">
      <c r="C12" s="3" t="s">
        <v>64</v>
      </c>
      <c r="D12" s="2" t="str">
        <f>IF(D9&gt;D11, "H1","H0")</f>
        <v>H1</v>
      </c>
      <c r="E12" t="s">
        <v>65</v>
      </c>
    </row>
    <row r="13" spans="2:13" x14ac:dyDescent="0.25">
      <c r="C13" s="2" t="s">
        <v>6</v>
      </c>
      <c r="D13" s="5">
        <f>MAX(D9,D11)-MIN(D9,D11)</f>
        <v>0.14304392309148017</v>
      </c>
      <c r="E13" s="1" t="s">
        <v>8</v>
      </c>
    </row>
    <row r="14" spans="2:13" x14ac:dyDescent="0.25">
      <c r="C14" s="34" t="s">
        <v>7</v>
      </c>
      <c r="D14" s="56">
        <f>IF(D9&lt;D11,TDIST(D13,D7-1,1),1-TDIST(D13,D6-1,1))</f>
        <v>0.55407930175304099</v>
      </c>
      <c r="E14" s="1" t="s">
        <v>10</v>
      </c>
    </row>
    <row r="15" spans="2:13" x14ac:dyDescent="0.25">
      <c r="C15" s="34" t="s">
        <v>3</v>
      </c>
      <c r="D15" s="56">
        <f>1-D14</f>
        <v>0.44592069824695901</v>
      </c>
      <c r="E15" s="1" t="s">
        <v>100</v>
      </c>
    </row>
    <row r="16" spans="2:13" x14ac:dyDescent="0.25">
      <c r="B16" s="28"/>
      <c r="D16" s="27"/>
      <c r="E16" s="1"/>
    </row>
    <row r="17" spans="3:8" x14ac:dyDescent="0.25">
      <c r="C17" s="22" t="s">
        <v>44</v>
      </c>
      <c r="D17" s="23"/>
      <c r="E17" s="23"/>
      <c r="F17" s="24"/>
      <c r="G17" t="s">
        <v>254</v>
      </c>
    </row>
    <row r="18" spans="3:8" x14ac:dyDescent="0.25">
      <c r="C18" s="11"/>
    </row>
    <row r="19" spans="3:8" x14ac:dyDescent="0.25">
      <c r="C19" s="226" t="s">
        <v>45</v>
      </c>
      <c r="D19" s="226"/>
      <c r="E19" s="226"/>
      <c r="F19" s="226"/>
    </row>
    <row r="20" spans="3:8" x14ac:dyDescent="0.25">
      <c r="C20" s="38" t="s">
        <v>66</v>
      </c>
    </row>
    <row r="21" spans="3:8" x14ac:dyDescent="0.25">
      <c r="C21" s="9" t="s">
        <v>132</v>
      </c>
      <c r="D21" s="54">
        <v>1</v>
      </c>
    </row>
    <row r="22" spans="3:8" x14ac:dyDescent="0.25">
      <c r="C22" s="26" t="s">
        <v>54</v>
      </c>
      <c r="D22" s="54">
        <v>2.35</v>
      </c>
    </row>
    <row r="23" spans="3:8" x14ac:dyDescent="0.25">
      <c r="C23" s="2" t="s">
        <v>126</v>
      </c>
      <c r="D23" s="67">
        <f>D21/D22</f>
        <v>0.42553191489361702</v>
      </c>
      <c r="E23" t="s">
        <v>133</v>
      </c>
    </row>
    <row r="25" spans="3:8" x14ac:dyDescent="0.25">
      <c r="C25" s="2" t="s">
        <v>127</v>
      </c>
      <c r="D25" s="67">
        <f>(D28+D30)/SQRT(D26)</f>
        <v>0.43147436555344293</v>
      </c>
      <c r="E25" s="70" t="s">
        <v>11</v>
      </c>
    </row>
    <row r="26" spans="3:8" x14ac:dyDescent="0.25">
      <c r="C26" s="71" t="s">
        <v>1</v>
      </c>
      <c r="D26" s="71">
        <v>60</v>
      </c>
    </row>
    <row r="27" spans="3:8" x14ac:dyDescent="0.25">
      <c r="C27" s="3" t="s">
        <v>4</v>
      </c>
      <c r="D27" s="68">
        <v>0.05</v>
      </c>
    </row>
    <row r="28" spans="3:8" x14ac:dyDescent="0.25">
      <c r="C28" s="6" t="s">
        <v>5</v>
      </c>
      <c r="D28" s="10">
        <f>TINV(D27*2,D26-1)</f>
        <v>1.6710930321038957</v>
      </c>
      <c r="E28" t="s">
        <v>51</v>
      </c>
    </row>
    <row r="29" spans="3:8" x14ac:dyDescent="0.25">
      <c r="C29" s="2" t="s">
        <v>3</v>
      </c>
      <c r="D29" s="68">
        <v>0.1</v>
      </c>
    </row>
    <row r="30" spans="3:8" x14ac:dyDescent="0.25">
      <c r="C30" s="2" t="s">
        <v>6</v>
      </c>
      <c r="D30" s="10">
        <f>TINV(D29,D26-1)</f>
        <v>1.6710930321038957</v>
      </c>
      <c r="E30" t="s">
        <v>38</v>
      </c>
    </row>
    <row r="31" spans="3:8" x14ac:dyDescent="0.25">
      <c r="C31" s="31"/>
      <c r="D31" s="32"/>
      <c r="E31" s="33"/>
    </row>
    <row r="32" spans="3:8" x14ac:dyDescent="0.25">
      <c r="C32" s="226" t="s">
        <v>46</v>
      </c>
      <c r="D32" s="226"/>
      <c r="E32" s="226"/>
      <c r="F32" s="226"/>
      <c r="G32" s="226"/>
      <c r="H32" s="226"/>
    </row>
    <row r="33" spans="2:27" x14ac:dyDescent="0.25">
      <c r="C33" s="38" t="s">
        <v>59</v>
      </c>
    </row>
    <row r="34" spans="2:27" x14ac:dyDescent="0.25">
      <c r="C34" s="3" t="s">
        <v>47</v>
      </c>
      <c r="D34" s="4">
        <v>2</v>
      </c>
      <c r="E34" t="s">
        <v>23</v>
      </c>
    </row>
    <row r="35" spans="2:27" x14ac:dyDescent="0.25">
      <c r="C35" s="3" t="s">
        <v>48</v>
      </c>
      <c r="D35" s="7">
        <v>0.05</v>
      </c>
      <c r="E35" t="s">
        <v>24</v>
      </c>
    </row>
    <row r="36" spans="2:27" x14ac:dyDescent="0.25">
      <c r="C36" s="3" t="s">
        <v>4</v>
      </c>
      <c r="D36" s="7">
        <v>0.02</v>
      </c>
      <c r="I36" t="s">
        <v>58</v>
      </c>
    </row>
    <row r="37" spans="2:27" x14ac:dyDescent="0.25">
      <c r="C37" s="2" t="s">
        <v>19</v>
      </c>
      <c r="D37" s="30">
        <v>3</v>
      </c>
      <c r="E37" t="s">
        <v>16</v>
      </c>
    </row>
    <row r="38" spans="2:27" x14ac:dyDescent="0.25">
      <c r="C38" s="2" t="s">
        <v>17</v>
      </c>
      <c r="D38" s="30">
        <v>10</v>
      </c>
    </row>
    <row r="39" spans="2:27" x14ac:dyDescent="0.25">
      <c r="C39" s="3" t="s">
        <v>18</v>
      </c>
      <c r="D39" s="5">
        <f>(D34/D37)^2</f>
        <v>0.44444444444444442</v>
      </c>
      <c r="E39" t="s">
        <v>22</v>
      </c>
    </row>
    <row r="41" spans="2:27" x14ac:dyDescent="0.25">
      <c r="C41" s="35" t="s">
        <v>49</v>
      </c>
      <c r="D41" s="36">
        <v>38</v>
      </c>
      <c r="E41" t="s">
        <v>39</v>
      </c>
    </row>
    <row r="42" spans="2:27" x14ac:dyDescent="0.25">
      <c r="C42" s="14" t="s">
        <v>20</v>
      </c>
      <c r="D42" s="5">
        <f>(TINV(D36,D41-1))^2/D41*FINV(D35,D41-1,D38-1)</f>
        <v>0.44109172826862325</v>
      </c>
      <c r="E42" s="15" t="s">
        <v>21</v>
      </c>
    </row>
    <row r="44" spans="2:27" x14ac:dyDescent="0.25">
      <c r="B44" s="18" t="s">
        <v>26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O44" s="18" t="s">
        <v>89</v>
      </c>
      <c r="P44" s="18"/>
      <c r="Q44" s="18"/>
      <c r="R44" s="18"/>
      <c r="S44" s="18"/>
      <c r="T44" s="18"/>
      <c r="U44" s="18"/>
      <c r="V44" s="18"/>
      <c r="W44" s="18"/>
      <c r="X44" s="18"/>
    </row>
    <row r="45" spans="2:27" x14ac:dyDescent="0.25">
      <c r="O45" t="s">
        <v>82</v>
      </c>
      <c r="R45" s="39"/>
    </row>
    <row r="46" spans="2:27" s="20" customFormat="1" x14ac:dyDescent="0.25">
      <c r="B46" s="19"/>
      <c r="C46" s="231" t="s">
        <v>12</v>
      </c>
      <c r="D46" s="231"/>
      <c r="O46" s="40" t="s">
        <v>67</v>
      </c>
      <c r="P46" s="41">
        <v>5</v>
      </c>
      <c r="Q46" t="s">
        <v>98</v>
      </c>
      <c r="R46"/>
      <c r="S46"/>
      <c r="T46"/>
      <c r="U46"/>
      <c r="V46"/>
      <c r="W46"/>
      <c r="X46"/>
      <c r="Y46"/>
      <c r="Z46"/>
      <c r="AA46"/>
    </row>
    <row r="47" spans="2:27" x14ac:dyDescent="0.25">
      <c r="C47" s="37" t="s">
        <v>61</v>
      </c>
      <c r="O47" s="40" t="s">
        <v>68</v>
      </c>
      <c r="P47" s="41">
        <v>10</v>
      </c>
    </row>
    <row r="48" spans="2:27" x14ac:dyDescent="0.25">
      <c r="C48" s="2" t="s">
        <v>27</v>
      </c>
      <c r="D48" s="12">
        <v>5</v>
      </c>
      <c r="E48" t="s">
        <v>36</v>
      </c>
      <c r="O48" s="40" t="s">
        <v>1</v>
      </c>
      <c r="P48" s="30">
        <v>4</v>
      </c>
    </row>
    <row r="49" spans="2:18" x14ac:dyDescent="0.25">
      <c r="B49" s="43" t="s">
        <v>113</v>
      </c>
      <c r="C49" s="2" t="s">
        <v>28</v>
      </c>
      <c r="D49" s="12">
        <v>20</v>
      </c>
      <c r="E49" t="s">
        <v>37</v>
      </c>
      <c r="O49" s="26" t="s">
        <v>4</v>
      </c>
      <c r="P49" s="7">
        <v>0.05</v>
      </c>
      <c r="Q49" s="42"/>
      <c r="R49" s="43"/>
    </row>
    <row r="50" spans="2:18" x14ac:dyDescent="0.25">
      <c r="C50" s="2" t="s">
        <v>31</v>
      </c>
      <c r="D50" s="12">
        <v>5.5000000004140936</v>
      </c>
      <c r="E50" t="s">
        <v>40</v>
      </c>
      <c r="O50" s="26" t="s">
        <v>80</v>
      </c>
      <c r="P50" s="5">
        <f>P47/P46</f>
        <v>2</v>
      </c>
      <c r="Q50" t="s">
        <v>79</v>
      </c>
    </row>
    <row r="51" spans="2:18" x14ac:dyDescent="0.25">
      <c r="C51" s="2" t="s">
        <v>29</v>
      </c>
      <c r="D51" s="4">
        <v>8</v>
      </c>
      <c r="O51" s="9" t="s">
        <v>69</v>
      </c>
      <c r="P51" s="5">
        <f>_xlfn.CHISQ.INV(1-P49,P48-1)</f>
        <v>7.8147279032511774</v>
      </c>
      <c r="Q51" t="s">
        <v>70</v>
      </c>
    </row>
    <row r="52" spans="2:18" x14ac:dyDescent="0.25">
      <c r="B52" s="43" t="s">
        <v>113</v>
      </c>
      <c r="C52" s="2" t="s">
        <v>30</v>
      </c>
      <c r="D52" s="4">
        <v>20</v>
      </c>
      <c r="O52" s="40" t="s">
        <v>83</v>
      </c>
      <c r="P52" s="5">
        <f>P47*(P48-1)/P51</f>
        <v>3.8389052531846999</v>
      </c>
      <c r="Q52" t="s">
        <v>85</v>
      </c>
    </row>
    <row r="53" spans="2:18" x14ac:dyDescent="0.25">
      <c r="C53" s="2" t="s">
        <v>32</v>
      </c>
      <c r="D53" s="4">
        <f>3.16227766^2</f>
        <v>9.9999999989350759</v>
      </c>
      <c r="O53" s="9" t="s">
        <v>72</v>
      </c>
      <c r="P53" s="40" t="str">
        <f>IF(P52&gt;P46,"H1","H0")</f>
        <v>H0</v>
      </c>
      <c r="Q53" t="s">
        <v>87</v>
      </c>
    </row>
    <row r="54" spans="2:18" x14ac:dyDescent="0.25">
      <c r="C54" s="3" t="s">
        <v>41</v>
      </c>
      <c r="D54" s="10">
        <f>(SQRT(((D49-1)*D50+(D52-1)*D53)/(D49+D52-2)))</f>
        <v>2.7838821813565646</v>
      </c>
      <c r="E54" s="1" t="s">
        <v>56</v>
      </c>
      <c r="O54" s="9" t="s">
        <v>74</v>
      </c>
      <c r="P54" s="5">
        <f>P46/P47*P51</f>
        <v>3.9073639516255887</v>
      </c>
      <c r="Q54" s="45" t="s">
        <v>75</v>
      </c>
    </row>
    <row r="55" spans="2:18" x14ac:dyDescent="0.25">
      <c r="C55" s="3" t="s">
        <v>9</v>
      </c>
      <c r="D55" s="5">
        <f>((MAX(D48,D51)-MIN(D48,D51))/D54*SQRT((D49*D52)/(D49+D52)))</f>
        <v>3.4077710055539336</v>
      </c>
      <c r="E55" t="s">
        <v>33</v>
      </c>
      <c r="O55" s="6" t="s">
        <v>3</v>
      </c>
      <c r="P55" s="46">
        <f>CHIDIST(P54,P48-1)</f>
        <v>0.27164245975942408</v>
      </c>
      <c r="Q55" t="s">
        <v>78</v>
      </c>
    </row>
    <row r="56" spans="2:18" x14ac:dyDescent="0.25">
      <c r="C56" s="3" t="s">
        <v>4</v>
      </c>
      <c r="D56" s="7">
        <v>0.05</v>
      </c>
      <c r="E56" t="s">
        <v>50</v>
      </c>
      <c r="O56" s="26" t="s">
        <v>7</v>
      </c>
      <c r="P56" s="8">
        <f>1-P55</f>
        <v>0.72835754024057597</v>
      </c>
      <c r="Q56" s="1" t="s">
        <v>100</v>
      </c>
    </row>
    <row r="57" spans="2:18" x14ac:dyDescent="0.25">
      <c r="C57" s="6" t="s">
        <v>5</v>
      </c>
      <c r="D57" s="5">
        <f>TINV(D56*2,D49+D52-2)</f>
        <v>1.6859544601667387</v>
      </c>
      <c r="E57" t="s">
        <v>101</v>
      </c>
    </row>
    <row r="58" spans="2:18" x14ac:dyDescent="0.25">
      <c r="C58" s="3" t="s">
        <v>64</v>
      </c>
      <c r="D58" s="2" t="str">
        <f>IF(D55&gt;D57, "H1","H0")</f>
        <v>H1</v>
      </c>
      <c r="E58" t="s">
        <v>65</v>
      </c>
      <c r="O58" s="40" t="s">
        <v>67</v>
      </c>
      <c r="P58" s="41">
        <v>10</v>
      </c>
      <c r="Q58" t="s">
        <v>99</v>
      </c>
    </row>
    <row r="59" spans="2:18" x14ac:dyDescent="0.25">
      <c r="C59" s="2" t="s">
        <v>6</v>
      </c>
      <c r="D59" s="5">
        <f>MAX(D55,D57)-MIN(D55,D57)</f>
        <v>1.721816545387195</v>
      </c>
      <c r="E59" s="1" t="s">
        <v>8</v>
      </c>
      <c r="O59" s="40" t="s">
        <v>68</v>
      </c>
      <c r="P59" s="41">
        <v>10</v>
      </c>
    </row>
    <row r="60" spans="2:18" x14ac:dyDescent="0.25">
      <c r="C60" s="2" t="s">
        <v>3</v>
      </c>
      <c r="D60" s="52">
        <f>IF(D55&gt;D57,TDIST(D59,D52+D49-2,1),1-TDIST(D59,D52+D49-2,1))</f>
        <v>4.6617491995423435E-2</v>
      </c>
      <c r="E60" s="1" t="s">
        <v>120</v>
      </c>
      <c r="O60" s="40" t="s">
        <v>1</v>
      </c>
      <c r="P60" s="30">
        <v>10</v>
      </c>
    </row>
    <row r="61" spans="2:18" x14ac:dyDescent="0.25">
      <c r="C61" s="2" t="s">
        <v>7</v>
      </c>
      <c r="D61" s="52">
        <f>1-D60</f>
        <v>0.95338250800457658</v>
      </c>
      <c r="E61" s="1" t="s">
        <v>100</v>
      </c>
      <c r="O61" s="26" t="s">
        <v>4</v>
      </c>
      <c r="P61" s="7">
        <v>0.05</v>
      </c>
      <c r="Q61" s="42"/>
      <c r="R61" s="44"/>
    </row>
    <row r="62" spans="2:18" x14ac:dyDescent="0.25">
      <c r="O62" s="26" t="s">
        <v>80</v>
      </c>
      <c r="P62" s="5">
        <f>P59/P58</f>
        <v>1</v>
      </c>
      <c r="Q62" t="s">
        <v>81</v>
      </c>
    </row>
    <row r="63" spans="2:18" x14ac:dyDescent="0.25">
      <c r="C63" s="232" t="s">
        <v>15</v>
      </c>
      <c r="D63" s="232"/>
      <c r="E63" s="232"/>
      <c r="F63" s="232"/>
      <c r="O63" s="9" t="s">
        <v>71</v>
      </c>
      <c r="P63" s="5">
        <f>_xlfn.CHISQ.INV(P61,P60-1)</f>
        <v>3.3251128430668158</v>
      </c>
      <c r="Q63" t="s">
        <v>70</v>
      </c>
    </row>
    <row r="64" spans="2:18" x14ac:dyDescent="0.25">
      <c r="C64" s="38" t="s">
        <v>66</v>
      </c>
      <c r="O64" s="40" t="s">
        <v>83</v>
      </c>
      <c r="P64" s="5">
        <f>P59*(P60-1)/P63</f>
        <v>27.066750587926293</v>
      </c>
      <c r="Q64" t="s">
        <v>84</v>
      </c>
    </row>
    <row r="65" spans="3:24" x14ac:dyDescent="0.25">
      <c r="C65" s="9" t="s">
        <v>27</v>
      </c>
      <c r="D65" s="4">
        <v>6</v>
      </c>
      <c r="O65" s="63"/>
      <c r="P65" s="5"/>
    </row>
    <row r="66" spans="3:24" x14ac:dyDescent="0.25">
      <c r="C66" s="9" t="s">
        <v>29</v>
      </c>
      <c r="D66" s="4">
        <v>8</v>
      </c>
      <c r="O66" s="9" t="s">
        <v>73</v>
      </c>
      <c r="P66" s="5" t="str">
        <f>IF(P64&lt;P58,"H1","H0")</f>
        <v>H0</v>
      </c>
      <c r="Q66" t="s">
        <v>86</v>
      </c>
    </row>
    <row r="67" spans="3:24" x14ac:dyDescent="0.25">
      <c r="C67" s="3" t="s">
        <v>2</v>
      </c>
      <c r="D67" s="25">
        <f>D54</f>
        <v>2.7838821813565646</v>
      </c>
      <c r="O67" s="9" t="s">
        <v>76</v>
      </c>
      <c r="P67" s="5">
        <f>P58/P59*P63</f>
        <v>3.3251128430668158</v>
      </c>
      <c r="Q67" s="45" t="s">
        <v>75</v>
      </c>
    </row>
    <row r="68" spans="3:24" x14ac:dyDescent="0.25">
      <c r="C68" s="6" t="s">
        <v>126</v>
      </c>
      <c r="D68" s="5">
        <f>(ABS(D66-D65))/D67</f>
        <v>0.71842120812218258</v>
      </c>
      <c r="E68" t="s">
        <v>14</v>
      </c>
      <c r="O68" s="9"/>
      <c r="P68" s="5"/>
      <c r="Q68" s="45"/>
    </row>
    <row r="69" spans="3:24" x14ac:dyDescent="0.25">
      <c r="D69" s="39"/>
      <c r="O69" s="6" t="s">
        <v>3</v>
      </c>
      <c r="P69" s="46">
        <f>CHIDIST(P67,P60-1)</f>
        <v>0.95</v>
      </c>
      <c r="Q69" t="s">
        <v>88</v>
      </c>
    </row>
    <row r="70" spans="3:24" x14ac:dyDescent="0.25">
      <c r="C70" s="6" t="s">
        <v>127</v>
      </c>
      <c r="D70" s="5">
        <f>SQRT(2/D71)*(D73+D75)</f>
        <v>0.71857996163561533</v>
      </c>
      <c r="E70" s="1" t="s">
        <v>128</v>
      </c>
      <c r="O70" s="26" t="s">
        <v>77</v>
      </c>
      <c r="P70" s="8">
        <f>1-P69</f>
        <v>5.0000000000000044E-2</v>
      </c>
      <c r="Q70" s="1" t="s">
        <v>100</v>
      </c>
    </row>
    <row r="71" spans="3:24" x14ac:dyDescent="0.25">
      <c r="C71" s="9" t="s">
        <v>42</v>
      </c>
      <c r="D71" s="66">
        <v>34</v>
      </c>
      <c r="E71" s="11" t="s">
        <v>131</v>
      </c>
    </row>
    <row r="72" spans="3:24" x14ac:dyDescent="0.25">
      <c r="C72" s="3" t="s">
        <v>4</v>
      </c>
      <c r="D72" s="7">
        <v>0.05</v>
      </c>
      <c r="E72" s="11"/>
      <c r="O72" s="18" t="s">
        <v>90</v>
      </c>
      <c r="P72" s="18"/>
      <c r="Q72" s="18"/>
      <c r="R72" s="18"/>
      <c r="S72" s="18"/>
      <c r="T72" s="18"/>
      <c r="U72" s="18"/>
      <c r="V72" s="18"/>
      <c r="W72" s="18"/>
      <c r="X72" s="18"/>
    </row>
    <row r="73" spans="3:24" x14ac:dyDescent="0.25">
      <c r="C73" s="6" t="s">
        <v>5</v>
      </c>
      <c r="D73" s="65">
        <f>TINV(D72*2,2*D71-2)</f>
        <v>1.6682705142276302</v>
      </c>
      <c r="E73" s="1" t="s">
        <v>129</v>
      </c>
    </row>
    <row r="74" spans="3:24" x14ac:dyDescent="0.25">
      <c r="C74" s="2" t="s">
        <v>3</v>
      </c>
      <c r="D74" s="7">
        <v>0.1</v>
      </c>
      <c r="O74" s="40" t="s">
        <v>31</v>
      </c>
      <c r="P74" s="41">
        <v>2</v>
      </c>
      <c r="Q74" t="s">
        <v>97</v>
      </c>
    </row>
    <row r="75" spans="3:24" x14ac:dyDescent="0.25">
      <c r="C75" s="6" t="s">
        <v>6</v>
      </c>
      <c r="D75" s="65">
        <f>TINV(D74*2,2*D71-2)</f>
        <v>1.2945105680482982</v>
      </c>
      <c r="E75" s="1" t="s">
        <v>130</v>
      </c>
      <c r="O75" s="40" t="s">
        <v>28</v>
      </c>
      <c r="P75" s="47">
        <v>3</v>
      </c>
      <c r="Q75" t="s">
        <v>251</v>
      </c>
    </row>
    <row r="76" spans="3:24" x14ac:dyDescent="0.25">
      <c r="O76" s="40" t="s">
        <v>32</v>
      </c>
      <c r="P76" s="41">
        <v>1</v>
      </c>
      <c r="R76" s="107" t="s">
        <v>80</v>
      </c>
      <c r="S76" s="108">
        <f>P74/P76</f>
        <v>2</v>
      </c>
    </row>
    <row r="77" spans="3:24" x14ac:dyDescent="0.25">
      <c r="C77" s="226" t="s">
        <v>43</v>
      </c>
      <c r="D77" s="226"/>
      <c r="E77" s="226"/>
      <c r="F77" s="226"/>
      <c r="G77" s="226"/>
      <c r="H77" s="226"/>
      <c r="I77" s="226"/>
      <c r="J77" s="227" t="s">
        <v>57</v>
      </c>
      <c r="O77" s="40" t="s">
        <v>30</v>
      </c>
      <c r="P77" s="48">
        <v>75</v>
      </c>
    </row>
    <row r="78" spans="3:24" x14ac:dyDescent="0.25">
      <c r="C78" s="38" t="s">
        <v>62</v>
      </c>
      <c r="J78" s="228"/>
      <c r="O78" s="26" t="s">
        <v>4</v>
      </c>
      <c r="P78" s="7">
        <v>0.05</v>
      </c>
      <c r="Q78" s="42"/>
    </row>
    <row r="79" spans="3:24" x14ac:dyDescent="0.25">
      <c r="C79" s="3" t="s">
        <v>47</v>
      </c>
      <c r="D79" s="4">
        <v>2</v>
      </c>
      <c r="E79" t="s">
        <v>23</v>
      </c>
      <c r="J79" s="228"/>
      <c r="O79" s="26" t="s">
        <v>92</v>
      </c>
      <c r="P79" s="158">
        <f>P74/P76</f>
        <v>2</v>
      </c>
      <c r="Q79" t="s">
        <v>94</v>
      </c>
    </row>
    <row r="80" spans="3:24" x14ac:dyDescent="0.25">
      <c r="C80" s="3" t="s">
        <v>48</v>
      </c>
      <c r="D80" s="7">
        <v>0.1</v>
      </c>
      <c r="E80" t="s">
        <v>24</v>
      </c>
      <c r="J80" s="228"/>
      <c r="O80" s="9" t="s">
        <v>91</v>
      </c>
      <c r="P80" s="5">
        <f>FINV(P78,P75-1,P77-1)</f>
        <v>3.1203485108573461</v>
      </c>
      <c r="Q80" t="s">
        <v>96</v>
      </c>
    </row>
    <row r="81" spans="3:17" x14ac:dyDescent="0.25">
      <c r="C81" s="3" t="s">
        <v>4</v>
      </c>
      <c r="D81" s="7">
        <v>0.05</v>
      </c>
      <c r="J81" s="228"/>
      <c r="O81" s="9" t="s">
        <v>93</v>
      </c>
      <c r="P81" s="5">
        <f>P80/P79</f>
        <v>1.5601742554286731</v>
      </c>
      <c r="Q81" t="s">
        <v>95</v>
      </c>
    </row>
    <row r="82" spans="3:17" x14ac:dyDescent="0.25">
      <c r="C82" s="2" t="s">
        <v>41</v>
      </c>
      <c r="D82" s="29">
        <v>2.78</v>
      </c>
      <c r="E82" t="s">
        <v>16</v>
      </c>
      <c r="J82" s="228"/>
      <c r="O82" s="6" t="s">
        <v>7</v>
      </c>
      <c r="P82" s="46">
        <f>FDIST(P81,P75-1,P77-1)</f>
        <v>0.21693081136281345</v>
      </c>
      <c r="Q82" s="109" t="s">
        <v>190</v>
      </c>
    </row>
    <row r="83" spans="3:17" x14ac:dyDescent="0.25">
      <c r="C83" s="2" t="s">
        <v>17</v>
      </c>
      <c r="D83" s="29">
        <v>20</v>
      </c>
      <c r="J83" s="228"/>
      <c r="O83" s="26" t="s">
        <v>3</v>
      </c>
      <c r="P83" s="8">
        <f>1-P82</f>
        <v>0.78306918863718655</v>
      </c>
      <c r="Q83" s="110" t="s">
        <v>191</v>
      </c>
    </row>
    <row r="84" spans="3:17" x14ac:dyDescent="0.25">
      <c r="C84" s="3" t="s">
        <v>53</v>
      </c>
      <c r="D84" s="5">
        <f>(D79/(2*D82))^2</f>
        <v>0.12939288856684439</v>
      </c>
      <c r="E84" t="s">
        <v>22</v>
      </c>
      <c r="J84" s="228"/>
    </row>
    <row r="85" spans="3:17" x14ac:dyDescent="0.25">
      <c r="J85" s="228"/>
    </row>
    <row r="86" spans="3:17" x14ac:dyDescent="0.25">
      <c r="C86" s="9" t="s">
        <v>1</v>
      </c>
      <c r="D86" s="16">
        <v>50</v>
      </c>
      <c r="E86" t="s">
        <v>52</v>
      </c>
      <c r="J86" s="228"/>
    </row>
    <row r="87" spans="3:17" x14ac:dyDescent="0.25">
      <c r="C87" s="14" t="s">
        <v>20</v>
      </c>
      <c r="D87" s="5">
        <f>(TINV(D81,2*D86-2))^2/D86*FINV(D80,2*D86-2,D83-1)</f>
        <v>0.13180308566835056</v>
      </c>
      <c r="E87" s="15" t="s">
        <v>253</v>
      </c>
      <c r="J87" s="229"/>
    </row>
    <row r="90" spans="3:17" x14ac:dyDescent="0.25">
      <c r="C90" s="63" t="s">
        <v>27</v>
      </c>
      <c r="D90" s="64">
        <v>6</v>
      </c>
    </row>
    <row r="91" spans="3:17" x14ac:dyDescent="0.25">
      <c r="C91" s="9" t="s">
        <v>123</v>
      </c>
      <c r="D91" s="64">
        <v>5.5</v>
      </c>
    </row>
    <row r="92" spans="3:17" x14ac:dyDescent="0.25">
      <c r="C92" s="3" t="s">
        <v>29</v>
      </c>
      <c r="D92" s="64">
        <v>8</v>
      </c>
    </row>
    <row r="93" spans="3:17" x14ac:dyDescent="0.25">
      <c r="C93" s="6" t="s">
        <v>124</v>
      </c>
      <c r="D93" s="64">
        <v>10</v>
      </c>
    </row>
    <row r="94" spans="3:17" x14ac:dyDescent="0.25">
      <c r="C94" s="3" t="s">
        <v>125</v>
      </c>
      <c r="D94" s="25">
        <f>D93/D90</f>
        <v>1.6666666666666667</v>
      </c>
    </row>
    <row r="95" spans="3:17" x14ac:dyDescent="0.25">
      <c r="C95" s="9" t="s">
        <v>13</v>
      </c>
      <c r="D95" s="5"/>
    </row>
    <row r="96" spans="3:17" x14ac:dyDescent="0.25">
      <c r="C96" s="63"/>
      <c r="D96" s="7"/>
    </row>
    <row r="97" spans="3:23" x14ac:dyDescent="0.25">
      <c r="C97" s="63"/>
      <c r="D97" s="5"/>
      <c r="W97" t="s">
        <v>250</v>
      </c>
    </row>
    <row r="99" spans="3:23" x14ac:dyDescent="0.25">
      <c r="C99" s="9"/>
      <c r="D99" s="13"/>
    </row>
  </sheetData>
  <mergeCells count="7">
    <mergeCell ref="C77:I77"/>
    <mergeCell ref="J77:J87"/>
    <mergeCell ref="C3:D3"/>
    <mergeCell ref="C46:D46"/>
    <mergeCell ref="C19:F19"/>
    <mergeCell ref="C32:H32"/>
    <mergeCell ref="C63:F6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Puissance</vt:lpstr>
      <vt:lpstr>Capabilité</vt:lpstr>
      <vt:lpstr>moyenne et S²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2014-09-04T07:10:50Z</dcterms:created>
  <dcterms:modified xsi:type="dcterms:W3CDTF">2025-11-15T11:31:13Z</dcterms:modified>
</cp:coreProperties>
</file>