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1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rgan gc\Desktop\EmVisage\Morgan\Statistique\Excel\"/>
    </mc:Choice>
  </mc:AlternateContent>
  <xr:revisionPtr revIDLastSave="0" documentId="13_ncr:1_{A6DF7C08-CAF5-4E0C-9703-92E1AAE23EEB}" xr6:coauthVersionLast="47" xr6:coauthVersionMax="47" xr10:uidLastSave="{00000000-0000-0000-0000-000000000000}"/>
  <bookViews>
    <workbookView xWindow="-120" yWindow="-120" windowWidth="29040" windowHeight="15720" tabRatio="872" activeTab="4" xr2:uid="{00000000-000D-0000-FFFF-FFFF00000000}"/>
  </bookViews>
  <sheets>
    <sheet name="Bilan" sheetId="2" r:id="rId1"/>
    <sheet name="matériel" sheetId="15" r:id="rId2"/>
    <sheet name="linéarité" sheetId="1" r:id="rId3"/>
    <sheet name="justesse" sheetId="8" r:id="rId4"/>
    <sheet name="fidélité" sheetId="9" r:id="rId5"/>
    <sheet name="robustesse" sheetId="3" r:id="rId6"/>
    <sheet name="LOQLOD" sheetId="6" r:id="rId7"/>
    <sheet name="inter-operators" sheetId="20" r:id="rId8"/>
    <sheet name="system suitability" sheetId="14" r:id="rId9"/>
    <sheet name="stabilité" sheetId="7" r:id="rId10"/>
    <sheet name="sensibilité" sheetId="17" r:id="rId11"/>
    <sheet name="Risque" sheetId="18" r:id="rId12"/>
    <sheet name="Sheet1" sheetId="19" r:id="rId13"/>
  </sheets>
  <externalReferences>
    <externalReference r:id="rId14"/>
  </externalReferences>
  <definedNames>
    <definedName name="ANALYTES">'[1]validation de méthode'!$AD$6:$AD$461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94" i="3" l="1"/>
  <c r="B38" i="3"/>
  <c r="K38" i="3"/>
  <c r="D13" i="20" l="1"/>
  <c r="E13" i="20" l="1"/>
  <c r="C13" i="20"/>
  <c r="I8" i="20" l="1"/>
  <c r="D12" i="20" l="1"/>
  <c r="E12" i="20"/>
  <c r="C12" i="20"/>
  <c r="I9" i="20" s="1"/>
  <c r="I11" i="20" l="1"/>
  <c r="I12" i="20"/>
  <c r="I5" i="20"/>
  <c r="F19" i="7" l="1"/>
  <c r="F13" i="7"/>
  <c r="C18" i="7"/>
  <c r="C17" i="7"/>
  <c r="D18" i="7" s="1"/>
  <c r="F18" i="7" s="1"/>
  <c r="C16" i="7"/>
  <c r="D17" i="7" s="1"/>
  <c r="G13" i="7"/>
  <c r="D16" i="7"/>
  <c r="E16" i="7"/>
  <c r="G16" i="7"/>
  <c r="G17" i="7" s="1"/>
  <c r="J17" i="7" s="1"/>
  <c r="E17" i="7"/>
  <c r="E18" i="7"/>
  <c r="G19" i="7"/>
  <c r="J19" i="7" s="1"/>
  <c r="H13" i="7" l="1"/>
  <c r="F17" i="7"/>
  <c r="K17" i="7" s="1"/>
  <c r="K19" i="7"/>
  <c r="F16" i="7"/>
  <c r="F14" i="7" s="1"/>
  <c r="H19" i="7"/>
  <c r="G18" i="7"/>
  <c r="J18" i="7" s="1"/>
  <c r="H18" i="7"/>
  <c r="K18" i="7"/>
  <c r="H17" i="7"/>
  <c r="K16" i="7" l="1"/>
  <c r="H16" i="7"/>
  <c r="I19" i="7" s="1"/>
  <c r="G14" i="7"/>
  <c r="H14" i="7" s="1"/>
  <c r="I14" i="7" s="1"/>
  <c r="K14" i="7"/>
  <c r="F15" i="7"/>
  <c r="K15" i="7" s="1"/>
  <c r="K13" i="7" s="1"/>
  <c r="G15" i="7" l="1"/>
  <c r="J14" i="7"/>
  <c r="I18" i="7"/>
  <c r="I17" i="7"/>
  <c r="G8" i="7"/>
  <c r="G7" i="7"/>
  <c r="K40" i="3" l="1"/>
  <c r="D38" i="3" l="1"/>
  <c r="E38" i="3"/>
  <c r="F38" i="3"/>
  <c r="G38" i="3"/>
  <c r="H38" i="3"/>
  <c r="I38" i="3"/>
  <c r="E84" i="3"/>
  <c r="J38" i="3"/>
  <c r="K42" i="3"/>
  <c r="K41" i="3"/>
  <c r="K39" i="3"/>
  <c r="G70" i="1" l="1"/>
  <c r="F9" i="7" l="1"/>
  <c r="E9" i="7"/>
  <c r="C42" i="3" l="1"/>
  <c r="F126" i="3"/>
  <c r="E126" i="3" l="1"/>
  <c r="E127" i="3"/>
  <c r="E116" i="3"/>
  <c r="I42" i="3" l="1"/>
  <c r="E42" i="3"/>
  <c r="D42" i="3"/>
  <c r="D119" i="3" s="1"/>
  <c r="E119" i="3" s="1"/>
  <c r="J42" i="3" l="1"/>
  <c r="D125" i="3" s="1"/>
  <c r="D124" i="3" l="1"/>
  <c r="E124" i="3" s="1"/>
  <c r="G42" i="3"/>
  <c r="D122" i="3" s="1"/>
  <c r="E122" i="3" s="1"/>
  <c r="H42" i="3"/>
  <c r="D123" i="3" s="1"/>
  <c r="E123" i="3" s="1"/>
  <c r="F42" i="3"/>
  <c r="D121" i="3" s="1"/>
  <c r="E121" i="3" s="1"/>
  <c r="D120" i="3"/>
  <c r="E120" i="3" s="1"/>
  <c r="C30" i="8" l="1"/>
  <c r="C13" i="14"/>
  <c r="C7" i="14"/>
  <c r="C8" i="14"/>
  <c r="C9" i="14"/>
  <c r="C11" i="14" l="1"/>
  <c r="C15" i="14"/>
  <c r="C10" i="14"/>
  <c r="C18" i="14"/>
  <c r="C14" i="14"/>
  <c r="C17" i="14"/>
  <c r="C16" i="14"/>
  <c r="C12" i="14"/>
  <c r="D7" i="14" s="1"/>
  <c r="E7" i="14" s="1"/>
  <c r="G7" i="14" s="1"/>
  <c r="L102" i="3"/>
  <c r="L103" i="3"/>
  <c r="O103" i="3" s="1"/>
  <c r="L104" i="3"/>
  <c r="O104" i="3" s="1"/>
  <c r="L105" i="3"/>
  <c r="O105" i="3" s="1"/>
  <c r="L106" i="3"/>
  <c r="O106" i="3" s="1"/>
  <c r="L111" i="3"/>
  <c r="C102" i="3"/>
  <c r="C118" i="3" s="1"/>
  <c r="C103" i="3"/>
  <c r="C119" i="3" s="1"/>
  <c r="F119" i="3" s="1"/>
  <c r="C104" i="3"/>
  <c r="C120" i="3" s="1"/>
  <c r="F120" i="3" s="1"/>
  <c r="C105" i="3"/>
  <c r="C121" i="3" s="1"/>
  <c r="F121" i="3" s="1"/>
  <c r="C106" i="3"/>
  <c r="C122" i="3" s="1"/>
  <c r="F122" i="3" s="1"/>
  <c r="C111" i="3"/>
  <c r="C127" i="3" s="1"/>
  <c r="L88" i="3"/>
  <c r="O88" i="3" s="1"/>
  <c r="L89" i="3"/>
  <c r="O89" i="3" s="1"/>
  <c r="L90" i="3"/>
  <c r="O90" i="3" s="1"/>
  <c r="L95" i="3"/>
  <c r="L87" i="3"/>
  <c r="O87" i="3" s="1"/>
  <c r="D23" i="3"/>
  <c r="J40" i="3"/>
  <c r="D109" i="3" s="1"/>
  <c r="J41" i="3"/>
  <c r="M109" i="3" s="1"/>
  <c r="J39" i="3"/>
  <c r="M93" i="3" s="1"/>
  <c r="U22" i="3"/>
  <c r="V22" i="3"/>
  <c r="W22" i="3"/>
  <c r="X22" i="3"/>
  <c r="E110" i="3" l="1"/>
  <c r="F106" i="3"/>
  <c r="F105" i="3"/>
  <c r="F103" i="3"/>
  <c r="F104" i="3"/>
  <c r="H41" i="3"/>
  <c r="M107" i="3" s="1"/>
  <c r="G41" i="3"/>
  <c r="M106" i="3" s="1"/>
  <c r="F41" i="3"/>
  <c r="M105" i="3" s="1"/>
  <c r="F40" i="3"/>
  <c r="F39" i="3"/>
  <c r="M89" i="3" s="1"/>
  <c r="E41" i="3"/>
  <c r="M104" i="3" s="1"/>
  <c r="E40" i="3"/>
  <c r="E39" i="3"/>
  <c r="M88" i="3" s="1"/>
  <c r="D41" i="3"/>
  <c r="M103" i="3" s="1"/>
  <c r="D40" i="3"/>
  <c r="D39" i="3"/>
  <c r="M87" i="3" s="1"/>
  <c r="C40" i="3"/>
  <c r="C39" i="3"/>
  <c r="E100" i="3"/>
  <c r="H40" i="3"/>
  <c r="D107" i="3" s="1"/>
  <c r="I40" i="3"/>
  <c r="D108" i="3" s="1"/>
  <c r="I41" i="3"/>
  <c r="M108" i="3" s="1"/>
  <c r="G40" i="3"/>
  <c r="D106" i="3" s="1"/>
  <c r="H39" i="3"/>
  <c r="M91" i="3" s="1"/>
  <c r="I39" i="3"/>
  <c r="M92" i="3" s="1"/>
  <c r="G39" i="3"/>
  <c r="M90" i="3" s="1"/>
  <c r="J110" i="3" l="1"/>
  <c r="D105" i="3"/>
  <c r="D104" i="3"/>
  <c r="D103" i="3"/>
  <c r="D32" i="1" l="1"/>
  <c r="D33" i="1" s="1"/>
  <c r="E53" i="14"/>
  <c r="H53" i="14" s="1"/>
  <c r="E52" i="14" s="1"/>
  <c r="H52" i="14" s="1"/>
  <c r="E51" i="14" s="1"/>
  <c r="E50" i="14" s="1"/>
  <c r="E49" i="14" s="1"/>
  <c r="E48" i="14" s="1"/>
  <c r="E47" i="14" s="1"/>
  <c r="E46" i="14" s="1"/>
  <c r="C46" i="14"/>
  <c r="C42" i="14"/>
  <c r="C41" i="14"/>
  <c r="D13" i="14" s="1"/>
  <c r="D34" i="1" l="1"/>
  <c r="E34" i="1" s="1"/>
  <c r="G133" i="1" s="1"/>
  <c r="E33" i="1"/>
  <c r="G132" i="1" s="1"/>
  <c r="D35" i="1"/>
  <c r="D29" i="1"/>
  <c r="E29" i="1" s="1"/>
  <c r="D38" i="1"/>
  <c r="E32" i="1"/>
  <c r="G131" i="1" s="1"/>
  <c r="E55" i="14"/>
  <c r="H55" i="14" s="1"/>
  <c r="E54" i="14" s="1"/>
  <c r="H54" i="14" s="1"/>
  <c r="D42" i="14"/>
  <c r="E13" i="14"/>
  <c r="G13" i="14" s="1"/>
  <c r="F46" i="14"/>
  <c r="H46" i="14" s="1"/>
  <c r="D41" i="14"/>
  <c r="Y22" i="3"/>
  <c r="Z22" i="3"/>
  <c r="AA22" i="3"/>
  <c r="D30" i="1" l="1"/>
  <c r="D31" i="1" s="1"/>
  <c r="E31" i="1" s="1"/>
  <c r="E38" i="1"/>
  <c r="D39" i="1"/>
  <c r="E39" i="1" s="1"/>
  <c r="D36" i="1"/>
  <c r="E35" i="1"/>
  <c r="F32" i="1"/>
  <c r="D26" i="1"/>
  <c r="E26" i="1" s="1"/>
  <c r="D40" i="1"/>
  <c r="E40" i="1" s="1"/>
  <c r="E41" i="14"/>
  <c r="G41" i="14" s="1"/>
  <c r="J29" i="1"/>
  <c r="D22" i="3"/>
  <c r="D27" i="3" s="1"/>
  <c r="D32" i="3" s="1"/>
  <c r="E22" i="3"/>
  <c r="E27" i="3" s="1"/>
  <c r="E32" i="3" s="1"/>
  <c r="F22" i="3"/>
  <c r="F27" i="3" s="1"/>
  <c r="F32" i="3" s="1"/>
  <c r="G22" i="3"/>
  <c r="G27" i="3" s="1"/>
  <c r="G32" i="3" s="1"/>
  <c r="H22" i="3"/>
  <c r="H27" i="3" s="1"/>
  <c r="H32" i="3" s="1"/>
  <c r="I22" i="3"/>
  <c r="I27" i="3" s="1"/>
  <c r="I32" i="3" s="1"/>
  <c r="C22" i="3"/>
  <c r="C27" i="3" s="1"/>
  <c r="C32" i="3" s="1"/>
  <c r="E30" i="1" l="1"/>
  <c r="J32" i="1"/>
  <c r="D27" i="1"/>
  <c r="D28" i="1" s="1"/>
  <c r="F29" i="1"/>
  <c r="F38" i="1"/>
  <c r="D37" i="1"/>
  <c r="E37" i="1" s="1"/>
  <c r="E36" i="1"/>
  <c r="J38" i="1"/>
  <c r="K38" i="1" s="1"/>
  <c r="E17" i="8" s="1"/>
  <c r="F17" i="8" s="1"/>
  <c r="J35" i="1"/>
  <c r="J36" i="1" s="1"/>
  <c r="K32" i="1"/>
  <c r="J30" i="1"/>
  <c r="K30" i="1" s="1"/>
  <c r="E9" i="8" s="1"/>
  <c r="K29" i="1"/>
  <c r="E8" i="8" s="1"/>
  <c r="F8" i="8" s="1"/>
  <c r="J26" i="1"/>
  <c r="L6" i="2"/>
  <c r="E27" i="1" l="1"/>
  <c r="E11" i="8"/>
  <c r="F11" i="8" s="1"/>
  <c r="D5" i="9"/>
  <c r="J33" i="1"/>
  <c r="K33" i="1" s="1"/>
  <c r="C5" i="9"/>
  <c r="C6" i="9" s="1"/>
  <c r="C7" i="9" s="1"/>
  <c r="C8" i="9" s="1"/>
  <c r="C9" i="9" s="1"/>
  <c r="C10" i="9" s="1"/>
  <c r="C11" i="9" s="1"/>
  <c r="C12" i="9" s="1"/>
  <c r="C13" i="9" s="1"/>
  <c r="C14" i="9" s="1"/>
  <c r="C15" i="9" s="1"/>
  <c r="C16" i="9" s="1"/>
  <c r="C17" i="9" s="1"/>
  <c r="C18" i="9" s="1"/>
  <c r="C19" i="9" s="1"/>
  <c r="C20" i="9" s="1"/>
  <c r="C21" i="9" s="1"/>
  <c r="C22" i="9" s="1"/>
  <c r="Q32" i="1"/>
  <c r="D10" i="9" s="1"/>
  <c r="N32" i="1"/>
  <c r="D7" i="9" s="1"/>
  <c r="M32" i="1"/>
  <c r="D6" i="9" s="1"/>
  <c r="P32" i="1"/>
  <c r="D9" i="9" s="1"/>
  <c r="O32" i="1"/>
  <c r="D8" i="9" s="1"/>
  <c r="J31" i="1"/>
  <c r="K31" i="1" s="1"/>
  <c r="L29" i="1" s="1"/>
  <c r="K35" i="1"/>
  <c r="E14" i="8" s="1"/>
  <c r="F14" i="8" s="1"/>
  <c r="F35" i="1"/>
  <c r="J39" i="1"/>
  <c r="J40" i="1" s="1"/>
  <c r="K40" i="1" s="1"/>
  <c r="E19" i="8" s="1"/>
  <c r="F19" i="8" s="1"/>
  <c r="E28" i="1"/>
  <c r="F26" i="1" s="1"/>
  <c r="K26" i="1"/>
  <c r="E5" i="8" s="1"/>
  <c r="J27" i="1"/>
  <c r="J28" i="1" s="1"/>
  <c r="J37" i="1"/>
  <c r="K37" i="1" s="1"/>
  <c r="E16" i="8" s="1"/>
  <c r="F16" i="8" s="1"/>
  <c r="K36" i="1"/>
  <c r="E15" i="8" s="1"/>
  <c r="K39" i="1"/>
  <c r="E18" i="8" s="1"/>
  <c r="C29" i="9"/>
  <c r="D10" i="8" l="1"/>
  <c r="E12" i="8"/>
  <c r="D11" i="9"/>
  <c r="E5" i="9"/>
  <c r="F5" i="9"/>
  <c r="E10" i="8"/>
  <c r="F10" i="8" s="1"/>
  <c r="G10" i="8" s="1"/>
  <c r="C28" i="9"/>
  <c r="D71" i="1"/>
  <c r="J34" i="1"/>
  <c r="N33" i="1"/>
  <c r="D13" i="9" s="1"/>
  <c r="P33" i="1"/>
  <c r="D15" i="9" s="1"/>
  <c r="M33" i="1"/>
  <c r="D12" i="9" s="1"/>
  <c r="Q33" i="1"/>
  <c r="D16" i="9" s="1"/>
  <c r="O33" i="1"/>
  <c r="D14" i="9" s="1"/>
  <c r="C84" i="1"/>
  <c r="C43" i="1" a="1"/>
  <c r="C43" i="1" s="1"/>
  <c r="K27" i="1"/>
  <c r="E6" i="8" s="1"/>
  <c r="D87" i="1"/>
  <c r="D84" i="1"/>
  <c r="F84" i="1"/>
  <c r="L38" i="1"/>
  <c r="L35" i="1"/>
  <c r="D19" i="8"/>
  <c r="G19" i="8" s="1"/>
  <c r="D16" i="8"/>
  <c r="G16" i="8" s="1"/>
  <c r="K28" i="1"/>
  <c r="D87" i="3"/>
  <c r="C38" i="3"/>
  <c r="C85" i="3"/>
  <c r="K16" i="2"/>
  <c r="K17" i="2" s="1"/>
  <c r="E18" i="2"/>
  <c r="B91" i="3"/>
  <c r="B92" i="3"/>
  <c r="K34" i="1" l="1"/>
  <c r="O34" i="1"/>
  <c r="D20" i="9" s="1"/>
  <c r="M34" i="1"/>
  <c r="D18" i="9" s="1"/>
  <c r="N34" i="1"/>
  <c r="D19" i="9" s="1"/>
  <c r="P34" i="1"/>
  <c r="D21" i="9" s="1"/>
  <c r="Q34" i="1"/>
  <c r="D22" i="9" s="1"/>
  <c r="D13" i="8"/>
  <c r="E11" i="9"/>
  <c r="F11" i="9"/>
  <c r="I43" i="1" a="1"/>
  <c r="I44" i="1" s="1"/>
  <c r="C46" i="1"/>
  <c r="D45" i="1"/>
  <c r="E5" i="17" s="1"/>
  <c r="C47" i="1"/>
  <c r="D47" i="1"/>
  <c r="D46" i="1"/>
  <c r="C45" i="1"/>
  <c r="D43" i="1"/>
  <c r="C44" i="1"/>
  <c r="D44" i="1"/>
  <c r="L26" i="1"/>
  <c r="D94" i="1"/>
  <c r="F94" i="1"/>
  <c r="C94" i="1"/>
  <c r="D97" i="1"/>
  <c r="E7" i="8"/>
  <c r="F7" i="8" s="1"/>
  <c r="E87" i="3"/>
  <c r="C92" i="3"/>
  <c r="K108" i="3"/>
  <c r="K92" i="3"/>
  <c r="B108" i="3"/>
  <c r="B124" i="3" s="1"/>
  <c r="B107" i="3"/>
  <c r="B123" i="3" s="1"/>
  <c r="K107" i="3"/>
  <c r="K91" i="3"/>
  <c r="L101" i="3"/>
  <c r="C101" i="3"/>
  <c r="E106" i="3"/>
  <c r="J106" i="3" s="1"/>
  <c r="L85" i="3"/>
  <c r="C91" i="3"/>
  <c r="F92" i="3"/>
  <c r="E8" i="6"/>
  <c r="I16" i="6" s="1"/>
  <c r="C24" i="8"/>
  <c r="J45" i="1" l="1"/>
  <c r="J47" i="1"/>
  <c r="J44" i="1"/>
  <c r="I43" i="1"/>
  <c r="C123" i="1"/>
  <c r="J46" i="1"/>
  <c r="F106" i="1" s="1"/>
  <c r="I46" i="1"/>
  <c r="I47" i="1"/>
  <c r="J43" i="1"/>
  <c r="M57" i="1" s="1"/>
  <c r="I45" i="1"/>
  <c r="E13" i="8"/>
  <c r="F13" i="8" s="1"/>
  <c r="G13" i="8" s="1"/>
  <c r="D17" i="9"/>
  <c r="L32" i="1"/>
  <c r="M55" i="1"/>
  <c r="L50" i="1"/>
  <c r="M51" i="1"/>
  <c r="F8" i="6"/>
  <c r="G121" i="3"/>
  <c r="G122" i="3"/>
  <c r="G119" i="3"/>
  <c r="G120" i="3"/>
  <c r="N108" i="3"/>
  <c r="E107" i="3"/>
  <c r="J107" i="3" s="1"/>
  <c r="E108" i="3"/>
  <c r="J108" i="3" s="1"/>
  <c r="N107" i="3"/>
  <c r="L108" i="3"/>
  <c r="O108" i="3" s="1"/>
  <c r="C108" i="3"/>
  <c r="C124" i="3" s="1"/>
  <c r="F124" i="3" s="1"/>
  <c r="L92" i="3"/>
  <c r="O92" i="3" s="1"/>
  <c r="F91" i="3"/>
  <c r="L107" i="3"/>
  <c r="O107" i="3" s="1"/>
  <c r="C107" i="3"/>
  <c r="C123" i="3" s="1"/>
  <c r="F123" i="3" s="1"/>
  <c r="L91" i="3"/>
  <c r="O91" i="3" s="1"/>
  <c r="M60" i="1" l="1"/>
  <c r="L54" i="1"/>
  <c r="M64" i="1"/>
  <c r="L53" i="1"/>
  <c r="C117" i="1"/>
  <c r="G111" i="1"/>
  <c r="M52" i="1"/>
  <c r="L64" i="1"/>
  <c r="M56" i="1"/>
  <c r="M50" i="1"/>
  <c r="M59" i="1"/>
  <c r="M54" i="1"/>
  <c r="M63" i="1"/>
  <c r="M53" i="1"/>
  <c r="L59" i="1"/>
  <c r="L62" i="1"/>
  <c r="M62" i="1"/>
  <c r="L60" i="1"/>
  <c r="L63" i="1"/>
  <c r="L61" i="1"/>
  <c r="M61" i="1"/>
  <c r="F17" i="9"/>
  <c r="E17" i="9"/>
  <c r="L56" i="1"/>
  <c r="L51" i="1"/>
  <c r="L58" i="1"/>
  <c r="M58" i="1"/>
  <c r="L52" i="1"/>
  <c r="L55" i="1"/>
  <c r="L57" i="1"/>
  <c r="G123" i="3"/>
  <c r="G124" i="3"/>
  <c r="P108" i="3"/>
  <c r="F107" i="3"/>
  <c r="G107" i="3" s="1"/>
  <c r="F108" i="3"/>
  <c r="G108" i="3" s="1"/>
  <c r="P107" i="3"/>
  <c r="C27" i="9" l="1"/>
  <c r="C35" i="9"/>
  <c r="C36" i="9" s="1"/>
  <c r="G22" i="6"/>
  <c r="J19" i="2" s="1"/>
  <c r="D8" i="8" l="1"/>
  <c r="G8" i="8" s="1"/>
  <c r="D11" i="8"/>
  <c r="G11" i="8" s="1"/>
  <c r="D14" i="8"/>
  <c r="G14" i="8" s="1"/>
  <c r="D5" i="8"/>
  <c r="D17" i="8"/>
  <c r="G17" i="8" s="1"/>
  <c r="D12" i="8"/>
  <c r="D7" i="8" l="1"/>
  <c r="G7" i="8" s="1"/>
  <c r="D6" i="8"/>
  <c r="D18" i="8"/>
  <c r="D15" i="8"/>
  <c r="D9" i="8"/>
  <c r="E8" i="17" l="1"/>
  <c r="E19" i="2" l="1"/>
  <c r="J16" i="2"/>
  <c r="D22" i="6" l="1"/>
  <c r="J17" i="2"/>
  <c r="B93" i="3"/>
  <c r="B90" i="3"/>
  <c r="B89" i="3"/>
  <c r="B88" i="3"/>
  <c r="B87" i="3"/>
  <c r="F90" i="3"/>
  <c r="F89" i="3"/>
  <c r="F88" i="3"/>
  <c r="F87" i="3"/>
  <c r="I31" i="3"/>
  <c r="I30" i="3"/>
  <c r="I28" i="3"/>
  <c r="D31" i="3"/>
  <c r="E31" i="3"/>
  <c r="F31" i="3"/>
  <c r="G31" i="3"/>
  <c r="H31" i="3"/>
  <c r="C31" i="3"/>
  <c r="H30" i="3"/>
  <c r="G30" i="3"/>
  <c r="F30" i="3"/>
  <c r="E30" i="3"/>
  <c r="D30" i="3"/>
  <c r="C30" i="3"/>
  <c r="I29" i="3"/>
  <c r="H29" i="3"/>
  <c r="G29" i="3"/>
  <c r="F29" i="3"/>
  <c r="E29" i="3"/>
  <c r="D29" i="3"/>
  <c r="C29" i="3"/>
  <c r="H28" i="3"/>
  <c r="G28" i="3"/>
  <c r="F28" i="3"/>
  <c r="E28" i="3"/>
  <c r="D28" i="3"/>
  <c r="C28" i="3"/>
  <c r="I26" i="3"/>
  <c r="H26" i="3"/>
  <c r="G26" i="3"/>
  <c r="F26" i="3"/>
  <c r="E26" i="3"/>
  <c r="D26" i="3"/>
  <c r="C26" i="3"/>
  <c r="I25" i="3"/>
  <c r="H25" i="3"/>
  <c r="G25" i="3"/>
  <c r="F25" i="3"/>
  <c r="E25" i="3"/>
  <c r="D25" i="3"/>
  <c r="C25" i="3"/>
  <c r="I24" i="3"/>
  <c r="H24" i="3"/>
  <c r="G24" i="3"/>
  <c r="F24" i="3"/>
  <c r="E24" i="3"/>
  <c r="D24" i="3"/>
  <c r="C24" i="3"/>
  <c r="I23" i="3"/>
  <c r="H23" i="3"/>
  <c r="G23" i="3"/>
  <c r="F23" i="3"/>
  <c r="E23" i="3"/>
  <c r="C23" i="3"/>
  <c r="D23" i="6" l="1"/>
  <c r="E22" i="6"/>
  <c r="K106" i="3"/>
  <c r="K90" i="3"/>
  <c r="B106" i="3"/>
  <c r="B122" i="3" s="1"/>
  <c r="K87" i="3"/>
  <c r="B103" i="3"/>
  <c r="B119" i="3" s="1"/>
  <c r="K103" i="3"/>
  <c r="K104" i="3"/>
  <c r="K88" i="3"/>
  <c r="B104" i="3"/>
  <c r="B120" i="3" s="1"/>
  <c r="B109" i="3"/>
  <c r="B125" i="3" s="1"/>
  <c r="K109" i="3"/>
  <c r="K93" i="3"/>
  <c r="K105" i="3"/>
  <c r="K89" i="3"/>
  <c r="B105" i="3"/>
  <c r="B121" i="3" s="1"/>
  <c r="D93" i="3"/>
  <c r="B31" i="2"/>
  <c r="E93" i="3"/>
  <c r="G93" i="3" s="1"/>
  <c r="C93" i="3"/>
  <c r="F93" i="3" s="1"/>
  <c r="J93" i="3" l="1"/>
  <c r="E125" i="3"/>
  <c r="E117" i="3" s="1"/>
  <c r="D24" i="6"/>
  <c r="E23" i="6"/>
  <c r="F43" i="9"/>
  <c r="E43" i="9"/>
  <c r="N109" i="3"/>
  <c r="E109" i="3"/>
  <c r="J109" i="3" s="1"/>
  <c r="L93" i="3"/>
  <c r="O93" i="3" s="1"/>
  <c r="C109" i="3"/>
  <c r="C125" i="3" s="1"/>
  <c r="F125" i="3" s="1"/>
  <c r="L109" i="3"/>
  <c r="O109" i="3" s="1"/>
  <c r="D35" i="9"/>
  <c r="B43" i="9" s="1"/>
  <c r="C37" i="9"/>
  <c r="O101" i="3" l="1"/>
  <c r="P109" i="3"/>
  <c r="F117" i="3"/>
  <c r="G117" i="3" s="1"/>
  <c r="G125" i="3"/>
  <c r="O85" i="3"/>
  <c r="F109" i="3"/>
  <c r="G109" i="3"/>
  <c r="J125" i="3"/>
  <c r="E118" i="3"/>
  <c r="D25" i="6"/>
  <c r="E24" i="6"/>
  <c r="D37" i="9"/>
  <c r="B44" i="9" s="1"/>
  <c r="F44" i="9"/>
  <c r="E44" i="9"/>
  <c r="F85" i="3"/>
  <c r="F101" i="3" l="1"/>
  <c r="D26" i="6"/>
  <c r="E25" i="6"/>
  <c r="H21" i="3"/>
  <c r="I37" i="3" s="1"/>
  <c r="I21" i="3"/>
  <c r="J37" i="3" s="1"/>
  <c r="G21" i="3"/>
  <c r="H37" i="3" s="1"/>
  <c r="D27" i="6" l="1"/>
  <c r="E27" i="6" s="1"/>
  <c r="E26" i="6"/>
  <c r="F21" i="3"/>
  <c r="G37" i="3" s="1"/>
  <c r="E21" i="3"/>
  <c r="F37" i="3" s="1"/>
  <c r="D21" i="3"/>
  <c r="E37" i="3" s="1"/>
  <c r="C21" i="3"/>
  <c r="D37" i="3" s="1"/>
  <c r="F22" i="6" l="1"/>
  <c r="J18" i="2" s="1"/>
  <c r="G71" i="1"/>
  <c r="C25" i="8" s="1"/>
  <c r="C97" i="1" l="1"/>
  <c r="G97" i="1" s="1"/>
  <c r="C87" i="1"/>
  <c r="G87" i="1" s="1"/>
  <c r="F9" i="8" l="1"/>
  <c r="G9" i="8" s="1"/>
  <c r="F15" i="8"/>
  <c r="G15" i="8" s="1"/>
  <c r="F18" i="8"/>
  <c r="G18" i="8" s="1"/>
  <c r="F12" i="8"/>
  <c r="G12" i="8" s="1"/>
  <c r="F6" i="8"/>
  <c r="G6" i="8" s="1"/>
  <c r="J132" i="1"/>
  <c r="G84" i="1"/>
  <c r="G99" i="1"/>
  <c r="G95" i="1"/>
  <c r="G89" i="1"/>
  <c r="G85" i="1"/>
  <c r="H8" i="8" l="1"/>
  <c r="I8" i="8"/>
  <c r="I17" i="8"/>
  <c r="H17" i="8"/>
  <c r="I14" i="8"/>
  <c r="H14" i="8"/>
  <c r="H11" i="8"/>
  <c r="I11" i="8"/>
  <c r="F5" i="8"/>
  <c r="H84" i="1"/>
  <c r="G94" i="1"/>
  <c r="G96" i="1" s="1"/>
  <c r="J99" i="1" s="1"/>
  <c r="J131" i="1"/>
  <c r="G86" i="1"/>
  <c r="E7" i="17" s="1"/>
  <c r="E87" i="1"/>
  <c r="C106" i="1"/>
  <c r="D106" i="1" s="1"/>
  <c r="E84" i="1"/>
  <c r="F88" i="1"/>
  <c r="H88" i="1" s="1"/>
  <c r="D123" i="1"/>
  <c r="G5" i="8" l="1"/>
  <c r="I5" i="8" s="1"/>
  <c r="C23" i="8" s="1"/>
  <c r="J87" i="1"/>
  <c r="E6" i="17"/>
  <c r="E9" i="17" s="1"/>
  <c r="J71" i="1"/>
  <c r="J85" i="1"/>
  <c r="H94" i="1"/>
  <c r="E94" i="1"/>
  <c r="E97" i="1"/>
  <c r="C107" i="1"/>
  <c r="D107" i="1" s="1"/>
  <c r="C111" i="1" s="1"/>
  <c r="F87" i="1"/>
  <c r="H87" i="1" s="1"/>
  <c r="F98" i="1"/>
  <c r="H98" i="1" s="1"/>
  <c r="J89" i="1"/>
  <c r="J88" i="1"/>
  <c r="K88" i="1"/>
  <c r="J95" i="1"/>
  <c r="J98" i="1"/>
  <c r="J97" i="1"/>
  <c r="D112" i="1" l="1"/>
  <c r="D111" i="1"/>
  <c r="E111" i="1" s="1"/>
  <c r="F111" i="1" s="1"/>
  <c r="D39" i="8"/>
  <c r="D38" i="8"/>
  <c r="E38" i="8" s="1"/>
  <c r="F38" i="8"/>
  <c r="C38" i="8"/>
  <c r="G38" i="8" s="1"/>
  <c r="G40" i="8" s="1"/>
  <c r="J39" i="8" s="1"/>
  <c r="H5" i="8"/>
  <c r="C28" i="8" s="1"/>
  <c r="C29" i="8"/>
  <c r="E106" i="1"/>
  <c r="J13" i="2"/>
  <c r="E39" i="8"/>
  <c r="H38" i="8"/>
  <c r="F89" i="1"/>
  <c r="K89" i="1" s="1"/>
  <c r="C124" i="1"/>
  <c r="D117" i="1"/>
  <c r="F97" i="1"/>
  <c r="F95" i="1" s="1"/>
  <c r="H95" i="1" s="1"/>
  <c r="G106" i="1"/>
  <c r="F85" i="1"/>
  <c r="H85" i="1" s="1"/>
  <c r="K98" i="1"/>
  <c r="F39" i="8" l="1"/>
  <c r="F40" i="8" s="1"/>
  <c r="H40" i="8" s="1"/>
  <c r="E21" i="2"/>
  <c r="C32" i="8"/>
  <c r="F22" i="2" s="1"/>
  <c r="C31" i="8"/>
  <c r="E22" i="2" s="1"/>
  <c r="E117" i="1"/>
  <c r="E17" i="2" s="1"/>
  <c r="H89" i="1"/>
  <c r="K95" i="1"/>
  <c r="F96" i="1"/>
  <c r="K96" i="1" s="1"/>
  <c r="F99" i="1"/>
  <c r="H99" i="1" s="1"/>
  <c r="H97" i="1"/>
  <c r="F86" i="1"/>
  <c r="K86" i="1" s="1"/>
  <c r="K84" i="1" s="1"/>
  <c r="K85" i="1"/>
  <c r="H111" i="1" l="1"/>
  <c r="E16" i="2" s="1"/>
  <c r="K39" i="8"/>
  <c r="K40" i="8"/>
  <c r="H39" i="8"/>
  <c r="H96" i="1"/>
  <c r="I98" i="1" s="1"/>
  <c r="K99" i="1"/>
  <c r="K94" i="1" s="1"/>
  <c r="H86" i="1"/>
  <c r="I87" i="1" s="1"/>
  <c r="I39" i="8" l="1"/>
  <c r="L39" i="8" s="1"/>
  <c r="K38" i="8"/>
  <c r="I97" i="1"/>
  <c r="I99" i="1"/>
  <c r="I95" i="1"/>
  <c r="I89" i="1"/>
  <c r="I88" i="1"/>
  <c r="I85" i="1"/>
  <c r="K21" i="2" l="1"/>
  <c r="J21" i="2"/>
  <c r="J22" i="2"/>
  <c r="K22" i="2" l="1"/>
  <c r="D89" i="3" l="1"/>
  <c r="D92" i="3"/>
  <c r="D91" i="3"/>
  <c r="N104" i="3" l="1"/>
  <c r="N106" i="3"/>
  <c r="N103" i="3"/>
  <c r="N105" i="3"/>
  <c r="E104" i="3"/>
  <c r="J104" i="3" s="1"/>
  <c r="E103" i="3"/>
  <c r="J103" i="3" s="1"/>
  <c r="E105" i="3"/>
  <c r="J105" i="3" s="1"/>
  <c r="N93" i="3"/>
  <c r="N88" i="3"/>
  <c r="N87" i="3"/>
  <c r="N91" i="3"/>
  <c r="N90" i="3"/>
  <c r="N92" i="3"/>
  <c r="N89" i="3"/>
  <c r="E92" i="3"/>
  <c r="E89" i="3"/>
  <c r="G89" i="3" s="1"/>
  <c r="E91" i="3"/>
  <c r="P103" i="3" l="1"/>
  <c r="N101" i="3"/>
  <c r="P101" i="3" s="1"/>
  <c r="P105" i="3"/>
  <c r="P106" i="3"/>
  <c r="P104" i="3"/>
  <c r="G106" i="3"/>
  <c r="G105" i="3"/>
  <c r="G103" i="3"/>
  <c r="E101" i="3"/>
  <c r="G104" i="3"/>
  <c r="P93" i="3"/>
  <c r="P89" i="3"/>
  <c r="P87" i="3"/>
  <c r="N85" i="3"/>
  <c r="P90" i="3"/>
  <c r="P91" i="3"/>
  <c r="P92" i="3"/>
  <c r="P88" i="3"/>
  <c r="D90" i="3"/>
  <c r="G92" i="3"/>
  <c r="G87" i="3"/>
  <c r="G91" i="3"/>
  <c r="G101" i="3" l="1"/>
  <c r="P85" i="3"/>
  <c r="E90" i="3"/>
  <c r="G90" i="3" s="1"/>
  <c r="D88" i="3" l="1"/>
  <c r="E88" i="3" l="1"/>
  <c r="E85" i="3" l="1"/>
  <c r="G85" i="3" s="1"/>
  <c r="G88" i="3"/>
  <c r="J101" i="3" l="1"/>
  <c r="K76" i="3" s="1"/>
  <c r="J87" i="3" l="1"/>
  <c r="C84" i="3" l="1"/>
  <c r="F84" i="3" s="1"/>
  <c r="F86" i="3" s="1"/>
  <c r="J94" i="3"/>
  <c r="C94" i="3"/>
  <c r="E95" i="3" s="1"/>
  <c r="J89" i="3"/>
  <c r="J92" i="3"/>
  <c r="J90" i="3"/>
  <c r="J88" i="3"/>
  <c r="J91" i="3"/>
  <c r="I93" i="3" l="1"/>
  <c r="R109" i="3"/>
  <c r="I125" i="3"/>
  <c r="R93" i="3"/>
  <c r="I109" i="3"/>
  <c r="N94" i="3"/>
  <c r="C100" i="3"/>
  <c r="L100" i="3"/>
  <c r="O100" i="3" s="1"/>
  <c r="O102" i="3" s="1"/>
  <c r="R101" i="3" s="1"/>
  <c r="L84" i="3"/>
  <c r="O84" i="3" s="1"/>
  <c r="O86" i="3" s="1"/>
  <c r="R85" i="3" s="1"/>
  <c r="N84" i="3"/>
  <c r="C110" i="3"/>
  <c r="L110" i="3"/>
  <c r="O110" i="3" s="1"/>
  <c r="R111" i="3" s="1"/>
  <c r="F94" i="3"/>
  <c r="L94" i="3"/>
  <c r="O94" i="3" s="1"/>
  <c r="R95" i="3" s="1"/>
  <c r="N110" i="3"/>
  <c r="N100" i="3"/>
  <c r="S109" i="3" s="1"/>
  <c r="R106" i="3"/>
  <c r="R88" i="3"/>
  <c r="R105" i="3"/>
  <c r="R89" i="3"/>
  <c r="R104" i="3"/>
  <c r="R103" i="3"/>
  <c r="R87" i="3"/>
  <c r="R90" i="3"/>
  <c r="R107" i="3"/>
  <c r="R91" i="3"/>
  <c r="R108" i="3"/>
  <c r="R92" i="3"/>
  <c r="G84" i="3"/>
  <c r="J85" i="3"/>
  <c r="D76" i="3" s="1"/>
  <c r="I91" i="3"/>
  <c r="I90" i="3"/>
  <c r="I108" i="3"/>
  <c r="I105" i="3"/>
  <c r="I88" i="3"/>
  <c r="I107" i="3"/>
  <c r="I85" i="3"/>
  <c r="I104" i="3"/>
  <c r="I87" i="3"/>
  <c r="I106" i="3"/>
  <c r="I103" i="3"/>
  <c r="I92" i="3"/>
  <c r="I89" i="3"/>
  <c r="S89" i="3" l="1"/>
  <c r="S93" i="3"/>
  <c r="S88" i="3"/>
  <c r="E111" i="3"/>
  <c r="E102" i="3" s="1"/>
  <c r="F100" i="3"/>
  <c r="F102" i="3" s="1"/>
  <c r="I101" i="3" s="1"/>
  <c r="F116" i="3"/>
  <c r="P100" i="3"/>
  <c r="P110" i="3"/>
  <c r="S90" i="3"/>
  <c r="P84" i="3"/>
  <c r="S91" i="3"/>
  <c r="S94" i="3"/>
  <c r="S92" i="3"/>
  <c r="S87" i="3"/>
  <c r="N111" i="3"/>
  <c r="S111" i="3" s="1"/>
  <c r="N95" i="3"/>
  <c r="S95" i="3" s="1"/>
  <c r="S108" i="3"/>
  <c r="S106" i="3"/>
  <c r="S105" i="3"/>
  <c r="S104" i="3"/>
  <c r="S107" i="3"/>
  <c r="S103" i="3"/>
  <c r="I95" i="3"/>
  <c r="G94" i="3"/>
  <c r="G95" i="3"/>
  <c r="E86" i="3"/>
  <c r="J95" i="3"/>
  <c r="P94" i="3"/>
  <c r="S110" i="3"/>
  <c r="F110" i="3"/>
  <c r="G111" i="3" l="1"/>
  <c r="J127" i="3"/>
  <c r="J126" i="3"/>
  <c r="J123" i="3"/>
  <c r="J124" i="3"/>
  <c r="J121" i="3"/>
  <c r="J122" i="3"/>
  <c r="J119" i="3"/>
  <c r="J120" i="3"/>
  <c r="G100" i="3"/>
  <c r="I127" i="3"/>
  <c r="G126" i="3"/>
  <c r="F118" i="3"/>
  <c r="G116" i="3"/>
  <c r="J111" i="3"/>
  <c r="P111" i="3"/>
  <c r="Q111" i="3" s="1"/>
  <c r="S85" i="3"/>
  <c r="G76" i="3" s="1"/>
  <c r="N102" i="3"/>
  <c r="S102" i="3" s="1"/>
  <c r="S100" i="3" s="1"/>
  <c r="N86" i="3"/>
  <c r="S86" i="3" s="1"/>
  <c r="S84" i="3" s="1"/>
  <c r="P95" i="3"/>
  <c r="Q95" i="3" s="1"/>
  <c r="I111" i="3"/>
  <c r="G110" i="3"/>
  <c r="G86" i="3"/>
  <c r="J86" i="3"/>
  <c r="J84" i="3" s="1"/>
  <c r="S101" i="3"/>
  <c r="O76" i="3" s="1"/>
  <c r="H95" i="3"/>
  <c r="H93" i="3" l="1"/>
  <c r="Q109" i="3"/>
  <c r="H125" i="3"/>
  <c r="H109" i="3"/>
  <c r="Q93" i="3"/>
  <c r="I117" i="3"/>
  <c r="I119" i="3"/>
  <c r="I122" i="3"/>
  <c r="I121" i="3"/>
  <c r="I120" i="3"/>
  <c r="I123" i="3"/>
  <c r="I124" i="3"/>
  <c r="P86" i="3"/>
  <c r="Q85" i="3" s="1"/>
  <c r="H111" i="3"/>
  <c r="J102" i="3"/>
  <c r="J100" i="3" s="1"/>
  <c r="J117" i="3"/>
  <c r="S76" i="3" s="1"/>
  <c r="G127" i="3"/>
  <c r="H127" i="3" s="1"/>
  <c r="G102" i="3"/>
  <c r="H101" i="3" s="1"/>
  <c r="P102" i="3"/>
  <c r="Q101" i="3" s="1"/>
  <c r="Q108" i="3"/>
  <c r="Q106" i="3"/>
  <c r="H105" i="3"/>
  <c r="Q91" i="3"/>
  <c r="Q103" i="3"/>
  <c r="Q88" i="3"/>
  <c r="Q90" i="3"/>
  <c r="H107" i="3"/>
  <c r="H103" i="3"/>
  <c r="H85" i="3"/>
  <c r="H106" i="3"/>
  <c r="Q87" i="3"/>
  <c r="Q104" i="3"/>
  <c r="H90" i="3"/>
  <c r="H88" i="3"/>
  <c r="H92" i="3"/>
  <c r="H91" i="3"/>
  <c r="Q89" i="3"/>
  <c r="H87" i="3"/>
  <c r="H108" i="3"/>
  <c r="Q107" i="3"/>
  <c r="H89" i="3"/>
  <c r="Q105" i="3"/>
  <c r="Q92" i="3"/>
  <c r="H104" i="3"/>
  <c r="G118" i="3" l="1"/>
  <c r="J118" i="3"/>
  <c r="J116" i="3" s="1"/>
  <c r="H117" i="3" l="1"/>
  <c r="H120" i="3"/>
  <c r="H124" i="3"/>
  <c r="H121" i="3"/>
  <c r="H119" i="3"/>
  <c r="H122" i="3"/>
  <c r="H123" i="3"/>
  <c r="G5" i="7"/>
</calcChain>
</file>

<file path=xl/sharedStrings.xml><?xml version="1.0" encoding="utf-8"?>
<sst xmlns="http://schemas.openxmlformats.org/spreadsheetml/2006/main" count="802" uniqueCount="378">
  <si>
    <t>niveau</t>
  </si>
  <si>
    <t>série 1</t>
  </si>
  <si>
    <t>série 2</t>
  </si>
  <si>
    <t>série 3</t>
  </si>
  <si>
    <t>C 5%</t>
  </si>
  <si>
    <t>moyenne</t>
  </si>
  <si>
    <t>ANOVA</t>
  </si>
  <si>
    <t>SCE</t>
  </si>
  <si>
    <t>ddl</t>
  </si>
  <si>
    <t>CM</t>
  </si>
  <si>
    <t>Fobs</t>
  </si>
  <si>
    <t>R²</t>
  </si>
  <si>
    <t>Sy/x</t>
  </si>
  <si>
    <t>SCEy/x</t>
  </si>
  <si>
    <t>SCEreg</t>
  </si>
  <si>
    <t>gamme étalon</t>
  </si>
  <si>
    <t>x</t>
  </si>
  <si>
    <t>X</t>
  </si>
  <si>
    <t>Y</t>
  </si>
  <si>
    <t>Y1</t>
  </si>
  <si>
    <t>Frég</t>
  </si>
  <si>
    <t>S²</t>
  </si>
  <si>
    <t>C 1%</t>
  </si>
  <si>
    <t>Cobs</t>
  </si>
  <si>
    <t>F5%</t>
  </si>
  <si>
    <t>contribution</t>
  </si>
  <si>
    <t>modèle</t>
  </si>
  <si>
    <t>Identification</t>
  </si>
  <si>
    <t>Origine</t>
  </si>
  <si>
    <t>résiduel</t>
  </si>
  <si>
    <t>S²x/y</t>
  </si>
  <si>
    <t>F crit 5%</t>
  </si>
  <si>
    <t>S²d</t>
  </si>
  <si>
    <t>S²(b1-b2)</t>
  </si>
  <si>
    <t>Tobs</t>
  </si>
  <si>
    <t>Tcrit 5%</t>
  </si>
  <si>
    <t>étalon 100%</t>
  </si>
  <si>
    <t>système retenu :</t>
  </si>
  <si>
    <t xml:space="preserve"> y = ax</t>
  </si>
  <si>
    <t>y = ax + b</t>
  </si>
  <si>
    <t>Z</t>
  </si>
  <si>
    <t>Rdt %</t>
  </si>
  <si>
    <t>C5%</t>
  </si>
  <si>
    <t>C1%</t>
  </si>
  <si>
    <t>Si F concentration &lt; F5%, l'homogénéité des recouvrements est observée</t>
  </si>
  <si>
    <t>contribution%</t>
  </si>
  <si>
    <t>NA</t>
  </si>
  <si>
    <t>contraste</t>
  </si>
  <si>
    <t>TOTAL</t>
  </si>
  <si>
    <t>CV+</t>
  </si>
  <si>
    <t>CV+ est l'incertitude élargie à 95% du CV calculé</t>
  </si>
  <si>
    <t>Introduction</t>
  </si>
  <si>
    <t>ajustement</t>
  </si>
  <si>
    <t>centre</t>
  </si>
  <si>
    <t>Sb</t>
  </si>
  <si>
    <t>total</t>
  </si>
  <si>
    <t>Conclusion</t>
  </si>
  <si>
    <t>série 4</t>
  </si>
  <si>
    <t>série 5</t>
  </si>
  <si>
    <t>série 6</t>
  </si>
  <si>
    <t>LOD</t>
  </si>
  <si>
    <t>LOQ</t>
  </si>
  <si>
    <t>Système de référence retenu</t>
  </si>
  <si>
    <t>Fin</t>
  </si>
  <si>
    <t>Sélectionner le système de référence</t>
  </si>
  <si>
    <t>[</t>
  </si>
  <si>
    <t>unité de la réponse</t>
  </si>
  <si>
    <t>mg/L</t>
  </si>
  <si>
    <t>LOQ retenue</t>
  </si>
  <si>
    <t xml:space="preserve">VALIDATION D'UNE METHODE DE DOSAGE INDIRECTE D'UN ANALYTE DANS UNE FORME PHARMACEUTIQUE </t>
  </si>
  <si>
    <t>]</t>
  </si>
  <si>
    <t>Domaine d'étude</t>
  </si>
  <si>
    <t>échantillon</t>
  </si>
  <si>
    <t>les cases bleues sont à compléter</t>
  </si>
  <si>
    <t>les cases vertes sont préremplies mais peuvent etre modifiées</t>
  </si>
  <si>
    <t>les cases oranges sont des listes déroulantes</t>
  </si>
  <si>
    <t>un résultat vert est un résultat conforme d'un point de vue statistique</t>
  </si>
  <si>
    <t>un résultat rouge est un résultat aberrant</t>
  </si>
  <si>
    <t>un résultat jaune est un résultat suspect</t>
  </si>
  <si>
    <t>Date début</t>
  </si>
  <si>
    <t>Date fin</t>
  </si>
  <si>
    <t>Doc Qual.</t>
  </si>
  <si>
    <t>IP15XXX</t>
  </si>
  <si>
    <t>1.0</t>
  </si>
  <si>
    <t>Excel V.</t>
  </si>
  <si>
    <t>oui</t>
  </si>
  <si>
    <t>non</t>
  </si>
  <si>
    <t>Méthode Validée :</t>
  </si>
  <si>
    <t>Visa :</t>
  </si>
  <si>
    <t>Date :</t>
  </si>
  <si>
    <t>essai 0-1</t>
  </si>
  <si>
    <t>essai 0-2</t>
  </si>
  <si>
    <t>essai 0-3</t>
  </si>
  <si>
    <t>Date:</t>
  </si>
  <si>
    <t>Range</t>
  </si>
  <si>
    <t>Linéarité / Linearity</t>
  </si>
  <si>
    <t>Justesse / Accuracy</t>
  </si>
  <si>
    <t>Fidélité / Precision</t>
  </si>
  <si>
    <t>LOD - LOQ</t>
  </si>
  <si>
    <t>Robustness</t>
  </si>
  <si>
    <t>Mean Recovery</t>
  </si>
  <si>
    <t>IC 95%</t>
  </si>
  <si>
    <t>Recovery LOQ</t>
  </si>
  <si>
    <t>SYSTEM SUITABILITY</t>
  </si>
  <si>
    <t>Référence de la série analytique :</t>
  </si>
  <si>
    <t>Calibration - Standards</t>
  </si>
  <si>
    <t>Standard</t>
  </si>
  <si>
    <t>Ratio
Aire BDDE/
Aire EI</t>
  </si>
  <si>
    <t>Moyenne</t>
  </si>
  <si>
    <t>% RSD</t>
  </si>
  <si>
    <t>Critère d'acceptation</t>
  </si>
  <si>
    <t>Conformité</t>
  </si>
  <si>
    <t>WS-1</t>
  </si>
  <si>
    <r>
      <t xml:space="preserve">% RSD </t>
    </r>
    <r>
      <rPr>
        <sz val="11"/>
        <color theme="1"/>
        <rFont val="Calibri"/>
        <family val="2"/>
      </rPr>
      <t>≤</t>
    </r>
    <r>
      <rPr>
        <sz val="11.35"/>
        <color theme="1"/>
        <rFont val="Calibri"/>
        <family val="2"/>
      </rPr>
      <t xml:space="preserve"> 2%</t>
    </r>
  </si>
  <si>
    <t>WS-2</t>
  </si>
  <si>
    <r>
      <t xml:space="preserve">Tailing Factor (USP Tailing) : Critère d'acceptation : 0.8 </t>
    </r>
    <r>
      <rPr>
        <b/>
        <sz val="11"/>
        <color theme="1"/>
        <rFont val="Calibri"/>
        <family val="2"/>
      </rPr>
      <t>≤ TF ≤</t>
    </r>
    <r>
      <rPr>
        <b/>
        <sz val="11"/>
        <color theme="1"/>
        <rFont val="Calibri"/>
        <family val="2"/>
        <scheme val="minor"/>
      </rPr>
      <t xml:space="preserve"> 1.5</t>
    </r>
  </si>
  <si>
    <t>TF BDDE</t>
  </si>
  <si>
    <t>TF EI</t>
  </si>
  <si>
    <t>WS-1 1</t>
  </si>
  <si>
    <t>WS-2 1</t>
  </si>
  <si>
    <t>WS-2 dérive 1</t>
  </si>
  <si>
    <t>WS-2 dérive 2</t>
  </si>
  <si>
    <t>WS-2 dérive 3</t>
  </si>
  <si>
    <t>WS-2 dérive 4</t>
  </si>
  <si>
    <r>
      <t xml:space="preserve"> Résolution : Critère d'acceptation : R1 et R2 </t>
    </r>
    <r>
      <rPr>
        <b/>
        <sz val="11"/>
        <color theme="1"/>
        <rFont val="Calibri"/>
        <family val="2"/>
      </rPr>
      <t>≥</t>
    </r>
    <r>
      <rPr>
        <b/>
        <sz val="11.35"/>
        <color theme="1"/>
        <rFont val="Calibri"/>
        <family val="2"/>
      </rPr>
      <t xml:space="preserve"> 1.5</t>
    </r>
  </si>
  <si>
    <t>R1</t>
  </si>
  <si>
    <t>R2</t>
  </si>
  <si>
    <t>Contrôle de pesée</t>
  </si>
  <si>
    <t>m 
(mg)</t>
  </si>
  <si>
    <t>Ratio WS
moyen</t>
  </si>
  <si>
    <t>Contrôle de 
pesée</t>
  </si>
  <si>
    <t>BDDE SS1</t>
  </si>
  <si>
    <t>98.0% - 102.0%</t>
  </si>
  <si>
    <t>BDDE SS2</t>
  </si>
  <si>
    <t xml:space="preserve">Recouvrements - Dérives </t>
  </si>
  <si>
    <r>
      <t>[BDDE]</t>
    </r>
    <r>
      <rPr>
        <vertAlign val="subscript"/>
        <sz val="11"/>
        <color theme="1"/>
        <rFont val="Calibri"/>
        <family val="2"/>
        <scheme val="minor"/>
      </rPr>
      <t>théo</t>
    </r>
  </si>
  <si>
    <t>Ratio</t>
  </si>
  <si>
    <t>Recouvrement</t>
  </si>
  <si>
    <t>WS3-2</t>
  </si>
  <si>
    <t>WS3-2 dérive 1</t>
  </si>
  <si>
    <t>/</t>
  </si>
  <si>
    <t>WS3-2 dérive 2</t>
  </si>
  <si>
    <t>WS3-2 dérive 3</t>
  </si>
  <si>
    <t>WS3-2 dérive 4</t>
  </si>
  <si>
    <t>Conformité du system suitability</t>
  </si>
  <si>
    <r>
      <t xml:space="preserve">Conforme  </t>
    </r>
    <r>
      <rPr>
        <sz val="10"/>
        <rFont val="Wingdings"/>
        <charset val="2"/>
      </rPr>
      <t>o</t>
    </r>
    <r>
      <rPr>
        <sz val="10"/>
        <rFont val="Arial"/>
        <family val="2"/>
      </rPr>
      <t xml:space="preserve"> Non Conforme </t>
    </r>
    <r>
      <rPr>
        <sz val="10"/>
        <rFont val="Wingdings"/>
        <charset val="2"/>
      </rPr>
      <t>o</t>
    </r>
  </si>
  <si>
    <t>Analyste :</t>
  </si>
  <si>
    <t>RSD% LOQ</t>
  </si>
  <si>
    <t>RSDr %</t>
  </si>
  <si>
    <t>RSDr95%</t>
  </si>
  <si>
    <t>RSDfi95%</t>
  </si>
  <si>
    <t>Préparation du dosage du BDDE Résiduel dans les fils de HA</t>
  </si>
  <si>
    <t xml:space="preserve">Equipements / ECME : </t>
  </si>
  <si>
    <t>N° ID</t>
  </si>
  <si>
    <t>Date de validité</t>
  </si>
  <si>
    <t>Balance Classe A</t>
  </si>
  <si>
    <t>Système chromatographique</t>
  </si>
  <si>
    <t>Colonne</t>
  </si>
  <si>
    <t>Pipettes</t>
  </si>
  <si>
    <t>Bain thermostaté</t>
  </si>
  <si>
    <t>Producteur d'eau MilliQ</t>
  </si>
  <si>
    <t>Réactifs / Produits chimiques :</t>
  </si>
  <si>
    <t>N° de lot</t>
  </si>
  <si>
    <t>Acétonitrile LC-MS</t>
  </si>
  <si>
    <t>Acide trifluoroacétique</t>
  </si>
  <si>
    <t>1,4-Butanediol diglycidyl éther (BDDE)</t>
  </si>
  <si>
    <t xml:space="preserve">Lot :
Pureté : </t>
  </si>
  <si>
    <t>Diglycidyl ether of neo-Pentyl glycol 95% (NPGDE)</t>
  </si>
  <si>
    <t xml:space="preserve">N,N-diéthyldithiocarbamate de sodium (DTC) </t>
  </si>
  <si>
    <t>Préparation des standards :</t>
  </si>
  <si>
    <r>
      <t xml:space="preserve">1) </t>
    </r>
    <r>
      <rPr>
        <u/>
        <sz val="11"/>
        <color theme="1"/>
        <rFont val="Calibri"/>
        <family val="2"/>
        <scheme val="minor"/>
      </rPr>
      <t>Préparation des standards de BDDE</t>
    </r>
  </si>
  <si>
    <t xml:space="preserve">Date de préparation : </t>
  </si>
  <si>
    <t>Durée de validité :</t>
  </si>
  <si>
    <t>Date de validité :</t>
  </si>
  <si>
    <r>
      <t xml:space="preserve">2) </t>
    </r>
    <r>
      <rPr>
        <u/>
        <sz val="11"/>
        <color theme="1"/>
        <rFont val="Calibri"/>
        <family val="2"/>
        <scheme val="minor"/>
      </rPr>
      <t>Préparation de la solution d'Etalon Interne</t>
    </r>
  </si>
  <si>
    <t>Préparation des échantillons :</t>
  </si>
  <si>
    <t>Préparation de la solution de dérivatisation :</t>
  </si>
  <si>
    <r>
      <t xml:space="preserve">740 mg </t>
    </r>
    <r>
      <rPr>
        <sz val="11"/>
        <color theme="1"/>
        <rFont val="Calibri"/>
        <family val="2"/>
      </rPr>
      <t>≤ m DTC ≤ 760 mg</t>
    </r>
  </si>
  <si>
    <t xml:space="preserve"> pour 25 mL</t>
  </si>
  <si>
    <t>Durée de validité : Le jour de préparation</t>
  </si>
  <si>
    <t>Stress degradation</t>
  </si>
  <si>
    <t>Matrix effect</t>
  </si>
  <si>
    <t xml:space="preserve">Biais </t>
  </si>
  <si>
    <t>N/A</t>
  </si>
  <si>
    <t>facteur de rétention BDDE</t>
  </si>
  <si>
    <t>facteur de rétention EI</t>
  </si>
  <si>
    <t>Résolution avant</t>
  </si>
  <si>
    <t>Résolution après</t>
  </si>
  <si>
    <t>Résol. Ap</t>
  </si>
  <si>
    <t>Contraste</t>
  </si>
  <si>
    <t>Graphiques des contributions</t>
  </si>
  <si>
    <t>Stability</t>
  </si>
  <si>
    <t>Commentaire</t>
  </si>
  <si>
    <t>fractile t(alpha = 5%)</t>
  </si>
  <si>
    <t>factile t(beta = 5%)</t>
  </si>
  <si>
    <t>pente b1</t>
  </si>
  <si>
    <t>gamme</t>
  </si>
  <si>
    <t>Sensibilité</t>
  </si>
  <si>
    <t>Ecart en concentration minimal</t>
  </si>
  <si>
    <t>échant 1</t>
  </si>
  <si>
    <t>échant 2</t>
  </si>
  <si>
    <t>Aire</t>
  </si>
  <si>
    <t>Tr BDDE</t>
  </si>
  <si>
    <t>Tr EI</t>
  </si>
  <si>
    <t>dérivatisation</t>
  </si>
  <si>
    <t>conservation</t>
  </si>
  <si>
    <t>réplique</t>
  </si>
  <si>
    <t>r1</t>
  </si>
  <si>
    <t>origine</t>
  </si>
  <si>
    <t>F%</t>
  </si>
  <si>
    <t>F%5</t>
  </si>
  <si>
    <t>r2</t>
  </si>
  <si>
    <t>j=7</t>
  </si>
  <si>
    <t>j=0</t>
  </si>
  <si>
    <t>Effets de la défaillances</t>
  </si>
  <si>
    <t>Causes de la défaillances</t>
  </si>
  <si>
    <t>Actions de préventiopn mise en place</t>
  </si>
  <si>
    <t>N°</t>
  </si>
  <si>
    <t>Pré-analytique</t>
  </si>
  <si>
    <t>Post-analytique</t>
  </si>
  <si>
    <t>limite r</t>
  </si>
  <si>
    <t>limite Fi</t>
  </si>
  <si>
    <t>Ecart acceptable entre 2 mesures</t>
  </si>
  <si>
    <t>IC- (95%)</t>
  </si>
  <si>
    <t>IC+ (95%)</t>
  </si>
  <si>
    <t>ex : stockage de l'échantillon</t>
  </si>
  <si>
    <t>ex ; envoie des résultats</t>
  </si>
  <si>
    <t>ex : prélèvement, transport</t>
  </si>
  <si>
    <t>ex : préparation de l'échantillon</t>
  </si>
  <si>
    <t>RSDR %</t>
  </si>
  <si>
    <t>Durée de vie estimée</t>
  </si>
  <si>
    <t>Stabilité vérifiée</t>
  </si>
  <si>
    <t>ANOVA irrégulièrement emboité</t>
  </si>
  <si>
    <t>écart</t>
  </si>
  <si>
    <t>coefficient C</t>
  </si>
  <si>
    <t>Défailances possibles (si quantitatif : trop,pas assez, pas du tout / si qualitatif : bon ou mauvais)</t>
  </si>
  <si>
    <t>linearity study</t>
  </si>
  <si>
    <t>Cochran</t>
  </si>
  <si>
    <t>reference system</t>
  </si>
  <si>
    <t>Systèm selected</t>
  </si>
  <si>
    <t>standard calibration (API)</t>
  </si>
  <si>
    <t>standard calibration (API + matrix)</t>
  </si>
  <si>
    <t>R &gt; 0,998</t>
  </si>
  <si>
    <t>Ecart minimal en x</t>
  </si>
  <si>
    <t xml:space="preserve">&lt;10% </t>
  </si>
  <si>
    <t>"+ ou - 10%"</t>
  </si>
  <si>
    <t>This test verify the homogenetity of variances</t>
  </si>
  <si>
    <t>Si Cobs &lt; C5% , variances are homogenous</t>
  </si>
  <si>
    <t>Si Cobs &gt; C1%, heterogeneity of variances. Use un Dixon test to identify the outlier</t>
  </si>
  <si>
    <t>Si C5% &lt; Cobs &lt; C1%, variances are not homogenous. A outlier is probably present (Dixon test)</t>
  </si>
  <si>
    <t>Analisys of variances verify that linearity are free of outlier</t>
  </si>
  <si>
    <t>if outlier is detetced, either calibration curve isn't appropriate (change model), or the range is too wide (reduce range study)</t>
  </si>
  <si>
    <t>API + matrix</t>
  </si>
  <si>
    <t>level</t>
  </si>
  <si>
    <t>regression</t>
  </si>
  <si>
    <t>SS²</t>
  </si>
  <si>
    <t>Ci</t>
  </si>
  <si>
    <t>Si Flin &lt; F5%, outlier is detected</t>
  </si>
  <si>
    <t>Otherwise, the system is "API + matrix" (gamme étalon)</t>
  </si>
  <si>
    <t>If API = API + matrix, the system is "API 100% ( étalon 100%)</t>
  </si>
  <si>
    <t>API 100%</t>
  </si>
  <si>
    <t>serie</t>
  </si>
  <si>
    <t>Accuracy study</t>
  </si>
  <si>
    <t>critical analisys of data</t>
  </si>
  <si>
    <t>Cochran Test</t>
  </si>
  <si>
    <t>mean Rdt%</t>
  </si>
  <si>
    <t>End</t>
  </si>
  <si>
    <t>If 100% isn't witgin the intervall of confidente, a biais is detected</t>
  </si>
  <si>
    <t>Precision study</t>
  </si>
  <si>
    <t>Critical analisys of data</t>
  </si>
  <si>
    <t>If Cobs &gt; C5%, Identify the widest variance and the presence of outlier within (Dixon Test)</t>
  </si>
  <si>
    <t>Presicion</t>
  </si>
  <si>
    <t>RSD</t>
  </si>
  <si>
    <t>inter serie</t>
  </si>
  <si>
    <t xml:space="preserve">Plackett-Burman designs is used for screening experiments because is very useful for detecting large main effects, assuming all interactions are negligible when compared with the few important main effects. </t>
  </si>
  <si>
    <t>The Plackett Burman design in 8 runs may be used for an experiment containing up to 7 factors.</t>
  </si>
  <si>
    <t>Parameters (from 4 to 7)</t>
  </si>
  <si>
    <t>Parameter</t>
  </si>
  <si>
    <t>optional parameter</t>
  </si>
  <si>
    <t>parameter studied</t>
  </si>
  <si>
    <t>parameter</t>
  </si>
  <si>
    <t>level 0</t>
  </si>
  <si>
    <t>level -1</t>
  </si>
  <si>
    <t>level +1</t>
  </si>
  <si>
    <t>Experimental design</t>
  </si>
  <si>
    <t>The design study until 7 parameters at 2 levels</t>
  </si>
  <si>
    <t>3 more essay at standard level (level 0) are performed at the beginning, the middle and at the end in order to calculate the drift of experiment</t>
  </si>
  <si>
    <t>Parameters</t>
  </si>
  <si>
    <t>essay</t>
  </si>
  <si>
    <t>Responses</t>
  </si>
  <si>
    <t>Critical analysis of data</t>
  </si>
  <si>
    <t>R² &gt; 90 is considered as a good model</t>
  </si>
  <si>
    <t>Accuracy of the LOQ</t>
  </si>
  <si>
    <t>slope b1</t>
  </si>
  <si>
    <t>intercept a1</t>
  </si>
  <si>
    <t>SD b1</t>
  </si>
  <si>
    <t>SD a1</t>
  </si>
  <si>
    <t>SD y/x</t>
  </si>
  <si>
    <t>dof</t>
  </si>
  <si>
    <t>change of variables</t>
  </si>
  <si>
    <t>Y'</t>
  </si>
  <si>
    <t>mean X</t>
  </si>
  <si>
    <t>linest API</t>
  </si>
  <si>
    <t>linest API + matrix</t>
  </si>
  <si>
    <t>standard</t>
  </si>
  <si>
    <t>critical analysis of data</t>
  </si>
  <si>
    <t>Limit of detection</t>
  </si>
  <si>
    <t>perform 6 indenpdants samples</t>
  </si>
  <si>
    <t>blank</t>
  </si>
  <si>
    <t>Limit of quantification</t>
  </si>
  <si>
    <t>Sensitivity</t>
  </si>
  <si>
    <t>Blank is the matrix without API</t>
  </si>
  <si>
    <t>LOD est estimated at k = 10 blank standard deviation</t>
  </si>
  <si>
    <t>its accuracy and precision are verified</t>
  </si>
  <si>
    <t>6 independants samples preparation at "LOQ concentration" are analysed in repetability condition</t>
  </si>
  <si>
    <t>Contrast : du niveau 0 à +1 l'impact est de :</t>
  </si>
  <si>
    <t>IC-</t>
  </si>
  <si>
    <t>IC+</t>
  </si>
  <si>
    <t>LOD is estimate at k = 3,3 blank standard deviation devide by slope calibration</t>
  </si>
  <si>
    <t>inter operator effect</t>
  </si>
  <si>
    <t>Operator</t>
  </si>
  <si>
    <t>sample</t>
  </si>
  <si>
    <t>Mean</t>
  </si>
  <si>
    <t>S²r</t>
  </si>
  <si>
    <t>S²R</t>
  </si>
  <si>
    <t>SDR%r</t>
  </si>
  <si>
    <t>SDR%R</t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</si>
  <si>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 2,0%</t>
    </r>
  </si>
  <si>
    <r>
      <rPr>
        <u/>
        <sz val="11"/>
        <color theme="1"/>
        <rFont val="Calibri"/>
        <family val="2"/>
        <scheme val="minor"/>
      </rPr>
      <t>&lt;</t>
    </r>
    <r>
      <rPr>
        <sz val="11"/>
        <color theme="1"/>
        <rFont val="Calibri"/>
        <family val="2"/>
        <scheme val="minor"/>
      </rPr>
      <t xml:space="preserve"> 3,0%</t>
    </r>
  </si>
  <si>
    <t>Y-2</t>
  </si>
  <si>
    <t>Y-3</t>
  </si>
  <si>
    <t>Y-4</t>
  </si>
  <si>
    <t>Y-5</t>
  </si>
  <si>
    <t>Y-6</t>
  </si>
  <si>
    <t>Y'-2</t>
  </si>
  <si>
    <t>Y'-3</t>
  </si>
  <si>
    <t>Y'-4</t>
  </si>
  <si>
    <t>Y'-5</t>
  </si>
  <si>
    <t>Y'-6</t>
  </si>
  <si>
    <t>débit</t>
  </si>
  <si>
    <t>pH</t>
  </si>
  <si>
    <t>volume</t>
  </si>
  <si>
    <t>T°C</t>
  </si>
  <si>
    <t>colonne</t>
  </si>
  <si>
    <t>gaz</t>
  </si>
  <si>
    <t>éthanol</t>
  </si>
  <si>
    <t>dérive%</t>
  </si>
  <si>
    <t>étalon</t>
  </si>
  <si>
    <t>forme reconstituée</t>
  </si>
  <si>
    <t>Total</t>
  </si>
  <si>
    <t>Modèle</t>
  </si>
  <si>
    <t>Résiduel</t>
  </si>
  <si>
    <t>linearité</t>
  </si>
  <si>
    <t>Variance commune</t>
  </si>
  <si>
    <t>Comparaison de la pente</t>
  </si>
  <si>
    <t>Comparaison des ordonnées</t>
  </si>
  <si>
    <t>Comparaison à zéro</t>
  </si>
  <si>
    <t>forme R.</t>
  </si>
  <si>
    <t>Si Tobs &lt; T5%, pas d'effet de matrice =&gt; méthode specifique</t>
  </si>
  <si>
    <t>Si Tobs &lt; T5%, pas de biais systématique</t>
  </si>
  <si>
    <t>SiTobs &lt; T5%, gamme étalon = gamme forme reconstituée</t>
  </si>
  <si>
    <t>S²commune</t>
  </si>
  <si>
    <t>Rdt% moyen</t>
  </si>
  <si>
    <t>écart-type</t>
  </si>
  <si>
    <t xml:space="preserve"> t (bilatéral,5%)</t>
  </si>
  <si>
    <t>Recouvrement Rdt%</t>
  </si>
  <si>
    <t>CI</t>
  </si>
  <si>
    <t>intra-série</t>
  </si>
  <si>
    <t>fidélité intermédiaire</t>
  </si>
  <si>
    <t>CV%</t>
  </si>
  <si>
    <t>&lt;= Sensibilité</t>
  </si>
  <si>
    <t>plus petite différence détectable</t>
  </si>
  <si>
    <t>erreur expérimentale Sy/x</t>
  </si>
  <si>
    <t>pente a</t>
  </si>
  <si>
    <t>ordonnée b</t>
  </si>
  <si>
    <t>pente a1</t>
  </si>
  <si>
    <t>pente a2</t>
  </si>
  <si>
    <t>pente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</si>
</sst>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0.0000"/>
    <numFmt numFmtId="165" formatCode="0.000"/>
    <numFmt numFmtId="166" formatCode="0.0"/>
    <numFmt numFmtId="167" formatCode="0.0%"/>
    <numFmt numFmtId="168" formatCode="0.00000"/>
    <numFmt numFmtId="169" formatCode="0.000000000"/>
    <numFmt numFmtId="170" formatCode="0.000000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  <font>
      <b/>
      <sz val="11"/>
      <color rgb="FF00B050"/>
      <name val="Calibri"/>
      <family val="2"/>
      <scheme val="minor"/>
    </font>
    <font>
      <b/>
      <sz val="11"/>
      <color theme="9"/>
      <name val="Calibri"/>
      <family val="2"/>
      <scheme val="minor"/>
    </font>
    <font>
      <sz val="11"/>
      <color theme="1"/>
      <name val="Calibri"/>
      <family val="2"/>
    </font>
    <font>
      <sz val="11.35"/>
      <color theme="1"/>
      <name val="Calibri"/>
      <family val="2"/>
    </font>
    <font>
      <b/>
      <sz val="11"/>
      <color theme="1"/>
      <name val="Calibri"/>
      <family val="2"/>
    </font>
    <font>
      <b/>
      <sz val="11.35"/>
      <color theme="1"/>
      <name val="Calibri"/>
      <family val="2"/>
    </font>
    <font>
      <vertAlign val="subscript"/>
      <sz val="11"/>
      <color theme="1"/>
      <name val="Calibri"/>
      <family val="2"/>
      <scheme val="minor"/>
    </font>
    <font>
      <sz val="10"/>
      <name val="Wingdings"/>
      <charset val="2"/>
    </font>
    <font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color theme="1"/>
      <name val="Times New Roman"/>
      <family val="1"/>
    </font>
    <font>
      <sz val="8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4" fillId="0" borderId="0"/>
    <xf numFmtId="0" fontId="4" fillId="0" borderId="0"/>
  </cellStyleXfs>
  <cellXfs count="373">
    <xf numFmtId="0" fontId="0" fillId="0" borderId="0" xfId="0"/>
    <xf numFmtId="2" fontId="0" fillId="0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9" fontId="0" fillId="0" borderId="0" xfId="0" applyNumberFormat="1" applyBorder="1" applyAlignment="1">
      <alignment horizontal="center" vertical="center"/>
    </xf>
    <xf numFmtId="0" fontId="1" fillId="0" borderId="0" xfId="0" applyFont="1"/>
    <xf numFmtId="1" fontId="0" fillId="0" borderId="1" xfId="0" applyNumberFormat="1" applyFill="1" applyBorder="1" applyAlignment="1">
      <alignment horizontal="center" vertical="center"/>
    </xf>
    <xf numFmtId="9" fontId="1" fillId="0" borderId="0" xfId="0" applyNumberFormat="1" applyFont="1" applyBorder="1" applyAlignment="1">
      <alignment horizontal="left" vertical="center"/>
    </xf>
    <xf numFmtId="0" fontId="0" fillId="3" borderId="0" xfId="0" applyFont="1" applyFill="1" applyBorder="1" applyAlignment="1">
      <alignment horizontal="left" vertical="top"/>
    </xf>
    <xf numFmtId="0" fontId="0" fillId="3" borderId="0" xfId="0" applyFont="1" applyFill="1" applyBorder="1" applyAlignment="1">
      <alignment horizontal="center" vertical="top" wrapText="1"/>
    </xf>
    <xf numFmtId="0" fontId="1" fillId="3" borderId="0" xfId="0" applyFont="1" applyFill="1" applyBorder="1"/>
    <xf numFmtId="0" fontId="0" fillId="3" borderId="0" xfId="0" applyFill="1" applyBorder="1"/>
    <xf numFmtId="0" fontId="1" fillId="3" borderId="0" xfId="0" applyFont="1" applyFill="1" applyBorder="1" applyAlignment="1">
      <alignment horizontal="left" vertical="top" wrapText="1"/>
    </xf>
    <xf numFmtId="2" fontId="0" fillId="0" borderId="0" xfId="0" applyNumberForma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6" fontId="0" fillId="0" borderId="0" xfId="0" applyNumberForma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 wrapText="1"/>
    </xf>
    <xf numFmtId="2" fontId="3" fillId="0" borderId="0" xfId="1" applyNumberFormat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horizontal="center" vertical="center" wrapText="1"/>
    </xf>
    <xf numFmtId="165" fontId="0" fillId="0" borderId="6" xfId="0" applyNumberFormat="1" applyFill="1" applyBorder="1" applyAlignment="1">
      <alignment horizontal="center" vertical="center"/>
    </xf>
    <xf numFmtId="164" fontId="0" fillId="0" borderId="1" xfId="0" applyNumberFormat="1" applyFill="1" applyBorder="1" applyAlignment="1">
      <alignment horizontal="center" vertical="center"/>
    </xf>
    <xf numFmtId="165" fontId="0" fillId="0" borderId="1" xfId="0" applyNumberForma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6" xfId="0" applyNumberForma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3" fillId="9" borderId="1" xfId="1" applyFont="1" applyFill="1" applyBorder="1" applyAlignment="1">
      <alignment horizontal="center" vertical="center" wrapText="1"/>
    </xf>
    <xf numFmtId="2" fontId="0" fillId="7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right"/>
    </xf>
    <xf numFmtId="165" fontId="0" fillId="0" borderId="0" xfId="0" applyNumberFormat="1"/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8" borderId="0" xfId="0" applyFill="1"/>
    <xf numFmtId="0" fontId="6" fillId="0" borderId="0" xfId="0" applyFont="1" applyBorder="1" applyAlignment="1">
      <alignment horizontal="center" vertical="center" wrapText="1"/>
    </xf>
    <xf numFmtId="0" fontId="0" fillId="2" borderId="0" xfId="0" applyFill="1"/>
    <xf numFmtId="0" fontId="6" fillId="12" borderId="0" xfId="0" applyFont="1" applyFill="1" applyBorder="1" applyAlignment="1">
      <alignment horizontal="center" vertical="center" wrapText="1"/>
    </xf>
    <xf numFmtId="0" fontId="6" fillId="15" borderId="0" xfId="0" applyFont="1" applyFill="1" applyBorder="1" applyAlignment="1">
      <alignment horizontal="center" vertical="center" wrapText="1"/>
    </xf>
    <xf numFmtId="0" fontId="12" fillId="13" borderId="0" xfId="0" applyFont="1" applyFill="1" applyAlignment="1">
      <alignment horizontal="center"/>
    </xf>
    <xf numFmtId="0" fontId="10" fillId="14" borderId="0" xfId="0" applyFont="1" applyFill="1" applyAlignment="1">
      <alignment horizontal="center"/>
    </xf>
    <xf numFmtId="0" fontId="13" fillId="16" borderId="0" xfId="0" applyFont="1" applyFill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3" borderId="0" xfId="0" applyFont="1" applyFill="1" applyAlignment="1">
      <alignment vertical="center"/>
    </xf>
    <xf numFmtId="0" fontId="0" fillId="3" borderId="0" xfId="0" applyFill="1" applyAlignment="1">
      <alignment vertical="center"/>
    </xf>
    <xf numFmtId="0" fontId="1" fillId="2" borderId="1" xfId="0" applyFont="1" applyFill="1" applyBorder="1" applyAlignment="1">
      <alignment horizontal="center"/>
    </xf>
    <xf numFmtId="14" fontId="1" fillId="2" borderId="1" xfId="0" applyNumberFormat="1" applyFont="1" applyFill="1" applyBorder="1" applyAlignment="1">
      <alignment horizontal="center"/>
    </xf>
    <xf numFmtId="2" fontId="3" fillId="4" borderId="1" xfId="1" applyNumberFormat="1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10" fontId="0" fillId="19" borderId="1" xfId="0" applyNumberFormat="1" applyFill="1" applyBorder="1" applyAlignment="1">
      <alignment horizontal="center" vertical="center"/>
    </xf>
    <xf numFmtId="0" fontId="20" fillId="0" borderId="9" xfId="0" applyFont="1" applyFill="1" applyBorder="1" applyAlignment="1" applyProtection="1">
      <alignment horizontal="center" vertical="center"/>
      <protection locked="0"/>
    </xf>
    <xf numFmtId="0" fontId="20" fillId="0" borderId="8" xfId="0" applyFont="1" applyFill="1" applyBorder="1" applyAlignment="1" applyProtection="1">
      <alignment horizontal="center" vertical="center"/>
      <protection locked="0"/>
    </xf>
    <xf numFmtId="164" fontId="20" fillId="0" borderId="9" xfId="0" applyNumberFormat="1" applyFont="1" applyFill="1" applyBorder="1" applyAlignment="1" applyProtection="1">
      <alignment horizontal="center" vertical="center"/>
      <protection locked="0"/>
    </xf>
    <xf numFmtId="168" fontId="20" fillId="0" borderId="8" xfId="0" applyNumberFormat="1" applyFont="1" applyFill="1" applyBorder="1" applyAlignment="1" applyProtection="1">
      <alignment horizontal="center" vertical="center"/>
      <protection locked="0"/>
    </xf>
    <xf numFmtId="0" fontId="20" fillId="0" borderId="11" xfId="0" applyFont="1" applyFill="1" applyBorder="1" applyAlignment="1" applyProtection="1">
      <alignment horizontal="left" vertical="center"/>
      <protection locked="0"/>
    </xf>
    <xf numFmtId="0" fontId="20" fillId="0" borderId="0" xfId="0" applyFont="1" applyFill="1" applyBorder="1" applyAlignment="1" applyProtection="1">
      <alignment horizontal="left" vertical="center"/>
      <protection locked="0"/>
    </xf>
    <xf numFmtId="0" fontId="20" fillId="0" borderId="0" xfId="0" applyFont="1" applyFill="1" applyBorder="1" applyAlignment="1" applyProtection="1">
      <alignment horizontal="center" vertical="center"/>
      <protection locked="0"/>
    </xf>
    <xf numFmtId="164" fontId="20" fillId="0" borderId="11" xfId="0" applyNumberFormat="1" applyFont="1" applyFill="1" applyBorder="1" applyAlignment="1" applyProtection="1">
      <alignment horizontal="left" vertical="center"/>
      <protection locked="0"/>
    </xf>
    <xf numFmtId="14" fontId="20" fillId="0" borderId="0" xfId="0" applyNumberFormat="1" applyFont="1" applyFill="1" applyBorder="1" applyAlignment="1" applyProtection="1">
      <alignment horizontal="center" vertical="center"/>
      <protection locked="0"/>
    </xf>
    <xf numFmtId="0" fontId="20" fillId="0" borderId="13" xfId="0" applyFont="1" applyFill="1" applyBorder="1" applyAlignment="1" applyProtection="1">
      <alignment horizontal="center" vertical="center"/>
      <protection locked="0"/>
    </xf>
    <xf numFmtId="0" fontId="20" fillId="0" borderId="14" xfId="0" applyFont="1" applyFill="1" applyBorder="1" applyAlignment="1" applyProtection="1">
      <alignment horizontal="center" vertical="center"/>
      <protection locked="0"/>
    </xf>
    <xf numFmtId="164" fontId="20" fillId="0" borderId="13" xfId="0" applyNumberFormat="1" applyFont="1" applyFill="1" applyBorder="1" applyAlignment="1" applyProtection="1">
      <alignment horizontal="center" vertical="center"/>
      <protection locked="0"/>
    </xf>
    <xf numFmtId="168" fontId="20" fillId="0" borderId="14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0" fontId="0" fillId="0" borderId="1" xfId="0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wrapText="1"/>
    </xf>
    <xf numFmtId="0" fontId="6" fillId="0" borderId="0" xfId="0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5" fillId="9" borderId="1" xfId="1" applyFont="1" applyFill="1" applyBorder="1" applyAlignment="1">
      <alignment horizontal="center" vertical="center" wrapText="1"/>
    </xf>
    <xf numFmtId="0" fontId="0" fillId="20" borderId="1" xfId="0" applyNumberFormat="1" applyFill="1" applyBorder="1" applyAlignment="1">
      <alignment horizontal="center" vertical="center"/>
    </xf>
    <xf numFmtId="164" fontId="0" fillId="0" borderId="0" xfId="0" applyNumberFormat="1" applyBorder="1" applyAlignment="1">
      <alignment horizontal="center" vertical="center"/>
    </xf>
    <xf numFmtId="10" fontId="0" fillId="0" borderId="0" xfId="0" applyNumberForma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8" borderId="0" xfId="0" applyFill="1" applyAlignment="1">
      <alignment horizontal="left"/>
    </xf>
    <xf numFmtId="0" fontId="0" fillId="0" borderId="1" xfId="0" applyBorder="1" applyAlignment="1">
      <alignment horizontal="center"/>
    </xf>
    <xf numFmtId="0" fontId="4" fillId="0" borderId="0" xfId="2"/>
    <xf numFmtId="49" fontId="4" fillId="0" borderId="1" xfId="2" applyNumberFormat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4" fillId="0" borderId="1" xfId="2" applyBorder="1" applyAlignment="1">
      <alignment horizontal="center"/>
    </xf>
    <xf numFmtId="0" fontId="4" fillId="8" borderId="1" xfId="2" applyFill="1" applyBorder="1" applyAlignment="1">
      <alignment horizontal="center"/>
    </xf>
    <xf numFmtId="2" fontId="4" fillId="11" borderId="1" xfId="2" applyNumberFormat="1" applyFill="1" applyBorder="1" applyAlignment="1">
      <alignment horizontal="center"/>
    </xf>
    <xf numFmtId="0" fontId="4" fillId="11" borderId="1" xfId="2" applyFill="1" applyBorder="1" applyAlignment="1">
      <alignment horizontal="center"/>
    </xf>
    <xf numFmtId="9" fontId="4" fillId="11" borderId="1" xfId="2" applyNumberFormat="1" applyFill="1" applyBorder="1" applyAlignment="1">
      <alignment horizontal="center"/>
    </xf>
    <xf numFmtId="0" fontId="4" fillId="6" borderId="1" xfId="2" applyFont="1" applyFill="1" applyBorder="1" applyAlignment="1">
      <alignment horizontal="center"/>
    </xf>
    <xf numFmtId="2" fontId="4" fillId="21" borderId="1" xfId="2" applyNumberFormat="1" applyFill="1" applyBorder="1" applyAlignment="1">
      <alignment horizontal="center"/>
    </xf>
    <xf numFmtId="0" fontId="4" fillId="21" borderId="1" xfId="2" applyFill="1" applyBorder="1" applyAlignment="1">
      <alignment horizontal="center"/>
    </xf>
    <xf numFmtId="9" fontId="4" fillId="21" borderId="1" xfId="2" applyNumberFormat="1" applyFill="1" applyBorder="1" applyAlignment="1">
      <alignment horizontal="center"/>
    </xf>
    <xf numFmtId="49" fontId="4" fillId="8" borderId="1" xfId="2" applyNumberFormat="1" applyFill="1" applyBorder="1" applyAlignment="1">
      <alignment horizontal="center" vertical="center"/>
    </xf>
    <xf numFmtId="49" fontId="4" fillId="8" borderId="1" xfId="2" applyNumberFormat="1" applyFill="1" applyBorder="1" applyAlignment="1">
      <alignment horizontal="center"/>
    </xf>
    <xf numFmtId="0" fontId="4" fillId="8" borderId="1" xfId="2" applyFill="1" applyBorder="1" applyAlignment="1">
      <alignment horizontal="center" vertical="center"/>
    </xf>
    <xf numFmtId="1" fontId="4" fillId="11" borderId="1" xfId="2" applyNumberFormat="1" applyFill="1" applyBorder="1" applyAlignment="1">
      <alignment horizontal="center"/>
    </xf>
    <xf numFmtId="2" fontId="0" fillId="0" borderId="0" xfId="0" applyNumberFormat="1" applyAlignment="1">
      <alignment horizontal="center"/>
    </xf>
    <xf numFmtId="165" fontId="3" fillId="4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1" xfId="2" applyBorder="1" applyAlignment="1">
      <alignment horizontal="center" vertical="center"/>
    </xf>
    <xf numFmtId="9" fontId="0" fillId="0" borderId="0" xfId="0" applyNumberFormat="1"/>
    <xf numFmtId="12" fontId="4" fillId="11" borderId="1" xfId="2" applyNumberFormat="1" applyFill="1" applyBorder="1" applyAlignment="1">
      <alignment horizontal="center"/>
    </xf>
    <xf numFmtId="12" fontId="4" fillId="21" borderId="1" xfId="2" applyNumberFormat="1" applyFill="1" applyBorder="1" applyAlignment="1">
      <alignment horizontal="center"/>
    </xf>
    <xf numFmtId="0" fontId="4" fillId="0" borderId="0" xfId="2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4" fillId="4" borderId="1" xfId="2" applyNumberFormat="1" applyFill="1" applyBorder="1" applyAlignment="1">
      <alignment horizontal="center" vertical="center"/>
    </xf>
    <xf numFmtId="1" fontId="4" fillId="21" borderId="1" xfId="2" applyNumberFormat="1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11" fontId="4" fillId="11" borderId="0" xfId="2" applyNumberFormat="1" applyFill="1" applyBorder="1" applyAlignment="1">
      <alignment horizontal="center"/>
    </xf>
    <xf numFmtId="11" fontId="4" fillId="11" borderId="1" xfId="2" applyNumberFormat="1" applyFill="1" applyBorder="1" applyAlignment="1">
      <alignment horizontal="center"/>
    </xf>
    <xf numFmtId="11" fontId="4" fillId="21" borderId="1" xfId="2" applyNumberFormat="1" applyFill="1" applyBorder="1" applyAlignment="1">
      <alignment horizontal="center"/>
    </xf>
    <xf numFmtId="165" fontId="4" fillId="0" borderId="1" xfId="2" applyNumberFormat="1" applyBorder="1" applyAlignment="1">
      <alignment horizontal="center" vertical="center"/>
    </xf>
    <xf numFmtId="169" fontId="0" fillId="0" borderId="0" xfId="0" applyNumberFormat="1"/>
    <xf numFmtId="170" fontId="0" fillId="0" borderId="0" xfId="0" applyNumberFormat="1"/>
    <xf numFmtId="165" fontId="0" fillId="6" borderId="1" xfId="0" applyNumberForma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0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2" fontId="0" fillId="0" borderId="1" xfId="0" applyNumberFormat="1" applyBorder="1" applyAlignment="1">
      <alignment horizontal="center" vertical="center"/>
    </xf>
    <xf numFmtId="0" fontId="0" fillId="3" borderId="0" xfId="0" applyFill="1" applyBorder="1" applyAlignment="1">
      <alignment vertical="center"/>
    </xf>
    <xf numFmtId="0" fontId="0" fillId="0" borderId="0" xfId="0" applyBorder="1" applyAlignment="1">
      <alignment vertical="center"/>
    </xf>
    <xf numFmtId="0" fontId="1" fillId="0" borderId="0" xfId="0" applyFon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Fill="1" applyAlignment="1">
      <alignment vertical="center"/>
    </xf>
    <xf numFmtId="0" fontId="1" fillId="3" borderId="0" xfId="0" applyFont="1" applyFill="1" applyBorder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0" fillId="8" borderId="8" xfId="0" applyFill="1" applyBorder="1" applyAlignment="1">
      <alignment horizontal="center" vertical="center"/>
    </xf>
    <xf numFmtId="0" fontId="0" fillId="8" borderId="8" xfId="0" applyFill="1" applyBorder="1" applyAlignment="1">
      <alignment vertical="center"/>
    </xf>
    <xf numFmtId="0" fontId="0" fillId="8" borderId="1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0" xfId="0" applyFill="1" applyBorder="1" applyAlignment="1">
      <alignment horizontal="center" vertical="center"/>
    </xf>
    <xf numFmtId="0" fontId="0" fillId="8" borderId="0" xfId="0" applyFill="1" applyBorder="1" applyAlignment="1">
      <alignment vertical="center"/>
    </xf>
    <xf numFmtId="0" fontId="0" fillId="8" borderId="12" xfId="0" applyFill="1" applyBorder="1" applyAlignment="1">
      <alignment horizontal="center" vertical="center"/>
    </xf>
    <xf numFmtId="0" fontId="0" fillId="8" borderId="13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4" xfId="0" applyFill="1" applyBorder="1" applyAlignment="1">
      <alignment vertical="center"/>
    </xf>
    <xf numFmtId="0" fontId="0" fillId="8" borderId="15" xfId="0" applyFill="1" applyBorder="1" applyAlignment="1">
      <alignment horizontal="center" vertical="center"/>
    </xf>
    <xf numFmtId="0" fontId="7" fillId="0" borderId="0" xfId="0" applyFont="1" applyBorder="1" applyAlignment="1">
      <alignment vertical="center"/>
    </xf>
    <xf numFmtId="0" fontId="1" fillId="0" borderId="0" xfId="0" applyFont="1" applyAlignment="1">
      <alignment vertical="center"/>
    </xf>
    <xf numFmtId="10" fontId="0" fillId="9" borderId="1" xfId="0" applyNumberFormat="1" applyFill="1" applyBorder="1" applyAlignment="1">
      <alignment horizontal="center" vertical="center"/>
    </xf>
    <xf numFmtId="9" fontId="0" fillId="0" borderId="1" xfId="0" applyNumberForma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2" fontId="0" fillId="0" borderId="0" xfId="0" applyNumberFormat="1" applyFill="1" applyAlignment="1">
      <alignment vertical="center"/>
    </xf>
    <xf numFmtId="0" fontId="0" fillId="0" borderId="0" xfId="0" applyFill="1" applyBorder="1" applyAlignment="1">
      <alignment horizontal="right" vertical="center"/>
    </xf>
    <xf numFmtId="0" fontId="2" fillId="0" borderId="0" xfId="0" applyFont="1" applyFill="1" applyBorder="1" applyAlignment="1">
      <alignment vertical="center"/>
    </xf>
    <xf numFmtId="0" fontId="0" fillId="3" borderId="0" xfId="0" applyFont="1" applyFill="1" applyBorder="1" applyAlignment="1">
      <alignment horizontal="left" vertical="center"/>
    </xf>
    <xf numFmtId="0" fontId="0" fillId="0" borderId="0" xfId="0" applyNumberFormat="1" applyAlignment="1">
      <alignment vertical="center"/>
    </xf>
    <xf numFmtId="0" fontId="0" fillId="0" borderId="0" xfId="0" applyNumberFormat="1" applyFill="1" applyBorder="1" applyAlignment="1">
      <alignment horizontal="center" vertical="center"/>
    </xf>
    <xf numFmtId="0" fontId="0" fillId="0" borderId="0" xfId="0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10" fontId="0" fillId="6" borderId="1" xfId="0" applyNumberFormat="1" applyFill="1" applyBorder="1" applyAlignment="1">
      <alignment horizontal="center" vertical="center"/>
    </xf>
    <xf numFmtId="10" fontId="0" fillId="0" borderId="1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vertical="center"/>
    </xf>
    <xf numFmtId="165" fontId="0" fillId="0" borderId="0" xfId="0" applyNumberForma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left" vertical="center"/>
    </xf>
    <xf numFmtId="2" fontId="0" fillId="20" borderId="1" xfId="0" applyNumberFormat="1" applyFill="1" applyBorder="1" applyAlignment="1">
      <alignment horizontal="center" vertical="center"/>
    </xf>
    <xf numFmtId="0" fontId="0" fillId="20" borderId="1" xfId="0" applyFill="1" applyBorder="1" applyAlignment="1">
      <alignment horizontal="center" vertical="center"/>
    </xf>
    <xf numFmtId="10" fontId="0" fillId="3" borderId="1" xfId="0" applyNumberFormat="1" applyFill="1" applyBorder="1" applyAlignment="1">
      <alignment horizontal="center" vertical="center"/>
    </xf>
    <xf numFmtId="9" fontId="0" fillId="9" borderId="1" xfId="0" applyNumberForma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0" fontId="3" fillId="0" borderId="0" xfId="1" applyFont="1" applyBorder="1" applyAlignment="1">
      <alignment vertical="center"/>
    </xf>
    <xf numFmtId="0" fontId="5" fillId="0" borderId="0" xfId="1" applyFont="1" applyBorder="1" applyAlignment="1">
      <alignment vertical="center"/>
    </xf>
    <xf numFmtId="0" fontId="9" fillId="0" borderId="0" xfId="1" applyFont="1" applyBorder="1" applyAlignment="1">
      <alignment vertical="center"/>
    </xf>
    <xf numFmtId="0" fontId="3" fillId="0" borderId="0" xfId="1" applyFont="1" applyBorder="1" applyAlignment="1">
      <alignment horizontal="center" vertical="center"/>
    </xf>
    <xf numFmtId="0" fontId="5" fillId="0" borderId="0" xfId="1" applyFont="1" applyBorder="1" applyAlignment="1">
      <alignment horizontal="center" vertical="center"/>
    </xf>
    <xf numFmtId="0" fontId="23" fillId="0" borderId="0" xfId="1" applyFont="1" applyBorder="1" applyAlignment="1">
      <alignment vertical="center"/>
    </xf>
    <xf numFmtId="0" fontId="5" fillId="0" borderId="0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 vertical="center"/>
    </xf>
    <xf numFmtId="0" fontId="3" fillId="0" borderId="0" xfId="1" applyFont="1" applyFill="1" applyBorder="1" applyAlignment="1">
      <alignment vertical="center"/>
    </xf>
    <xf numFmtId="0" fontId="5" fillId="6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3" fillId="4" borderId="1" xfId="1" applyFont="1" applyFill="1" applyBorder="1" applyAlignment="1">
      <alignment horizontal="center" vertical="center"/>
    </xf>
    <xf numFmtId="0" fontId="5" fillId="0" borderId="0" xfId="1" applyFont="1" applyAlignment="1">
      <alignment vertical="center"/>
    </xf>
    <xf numFmtId="0" fontId="3" fillId="0" borderId="0" xfId="1" applyFont="1" applyFill="1" applyAlignment="1">
      <alignment vertical="center"/>
    </xf>
    <xf numFmtId="0" fontId="2" fillId="0" borderId="0" xfId="1" applyFont="1" applyFill="1" applyBorder="1" applyAlignment="1">
      <alignment vertical="center"/>
    </xf>
    <xf numFmtId="0" fontId="9" fillId="0" borderId="0" xfId="1" applyFont="1" applyFill="1" applyBorder="1" applyAlignment="1">
      <alignment vertical="center"/>
    </xf>
    <xf numFmtId="0" fontId="9" fillId="0" borderId="0" xfId="1" applyFont="1" applyFill="1" applyAlignment="1">
      <alignment vertical="center"/>
    </xf>
    <xf numFmtId="0" fontId="9" fillId="0" borderId="0" xfId="1" applyFont="1" applyAlignment="1">
      <alignment vertical="center"/>
    </xf>
    <xf numFmtId="0" fontId="3" fillId="9" borderId="1" xfId="1" applyFont="1" applyFill="1" applyBorder="1" applyAlignment="1">
      <alignment horizontal="center" vertical="center"/>
    </xf>
    <xf numFmtId="0" fontId="2" fillId="0" borderId="0" xfId="1" applyFont="1" applyFill="1" applyAlignment="1">
      <alignment vertical="center"/>
    </xf>
    <xf numFmtId="0" fontId="2" fillId="0" borderId="0" xfId="1" applyFont="1" applyAlignment="1">
      <alignment vertical="center"/>
    </xf>
    <xf numFmtId="0" fontId="3" fillId="3" borderId="1" xfId="1" applyFont="1" applyFill="1" applyBorder="1" applyAlignment="1">
      <alignment horizontal="center" vertical="center"/>
    </xf>
    <xf numFmtId="165" fontId="3" fillId="17" borderId="18" xfId="1" applyNumberFormat="1" applyFont="1" applyFill="1" applyBorder="1" applyAlignment="1">
      <alignment vertical="center"/>
    </xf>
    <xf numFmtId="0" fontId="3" fillId="17" borderId="18" xfId="1" applyFont="1" applyFill="1" applyBorder="1" applyAlignment="1">
      <alignment vertical="center"/>
    </xf>
    <xf numFmtId="0" fontId="2" fillId="0" borderId="0" xfId="1" applyFont="1" applyBorder="1" applyAlignment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Border="1" applyAlignment="1">
      <alignment vertical="center"/>
    </xf>
    <xf numFmtId="0" fontId="3" fillId="0" borderId="1" xfId="1" applyFont="1" applyFill="1" applyBorder="1" applyAlignment="1">
      <alignment horizontal="center" vertical="center"/>
    </xf>
    <xf numFmtId="165" fontId="3" fillId="17" borderId="20" xfId="1" applyNumberFormat="1" applyFont="1" applyFill="1" applyBorder="1" applyAlignment="1">
      <alignment horizontal="center" vertical="center"/>
    </xf>
    <xf numFmtId="2" fontId="3" fillId="17" borderId="20" xfId="1" applyNumberFormat="1" applyFont="1" applyFill="1" applyBorder="1" applyAlignment="1">
      <alignment horizontal="center" vertical="center"/>
    </xf>
    <xf numFmtId="164" fontId="3" fillId="4" borderId="1" xfId="1" applyNumberFormat="1" applyFont="1" applyFill="1" applyBorder="1" applyAlignment="1">
      <alignment horizontal="center" vertical="center"/>
    </xf>
    <xf numFmtId="0" fontId="3" fillId="6" borderId="1" xfId="1" applyFont="1" applyFill="1" applyBorder="1" applyAlignment="1">
      <alignment horizontal="center" vertical="center"/>
    </xf>
    <xf numFmtId="165" fontId="3" fillId="17" borderId="16" xfId="1" applyNumberFormat="1" applyFont="1" applyFill="1" applyBorder="1" applyAlignment="1">
      <alignment vertical="center"/>
    </xf>
    <xf numFmtId="0" fontId="3" fillId="17" borderId="16" xfId="1" applyFont="1" applyFill="1" applyBorder="1" applyAlignment="1">
      <alignment vertical="center"/>
    </xf>
    <xf numFmtId="164" fontId="3" fillId="17" borderId="18" xfId="1" applyNumberFormat="1" applyFont="1" applyFill="1" applyBorder="1" applyAlignment="1">
      <alignment vertical="center"/>
    </xf>
    <xf numFmtId="0" fontId="3" fillId="17" borderId="17" xfId="1" applyFont="1" applyFill="1" applyBorder="1" applyAlignment="1">
      <alignment vertical="center"/>
    </xf>
    <xf numFmtId="165" fontId="3" fillId="17" borderId="17" xfId="1" applyNumberFormat="1" applyFont="1" applyFill="1" applyBorder="1" applyAlignment="1">
      <alignment vertical="center"/>
    </xf>
    <xf numFmtId="0" fontId="3" fillId="6" borderId="17" xfId="1" applyFont="1" applyFill="1" applyBorder="1" applyAlignment="1">
      <alignment vertical="center"/>
    </xf>
    <xf numFmtId="0" fontId="9" fillId="0" borderId="0" xfId="1" applyFont="1" applyFill="1" applyBorder="1" applyAlignment="1">
      <alignment horizontal="center" vertical="center"/>
    </xf>
    <xf numFmtId="0" fontId="5" fillId="0" borderId="0" xfId="1" applyFont="1" applyFill="1" applyAlignment="1">
      <alignment vertical="center"/>
    </xf>
    <xf numFmtId="0" fontId="23" fillId="0" borderId="0" xfId="1" applyFont="1" applyAlignment="1">
      <alignment vertical="center"/>
    </xf>
    <xf numFmtId="2" fontId="3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vertical="center"/>
    </xf>
    <xf numFmtId="2" fontId="3" fillId="0" borderId="1" xfId="1" applyNumberFormat="1" applyFont="1" applyFill="1" applyBorder="1" applyAlignment="1">
      <alignment horizontal="center" vertical="center"/>
    </xf>
    <xf numFmtId="10" fontId="3" fillId="0" borderId="1" xfId="1" applyNumberFormat="1" applyFont="1" applyFill="1" applyBorder="1" applyAlignment="1">
      <alignment horizontal="center" vertical="center"/>
    </xf>
    <xf numFmtId="2" fontId="3" fillId="9" borderId="1" xfId="1" applyNumberFormat="1" applyFont="1" applyFill="1" applyBorder="1" applyAlignment="1">
      <alignment horizontal="center" vertical="center"/>
    </xf>
    <xf numFmtId="2" fontId="3" fillId="6" borderId="1" xfId="1" applyNumberFormat="1" applyFont="1" applyFill="1" applyBorder="1" applyAlignment="1">
      <alignment horizontal="center" vertical="center"/>
    </xf>
    <xf numFmtId="10" fontId="3" fillId="6" borderId="1" xfId="1" applyNumberFormat="1" applyFont="1" applyFill="1" applyBorder="1" applyAlignment="1">
      <alignment horizontal="center" vertical="center"/>
    </xf>
    <xf numFmtId="165" fontId="3" fillId="7" borderId="1" xfId="1" applyNumberFormat="1" applyFont="1" applyFill="1" applyBorder="1" applyAlignment="1">
      <alignment horizontal="center" vertical="center"/>
    </xf>
    <xf numFmtId="10" fontId="3" fillId="7" borderId="1" xfId="1" applyNumberFormat="1" applyFont="1" applyFill="1" applyBorder="1" applyAlignment="1">
      <alignment horizontal="center" vertical="center"/>
    </xf>
    <xf numFmtId="2" fontId="9" fillId="0" borderId="0" xfId="1" applyNumberFormat="1" applyFont="1" applyAlignment="1">
      <alignment vertical="center"/>
    </xf>
    <xf numFmtId="2" fontId="8" fillId="0" borderId="0" xfId="0" applyNumberFormat="1" applyFont="1" applyBorder="1" applyAlignment="1">
      <alignment vertical="center"/>
    </xf>
    <xf numFmtId="0" fontId="8" fillId="0" borderId="0" xfId="0" applyFont="1" applyBorder="1" applyAlignment="1">
      <alignment vertical="center"/>
    </xf>
    <xf numFmtId="2" fontId="8" fillId="0" borderId="0" xfId="0" applyNumberFormat="1" applyFont="1" applyBorder="1" applyAlignment="1">
      <alignment horizontal="center" vertical="center"/>
    </xf>
    <xf numFmtId="10" fontId="8" fillId="0" borderId="0" xfId="0" applyNumberFormat="1" applyFont="1" applyBorder="1" applyAlignment="1">
      <alignment vertical="center"/>
    </xf>
    <xf numFmtId="2" fontId="3" fillId="0" borderId="0" xfId="0" applyNumberFormat="1" applyFont="1" applyFill="1" applyBorder="1" applyAlignment="1">
      <alignment vertical="center"/>
    </xf>
    <xf numFmtId="0" fontId="10" fillId="0" borderId="0" xfId="1" applyFont="1" applyAlignment="1">
      <alignment vertical="center"/>
    </xf>
    <xf numFmtId="167" fontId="3" fillId="0" borderId="1" xfId="1" applyNumberFormat="1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2" fontId="3" fillId="7" borderId="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167" fontId="3" fillId="7" borderId="1" xfId="1" applyNumberFormat="1" applyFont="1" applyFill="1" applyBorder="1" applyAlignment="1">
      <alignment horizontal="center" vertical="center"/>
    </xf>
    <xf numFmtId="0" fontId="4" fillId="0" borderId="0" xfId="1" applyAlignment="1">
      <alignment vertical="center"/>
    </xf>
    <xf numFmtId="2" fontId="3" fillId="0" borderId="0" xfId="0" applyNumberFormat="1" applyFont="1" applyFill="1" applyBorder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2" fontId="0" fillId="7" borderId="0" xfId="0" applyNumberFormat="1" applyFill="1" applyBorder="1" applyAlignment="1">
      <alignment horizontal="center" vertical="center"/>
    </xf>
    <xf numFmtId="167" fontId="3" fillId="7" borderId="0" xfId="1" applyNumberFormat="1" applyFon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5" fontId="0" fillId="12" borderId="1" xfId="0" applyNumberForma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18" borderId="0" xfId="0" applyFont="1" applyFill="1" applyAlignment="1">
      <alignment horizontal="center" vertical="center"/>
    </xf>
    <xf numFmtId="0" fontId="0" fillId="6" borderId="1" xfId="0" applyFill="1" applyBorder="1" applyAlignment="1">
      <alignment vertical="center"/>
    </xf>
    <xf numFmtId="0" fontId="4" fillId="0" borderId="0" xfId="0" applyFont="1" applyBorder="1" applyAlignment="1" applyProtection="1">
      <alignment horizontal="center" vertical="center"/>
      <protection locked="0"/>
    </xf>
    <xf numFmtId="0" fontId="11" fillId="0" borderId="0" xfId="0" applyFont="1" applyFill="1" applyBorder="1" applyAlignment="1" applyProtection="1">
      <alignment horizontal="left" vertical="center"/>
      <protection locked="0"/>
    </xf>
    <xf numFmtId="0" fontId="11" fillId="0" borderId="0" xfId="0" applyFont="1" applyBorder="1" applyAlignment="1" applyProtection="1">
      <alignment horizontal="center" vertical="center"/>
      <protection locked="0"/>
    </xf>
    <xf numFmtId="0" fontId="4" fillId="0" borderId="0" xfId="0" applyFont="1" applyBorder="1" applyAlignment="1" applyProtection="1">
      <alignment horizontal="left" vertical="center"/>
      <protection locked="0"/>
    </xf>
    <xf numFmtId="0" fontId="20" fillId="0" borderId="10" xfId="0" applyFont="1" applyFill="1" applyBorder="1" applyAlignment="1" applyProtection="1">
      <alignment horizontal="center" vertical="center"/>
      <protection locked="0"/>
    </xf>
    <xf numFmtId="0" fontId="20" fillId="0" borderId="12" xfId="0" applyFont="1" applyFill="1" applyBorder="1" applyAlignment="1" applyProtection="1">
      <alignment horizontal="center" vertical="center"/>
      <protection locked="0"/>
    </xf>
    <xf numFmtId="0" fontId="20" fillId="0" borderId="15" xfId="0" applyFont="1" applyFill="1" applyBorder="1" applyAlignment="1" applyProtection="1">
      <alignment horizontal="center" vertical="center"/>
      <protection locked="0"/>
    </xf>
    <xf numFmtId="164" fontId="0" fillId="0" borderId="1" xfId="0" applyNumberFormat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3" borderId="0" xfId="0" applyFill="1"/>
    <xf numFmtId="0" fontId="0" fillId="0" borderId="6" xfId="0" applyBorder="1" applyAlignment="1">
      <alignment horizontal="center"/>
    </xf>
    <xf numFmtId="166" fontId="0" fillId="4" borderId="1" xfId="0" applyNumberForma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7" fontId="0" fillId="0" borderId="1" xfId="0" applyNumberFormat="1" applyBorder="1" applyAlignment="1">
      <alignment horizontal="center"/>
    </xf>
    <xf numFmtId="167" fontId="0" fillId="0" borderId="0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9" fillId="0" borderId="0" xfId="0" applyNumberFormat="1" applyFont="1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0" fontId="5" fillId="2" borderId="17" xfId="1" applyFont="1" applyFill="1" applyBorder="1" applyAlignment="1">
      <alignment vertical="center"/>
    </xf>
    <xf numFmtId="0" fontId="5" fillId="2" borderId="19" xfId="1" applyFont="1" applyFill="1" applyBorder="1" applyAlignment="1">
      <alignment vertical="center"/>
    </xf>
    <xf numFmtId="0" fontId="5" fillId="4" borderId="17" xfId="1" applyFont="1" applyFill="1" applyBorder="1" applyAlignment="1">
      <alignment vertical="center" wrapText="1"/>
    </xf>
    <xf numFmtId="0" fontId="5" fillId="4" borderId="19" xfId="1" applyFont="1" applyFill="1" applyBorder="1" applyAlignment="1">
      <alignment vertical="center" wrapText="1"/>
    </xf>
    <xf numFmtId="0" fontId="5" fillId="2" borderId="17" xfId="1" applyFont="1" applyFill="1" applyBorder="1" applyAlignment="1">
      <alignment vertical="center" wrapText="1"/>
    </xf>
    <xf numFmtId="0" fontId="5" fillId="2" borderId="19" xfId="1" applyFont="1" applyFill="1" applyBorder="1" applyAlignment="1">
      <alignment vertical="center" wrapText="1"/>
    </xf>
    <xf numFmtId="0" fontId="3" fillId="9" borderId="1" xfId="1" applyFont="1" applyFill="1" applyBorder="1" applyAlignment="1">
      <alignment vertical="center"/>
    </xf>
    <xf numFmtId="0" fontId="0" fillId="9" borderId="1" xfId="0" applyFill="1" applyBorder="1" applyAlignment="1">
      <alignment horizontal="center" vertical="center"/>
    </xf>
    <xf numFmtId="167" fontId="0" fillId="0" borderId="1" xfId="0" applyNumberFormat="1" applyFill="1" applyBorder="1" applyAlignment="1">
      <alignment horizontal="center" vertical="center"/>
    </xf>
    <xf numFmtId="11" fontId="0" fillId="0" borderId="1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0" fillId="2" borderId="0" xfId="0" applyFill="1" applyAlignment="1">
      <alignment horizontal="left" vertical="top" wrapText="1"/>
    </xf>
    <xf numFmtId="0" fontId="21" fillId="0" borderId="21" xfId="0" applyFont="1" applyBorder="1" applyAlignment="1">
      <alignment horizontal="center"/>
    </xf>
    <xf numFmtId="0" fontId="21" fillId="0" borderId="22" xfId="0" applyFont="1" applyBorder="1" applyAlignment="1">
      <alignment horizontal="center"/>
    </xf>
    <xf numFmtId="0" fontId="21" fillId="0" borderId="23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10" borderId="0" xfId="0" applyFont="1" applyFill="1" applyBorder="1" applyAlignment="1">
      <alignment horizontal="center" vertical="center"/>
    </xf>
    <xf numFmtId="2" fontId="0" fillId="0" borderId="6" xfId="0" applyNumberFormat="1" applyFill="1" applyBorder="1" applyAlignment="1">
      <alignment horizontal="center" vertical="center"/>
    </xf>
    <xf numFmtId="2" fontId="0" fillId="0" borderId="2" xfId="0" applyNumberFormat="1" applyFill="1" applyBorder="1" applyAlignment="1">
      <alignment horizontal="center" vertical="center"/>
    </xf>
    <xf numFmtId="9" fontId="0" fillId="6" borderId="6" xfId="0" applyNumberFormat="1" applyFill="1" applyBorder="1" applyAlignment="1">
      <alignment horizontal="center" vertical="center"/>
    </xf>
    <xf numFmtId="9" fontId="0" fillId="6" borderId="7" xfId="0" applyNumberFormat="1" applyFill="1" applyBorder="1" applyAlignment="1">
      <alignment horizontal="center" vertical="center"/>
    </xf>
    <xf numFmtId="9" fontId="0" fillId="6" borderId="2" xfId="0" applyNumberFormat="1" applyFill="1" applyBorder="1" applyAlignment="1">
      <alignment horizontal="center" vertical="center"/>
    </xf>
    <xf numFmtId="2" fontId="1" fillId="0" borderId="6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6" borderId="4" xfId="0" applyFon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9" fontId="0" fillId="0" borderId="6" xfId="0" applyNumberFormat="1" applyBorder="1" applyAlignment="1">
      <alignment horizontal="center" vertical="center"/>
    </xf>
    <xf numFmtId="9" fontId="0" fillId="0" borderId="7" xfId="0" applyNumberFormat="1" applyBorder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10" fontId="0" fillId="6" borderId="6" xfId="0" applyNumberFormat="1" applyFill="1" applyBorder="1" applyAlignment="1">
      <alignment horizontal="center" vertical="center"/>
    </xf>
    <xf numFmtId="0" fontId="0" fillId="6" borderId="7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10" fontId="0" fillId="7" borderId="6" xfId="0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164" fontId="0" fillId="0" borderId="6" xfId="0" applyNumberFormat="1" applyFill="1" applyBorder="1" applyAlignment="1">
      <alignment horizontal="center" vertical="center"/>
    </xf>
    <xf numFmtId="164" fontId="0" fillId="0" borderId="7" xfId="0" applyNumberFormat="1" applyFill="1" applyBorder="1" applyAlignment="1">
      <alignment horizontal="center" vertical="center"/>
    </xf>
    <xf numFmtId="164" fontId="0" fillId="0" borderId="2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11" fontId="0" fillId="0" borderId="6" xfId="0" applyNumberFormat="1" applyFill="1" applyBorder="1" applyAlignment="1">
      <alignment horizontal="center" vertical="center"/>
    </xf>
    <xf numFmtId="11" fontId="0" fillId="0" borderId="7" xfId="0" applyNumberFormat="1" applyFill="1" applyBorder="1" applyAlignment="1">
      <alignment horizontal="center" vertical="center"/>
    </xf>
    <xf numFmtId="11" fontId="0" fillId="0" borderId="2" xfId="0" applyNumberFormat="1" applyFill="1" applyBorder="1" applyAlignment="1">
      <alignment horizontal="center" vertical="center"/>
    </xf>
    <xf numFmtId="0" fontId="5" fillId="0" borderId="3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4" borderId="3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3" fillId="9" borderId="3" xfId="1" applyFont="1" applyFill="1" applyBorder="1" applyAlignment="1">
      <alignment horizontal="center" vertical="center"/>
    </xf>
    <xf numFmtId="0" fontId="3" fillId="9" borderId="4" xfId="1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/>
    </xf>
    <xf numFmtId="0" fontId="3" fillId="9" borderId="1" xfId="1" applyFont="1" applyFill="1" applyBorder="1" applyAlignment="1">
      <alignment horizontal="center" vertical="center"/>
    </xf>
    <xf numFmtId="0" fontId="5" fillId="9" borderId="1" xfId="1" applyFont="1" applyFill="1" applyBorder="1" applyAlignment="1">
      <alignment horizontal="center" vertical="center"/>
    </xf>
    <xf numFmtId="10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0" fontId="0" fillId="0" borderId="7" xfId="0" applyNumberFormat="1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3" borderId="0" xfId="0" applyFont="1" applyFill="1" applyBorder="1" applyAlignment="1">
      <alignment horizontal="left" vertical="center"/>
    </xf>
    <xf numFmtId="0" fontId="1" fillId="18" borderId="0" xfId="0" applyFont="1" applyFill="1" applyAlignment="1">
      <alignment horizontal="center" vertical="center"/>
    </xf>
    <xf numFmtId="0" fontId="1" fillId="18" borderId="0" xfId="0" applyFont="1" applyFill="1" applyAlignment="1">
      <alignment horizontal="left" vertical="center"/>
    </xf>
    <xf numFmtId="0" fontId="1" fillId="18" borderId="0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4" fillId="0" borderId="3" xfId="2" applyBorder="1" applyAlignment="1">
      <alignment horizontal="center" vertical="center"/>
    </xf>
    <xf numFmtId="0" fontId="4" fillId="0" borderId="5" xfId="2" applyBorder="1" applyAlignment="1">
      <alignment horizontal="center" vertical="center"/>
    </xf>
    <xf numFmtId="0" fontId="4" fillId="0" borderId="4" xfId="2" applyBorder="1" applyAlignment="1">
      <alignment horizontal="center" vertical="center"/>
    </xf>
    <xf numFmtId="0" fontId="4" fillId="0" borderId="3" xfId="2" applyFill="1" applyBorder="1" applyAlignment="1">
      <alignment horizontal="center" vertical="center"/>
    </xf>
    <xf numFmtId="0" fontId="4" fillId="0" borderId="5" xfId="2" applyFill="1" applyBorder="1" applyAlignment="1">
      <alignment horizontal="center" vertical="center"/>
    </xf>
    <xf numFmtId="0" fontId="4" fillId="0" borderId="4" xfId="2" applyFill="1" applyBorder="1" applyAlignment="1">
      <alignment horizontal="center" vertical="center"/>
    </xf>
    <xf numFmtId="0" fontId="4" fillId="0" borderId="1" xfId="2" applyBorder="1" applyAlignment="1">
      <alignment horizontal="center" vertical="center"/>
    </xf>
    <xf numFmtId="0" fontId="4" fillId="6" borderId="1" xfId="2" applyFont="1" applyFill="1" applyBorder="1" applyAlignment="1">
      <alignment horizontal="center" vertical="center"/>
    </xf>
    <xf numFmtId="165" fontId="4" fillId="0" borderId="6" xfId="2" applyNumberFormat="1" applyBorder="1" applyAlignment="1">
      <alignment horizontal="center" vertical="center"/>
    </xf>
    <xf numFmtId="165" fontId="4" fillId="0" borderId="2" xfId="2" applyNumberFormat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 vertical="center" textRotation="90"/>
    </xf>
    <xf numFmtId="165" fontId="0" fillId="22" borderId="6" xfId="0" applyNumberFormat="1" applyFill="1" applyBorder="1" applyAlignment="1">
      <alignment horizontal="center" vertical="center"/>
    </xf>
    <xf numFmtId="165" fontId="0" fillId="22" borderId="1" xfId="0" applyNumberFormat="1" applyFill="1" applyBorder="1" applyAlignment="1">
      <alignment horizontal="center" vertical="center"/>
    </xf>
    <xf numFmtId="164" fontId="0" fillId="22" borderId="1" xfId="0" applyNumberFormat="1" applyFill="1" applyBorder="1" applyAlignment="1">
      <alignment horizontal="center" vertical="center"/>
    </xf>
  </cellXfs>
  <cellStyles count="3">
    <cellStyle name="Normal" xfId="0" builtinId="0"/>
    <cellStyle name="Normal 2" xfId="1" xr:uid="{00000000-0005-0000-0000-000001000000}"/>
    <cellStyle name="Normal 2 3 2" xfId="2" xr:uid="{00000000-0005-0000-0000-000002000000}"/>
  </cellStyles>
  <dxfs count="10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rgb="FF00B050"/>
      </font>
    </dxf>
    <dxf>
      <font>
        <b/>
        <i val="0"/>
        <strike val="0"/>
        <color rgb="FFFF0000"/>
      </font>
    </dxf>
    <dxf>
      <font>
        <b/>
        <i val="0"/>
        <color rgb="FF00B050"/>
      </font>
    </dxf>
    <dxf>
      <font>
        <b/>
        <i val="0"/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auto="1"/>
      </font>
    </dxf>
    <dxf>
      <font>
        <color rgb="FF00B05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00B050"/>
      </font>
    </dxf>
    <dxf>
      <font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gamme étalon vs gamme forme reconstituée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gamme étalon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linéarité!$D$26:$D$40</c:f>
              <c:numCache>
                <c:formatCode>0.000</c:formatCode>
                <c:ptCount val="15"/>
                <c:pt idx="0">
                  <c:v>0.24170736000000001</c:v>
                </c:pt>
                <c:pt idx="1">
                  <c:v>0.24170736000000001</c:v>
                </c:pt>
                <c:pt idx="2">
                  <c:v>0.24170736000000001</c:v>
                </c:pt>
                <c:pt idx="3">
                  <c:v>0.27015720000000004</c:v>
                </c:pt>
                <c:pt idx="4">
                  <c:v>0.27015720000000004</c:v>
                </c:pt>
                <c:pt idx="5">
                  <c:v>0.27015720000000004</c:v>
                </c:pt>
                <c:pt idx="6">
                  <c:v>0.30546756000000003</c:v>
                </c:pt>
                <c:pt idx="7">
                  <c:v>0.30546756000000003</c:v>
                </c:pt>
                <c:pt idx="8">
                  <c:v>0.30546756000000003</c:v>
                </c:pt>
                <c:pt idx="9">
                  <c:v>0.33119451000000005</c:v>
                </c:pt>
                <c:pt idx="10">
                  <c:v>0.33119451000000005</c:v>
                </c:pt>
                <c:pt idx="11">
                  <c:v>0.33119451000000005</c:v>
                </c:pt>
                <c:pt idx="12">
                  <c:v>0.36177615000000002</c:v>
                </c:pt>
                <c:pt idx="13">
                  <c:v>0.36177615000000002</c:v>
                </c:pt>
                <c:pt idx="14">
                  <c:v>0.36177615000000002</c:v>
                </c:pt>
              </c:numCache>
            </c:numRef>
          </c:xVal>
          <c:yVal>
            <c:numRef>
              <c:f>linéarité!$E$26:$E$40</c:f>
              <c:numCache>
                <c:formatCode>0.000</c:formatCode>
                <c:ptCount val="15"/>
                <c:pt idx="0">
                  <c:v>0.93338392009089366</c:v>
                </c:pt>
                <c:pt idx="1">
                  <c:v>0.91727528547659543</c:v>
                </c:pt>
                <c:pt idx="2">
                  <c:v>0.92152006269881559</c:v>
                </c:pt>
                <c:pt idx="3">
                  <c:v>1.0526673574968211</c:v>
                </c:pt>
                <c:pt idx="4">
                  <c:v>1.0234661002584118</c:v>
                </c:pt>
                <c:pt idx="5">
                  <c:v>1.0305753006845362</c:v>
                </c:pt>
                <c:pt idx="6">
                  <c:v>1.1880036329096475</c:v>
                </c:pt>
                <c:pt idx="7">
                  <c:v>1.1682164935103687</c:v>
                </c:pt>
                <c:pt idx="8">
                  <c:v>1.1710419996478993</c:v>
                </c:pt>
                <c:pt idx="9">
                  <c:v>1.2909807775973445</c:v>
                </c:pt>
                <c:pt idx="10">
                  <c:v>1.262338131708749</c:v>
                </c:pt>
                <c:pt idx="11">
                  <c:v>1.2673632634635048</c:v>
                </c:pt>
                <c:pt idx="12">
                  <c:v>1.3975495814567416</c:v>
                </c:pt>
                <c:pt idx="13">
                  <c:v>1.3896500677318926</c:v>
                </c:pt>
                <c:pt idx="14">
                  <c:v>1.378472697183023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9EA-4324-8B28-F87978E8EEEC}"/>
            </c:ext>
          </c:extLst>
        </c:ser>
        <c:ser>
          <c:idx val="1"/>
          <c:order val="1"/>
          <c:tx>
            <c:v>forme reconstituée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727339398151178"/>
                  <c:y val="3.24488903284088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linéarité!$J$26:$J$40</c:f>
              <c:numCache>
                <c:formatCode>0.000</c:formatCode>
                <c:ptCount val="15"/>
                <c:pt idx="0">
                  <c:v>0.24170736000000001</c:v>
                </c:pt>
                <c:pt idx="1">
                  <c:v>0.24170736000000001</c:v>
                </c:pt>
                <c:pt idx="2">
                  <c:v>0.24170736000000001</c:v>
                </c:pt>
                <c:pt idx="3">
                  <c:v>0.27015719999999999</c:v>
                </c:pt>
                <c:pt idx="4">
                  <c:v>0.27015719999999999</c:v>
                </c:pt>
                <c:pt idx="5">
                  <c:v>0.27015719999999999</c:v>
                </c:pt>
                <c:pt idx="6">
                  <c:v>0.30546756000000003</c:v>
                </c:pt>
                <c:pt idx="7">
                  <c:v>0.30546756000000003</c:v>
                </c:pt>
                <c:pt idx="8">
                  <c:v>0.30546756000000003</c:v>
                </c:pt>
                <c:pt idx="9">
                  <c:v>0.33119451000000005</c:v>
                </c:pt>
                <c:pt idx="10">
                  <c:v>0.33119451000000005</c:v>
                </c:pt>
                <c:pt idx="11">
                  <c:v>0.33119451000000005</c:v>
                </c:pt>
                <c:pt idx="12">
                  <c:v>0.36177615000000002</c:v>
                </c:pt>
                <c:pt idx="13">
                  <c:v>0.36177615000000002</c:v>
                </c:pt>
                <c:pt idx="14">
                  <c:v>0.36177615000000002</c:v>
                </c:pt>
              </c:numCache>
            </c:numRef>
          </c:xVal>
          <c:yVal>
            <c:numRef>
              <c:f>linéarité!$K$26:$K$40</c:f>
              <c:numCache>
                <c:formatCode>0\.000</c:formatCode>
                <c:ptCount val="15"/>
                <c:pt idx="0">
                  <c:v>0.95226966287839487</c:v>
                </c:pt>
                <c:pt idx="1">
                  <c:v>1.0158854601747584</c:v>
                </c:pt>
                <c:pt idx="2">
                  <c:v>0.97807907601444732</c:v>
                </c:pt>
                <c:pt idx="3">
                  <c:v>1.0626904704608744</c:v>
                </c:pt>
                <c:pt idx="4">
                  <c:v>1.04389298046405</c:v>
                </c:pt>
                <c:pt idx="5">
                  <c:v>1.0659074941322229</c:v>
                </c:pt>
                <c:pt idx="6">
                  <c:v>1.20224081880025</c:v>
                </c:pt>
                <c:pt idx="7">
                  <c:v>1.188657095130786</c:v>
                </c:pt>
                <c:pt idx="8">
                  <c:v>1.1964308418870633</c:v>
                </c:pt>
                <c:pt idx="9">
                  <c:v>1.3062505432553109</c:v>
                </c:pt>
                <c:pt idx="10">
                  <c:v>1.2947846172069608</c:v>
                </c:pt>
                <c:pt idx="11">
                  <c:v>1.2877175242855716</c:v>
                </c:pt>
                <c:pt idx="12">
                  <c:v>1.4303994739715435</c:v>
                </c:pt>
                <c:pt idx="13">
                  <c:v>1.4121744065129587</c:v>
                </c:pt>
                <c:pt idx="14">
                  <c:v>1.4242656353936263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9EA-4324-8B28-F87978E8E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58167040"/>
        <c:axId val="1158165952"/>
      </c:scatterChart>
      <c:valAx>
        <c:axId val="11581670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Valeur introduite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8165952"/>
        <c:crosses val="autoZero"/>
        <c:crossBetween val="midCat"/>
      </c:valAx>
      <c:valAx>
        <c:axId val="11581659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réponse 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1581670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0" i="0" baseline="0"/>
              <a:t>Résolution avant : effet moyen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5606577938819E-2"/>
          <c:y val="0.20261160903274186"/>
          <c:w val="0.83855566626372813"/>
          <c:h val="0.59781317657873412"/>
        </c:manualLayout>
      </c:layout>
      <c:barChart>
        <c:barDir val="bar"/>
        <c:grouping val="clustered"/>
        <c:varyColors val="0"/>
        <c:ser>
          <c:idx val="0"/>
          <c:order val="0"/>
          <c:tx>
            <c:v>écarts absolus</c:v>
          </c:tx>
          <c:invertIfNegative val="0"/>
          <c:cat>
            <c:strRef>
              <c:f>robustesse!$C$21:$I$21</c:f>
              <c:strCache>
                <c:ptCount val="7"/>
                <c:pt idx="0">
                  <c:v>débit</c:v>
                </c:pt>
                <c:pt idx="1">
                  <c:v>pH</c:v>
                </c:pt>
                <c:pt idx="2">
                  <c:v>volume</c:v>
                </c:pt>
                <c:pt idx="3">
                  <c:v>T°C</c:v>
                </c:pt>
                <c:pt idx="4">
                  <c:v>colonne</c:v>
                </c:pt>
                <c:pt idx="5">
                  <c:v>gaz</c:v>
                </c:pt>
                <c:pt idx="6">
                  <c:v>éthanol</c:v>
                </c:pt>
              </c:strCache>
            </c:strRef>
          </c:cat>
          <c:val>
            <c:numRef>
              <c:f>robustesse!$D$38:$J$38</c:f>
              <c:numCache>
                <c:formatCode>0.00</c:formatCode>
                <c:ptCount val="7"/>
                <c:pt idx="0">
                  <c:v>-4.8125</c:v>
                </c:pt>
                <c:pt idx="1">
                  <c:v>-5.2374999999999972</c:v>
                </c:pt>
                <c:pt idx="2">
                  <c:v>10.412500000000009</c:v>
                </c:pt>
                <c:pt idx="3">
                  <c:v>0.48749999999999005</c:v>
                </c:pt>
                <c:pt idx="4">
                  <c:v>0.33749999999998437</c:v>
                </c:pt>
                <c:pt idx="5">
                  <c:v>-2.2124999999999986</c:v>
                </c:pt>
                <c:pt idx="6">
                  <c:v>-0.83749999999999858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D2-435C-B4FA-733488B349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8168672"/>
        <c:axId val="1158162144"/>
      </c:barChart>
      <c:catAx>
        <c:axId val="1158168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58162144"/>
        <c:crosses val="autoZero"/>
        <c:auto val="1"/>
        <c:lblAlgn val="ctr"/>
        <c:lblOffset val="100"/>
        <c:noMultiLvlLbl val="0"/>
      </c:catAx>
      <c:valAx>
        <c:axId val="1158162144"/>
        <c:scaling>
          <c:orientation val="minMax"/>
        </c:scaling>
        <c:delete val="0"/>
        <c:axPos val="b"/>
        <c:majorGridlines/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58168672"/>
        <c:crosses val="autoZero"/>
        <c:crossBetween val="between"/>
      </c:valAx>
    </c:plotArea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0" i="0" baseline="0"/>
              <a:t>Résolution après : effet moyen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5606577938819E-2"/>
          <c:y val="0.20261160903274186"/>
          <c:w val="0.83855566626372813"/>
          <c:h val="0.59781317657873412"/>
        </c:manualLayout>
      </c:layout>
      <c:barChart>
        <c:barDir val="bar"/>
        <c:grouping val="clustered"/>
        <c:varyColors val="0"/>
        <c:ser>
          <c:idx val="0"/>
          <c:order val="0"/>
          <c:tx>
            <c:v>écarts absolus</c:v>
          </c:tx>
          <c:invertIfNegative val="0"/>
          <c:cat>
            <c:strRef>
              <c:f>robustesse!$C$21:$I$21</c:f>
              <c:strCache>
                <c:ptCount val="7"/>
                <c:pt idx="0">
                  <c:v>débit</c:v>
                </c:pt>
                <c:pt idx="1">
                  <c:v>pH</c:v>
                </c:pt>
                <c:pt idx="2">
                  <c:v>volume</c:v>
                </c:pt>
                <c:pt idx="3">
                  <c:v>T°C</c:v>
                </c:pt>
                <c:pt idx="4">
                  <c:v>colonne</c:v>
                </c:pt>
                <c:pt idx="5">
                  <c:v>gaz</c:v>
                </c:pt>
                <c:pt idx="6">
                  <c:v>éthanol</c:v>
                </c:pt>
              </c:strCache>
            </c:strRef>
          </c:cat>
          <c:val>
            <c:numRef>
              <c:f>robustesse!$D$39:$J$39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89-4AA9-803A-28BD73E4EA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58163232"/>
        <c:axId val="1158173568"/>
      </c:barChart>
      <c:catAx>
        <c:axId val="11581632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58173568"/>
        <c:crosses val="autoZero"/>
        <c:auto val="1"/>
        <c:lblAlgn val="ctr"/>
        <c:lblOffset val="100"/>
        <c:noMultiLvlLbl val="0"/>
      </c:catAx>
      <c:valAx>
        <c:axId val="1158173568"/>
        <c:scaling>
          <c:orientation val="minMax"/>
        </c:scaling>
        <c:delete val="0"/>
        <c:axPos val="b"/>
        <c:majorGridlines/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158163232"/>
        <c:crosses val="autoZero"/>
        <c:crossBetween val="between"/>
      </c:valAx>
    </c:plotArea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0" i="0" baseline="0"/>
              <a:t>TR BDDE : effet moyen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5606577938819E-2"/>
          <c:y val="0.20261160903274186"/>
          <c:w val="0.83855566626372813"/>
          <c:h val="0.59781317657873412"/>
        </c:manualLayout>
      </c:layout>
      <c:barChart>
        <c:barDir val="bar"/>
        <c:grouping val="clustered"/>
        <c:varyColors val="0"/>
        <c:ser>
          <c:idx val="0"/>
          <c:order val="0"/>
          <c:tx>
            <c:v>écarts absolus</c:v>
          </c:tx>
          <c:invertIfNegative val="0"/>
          <c:cat>
            <c:strRef>
              <c:f>robustesse!$C$21:$I$21</c:f>
              <c:strCache>
                <c:ptCount val="7"/>
                <c:pt idx="0">
                  <c:v>débit</c:v>
                </c:pt>
                <c:pt idx="1">
                  <c:v>pH</c:v>
                </c:pt>
                <c:pt idx="2">
                  <c:v>volume</c:v>
                </c:pt>
                <c:pt idx="3">
                  <c:v>T°C</c:v>
                </c:pt>
                <c:pt idx="4">
                  <c:v>colonne</c:v>
                </c:pt>
                <c:pt idx="5">
                  <c:v>gaz</c:v>
                </c:pt>
                <c:pt idx="6">
                  <c:v>éthanol</c:v>
                </c:pt>
              </c:strCache>
            </c:strRef>
          </c:cat>
          <c:val>
            <c:numRef>
              <c:f>robustesse!$D$40:$J$40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AF-400C-8804-2715D99E68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7723760"/>
        <c:axId val="1337727024"/>
      </c:barChart>
      <c:catAx>
        <c:axId val="13377237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7727024"/>
        <c:crosses val="autoZero"/>
        <c:auto val="1"/>
        <c:lblAlgn val="ctr"/>
        <c:lblOffset val="100"/>
        <c:noMultiLvlLbl val="0"/>
      </c:catAx>
      <c:valAx>
        <c:axId val="1337727024"/>
        <c:scaling>
          <c:orientation val="minMax"/>
        </c:scaling>
        <c:delete val="0"/>
        <c:axPos val="b"/>
        <c:majorGridlines/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7723760"/>
        <c:crosses val="autoZero"/>
        <c:crossBetween val="between"/>
      </c:valAx>
    </c:plotArea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0" i="0" baseline="0"/>
              <a:t>TR EI : effet moyen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5606577938819E-2"/>
          <c:y val="0.20261160903274186"/>
          <c:w val="0.83855566626372813"/>
          <c:h val="0.59781317657873412"/>
        </c:manualLayout>
      </c:layout>
      <c:barChart>
        <c:barDir val="bar"/>
        <c:grouping val="clustered"/>
        <c:varyColors val="0"/>
        <c:ser>
          <c:idx val="0"/>
          <c:order val="0"/>
          <c:tx>
            <c:v>écarts absolus</c:v>
          </c:tx>
          <c:invertIfNegative val="0"/>
          <c:cat>
            <c:strRef>
              <c:f>robustesse!$C$21:$I$21</c:f>
              <c:strCache>
                <c:ptCount val="7"/>
                <c:pt idx="0">
                  <c:v>débit</c:v>
                </c:pt>
                <c:pt idx="1">
                  <c:v>pH</c:v>
                </c:pt>
                <c:pt idx="2">
                  <c:v>volume</c:v>
                </c:pt>
                <c:pt idx="3">
                  <c:v>T°C</c:v>
                </c:pt>
                <c:pt idx="4">
                  <c:v>colonne</c:v>
                </c:pt>
                <c:pt idx="5">
                  <c:v>gaz</c:v>
                </c:pt>
                <c:pt idx="6">
                  <c:v>éthanol</c:v>
                </c:pt>
              </c:strCache>
            </c:strRef>
          </c:cat>
          <c:val>
            <c:numRef>
              <c:f>robustesse!$D$41:$J$41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92-4926-A5FF-E6ABA56CD7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7722672"/>
        <c:axId val="1337713968"/>
        <c:extLst/>
      </c:barChart>
      <c:catAx>
        <c:axId val="13377226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7713968"/>
        <c:crosses val="autoZero"/>
        <c:auto val="1"/>
        <c:lblAlgn val="ctr"/>
        <c:lblOffset val="100"/>
        <c:noMultiLvlLbl val="0"/>
      </c:catAx>
      <c:valAx>
        <c:axId val="1337713968"/>
        <c:scaling>
          <c:orientation val="minMax"/>
        </c:scaling>
        <c:delete val="0"/>
        <c:axPos val="b"/>
        <c:majorGridlines/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7722672"/>
        <c:crosses val="autoZero"/>
        <c:crossBetween val="between"/>
      </c:valAx>
    </c:plotArea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étalon vs forme reconstituée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gamme étalon 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olid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6250567367556816E-2"/>
                  <c:y val="0.1689935100696662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linéarité!$D$26:$D$40</c:f>
              <c:numCache>
                <c:formatCode>0.000</c:formatCode>
                <c:ptCount val="15"/>
                <c:pt idx="0">
                  <c:v>0.24170736000000001</c:v>
                </c:pt>
                <c:pt idx="1">
                  <c:v>0.24170736000000001</c:v>
                </c:pt>
                <c:pt idx="2">
                  <c:v>0.24170736000000001</c:v>
                </c:pt>
                <c:pt idx="3">
                  <c:v>0.27015720000000004</c:v>
                </c:pt>
                <c:pt idx="4">
                  <c:v>0.27015720000000004</c:v>
                </c:pt>
                <c:pt idx="5">
                  <c:v>0.27015720000000004</c:v>
                </c:pt>
                <c:pt idx="6">
                  <c:v>0.30546756000000003</c:v>
                </c:pt>
                <c:pt idx="7">
                  <c:v>0.30546756000000003</c:v>
                </c:pt>
                <c:pt idx="8">
                  <c:v>0.30546756000000003</c:v>
                </c:pt>
                <c:pt idx="9">
                  <c:v>0.33119451000000005</c:v>
                </c:pt>
                <c:pt idx="10">
                  <c:v>0.33119451000000005</c:v>
                </c:pt>
                <c:pt idx="11">
                  <c:v>0.33119451000000005</c:v>
                </c:pt>
                <c:pt idx="12">
                  <c:v>0.36177615000000002</c:v>
                </c:pt>
                <c:pt idx="13">
                  <c:v>0.36177615000000002</c:v>
                </c:pt>
                <c:pt idx="14">
                  <c:v>0.36177615000000002</c:v>
                </c:pt>
              </c:numCache>
            </c:numRef>
          </c:xVal>
          <c:yVal>
            <c:numRef>
              <c:f>linéarité!$E$26:$E$40</c:f>
              <c:numCache>
                <c:formatCode>0.000</c:formatCode>
                <c:ptCount val="15"/>
                <c:pt idx="0">
                  <c:v>0.93338392009089366</c:v>
                </c:pt>
                <c:pt idx="1">
                  <c:v>0.91727528547659543</c:v>
                </c:pt>
                <c:pt idx="2">
                  <c:v>0.92152006269881559</c:v>
                </c:pt>
                <c:pt idx="3">
                  <c:v>1.0526673574968211</c:v>
                </c:pt>
                <c:pt idx="4">
                  <c:v>1.0234661002584118</c:v>
                </c:pt>
                <c:pt idx="5">
                  <c:v>1.0305753006845362</c:v>
                </c:pt>
                <c:pt idx="6">
                  <c:v>1.1880036329096475</c:v>
                </c:pt>
                <c:pt idx="7">
                  <c:v>1.1682164935103687</c:v>
                </c:pt>
                <c:pt idx="8">
                  <c:v>1.1710419996478993</c:v>
                </c:pt>
                <c:pt idx="9">
                  <c:v>1.2909807775973445</c:v>
                </c:pt>
                <c:pt idx="10">
                  <c:v>1.262338131708749</c:v>
                </c:pt>
                <c:pt idx="11">
                  <c:v>1.2673632634635048</c:v>
                </c:pt>
                <c:pt idx="12">
                  <c:v>1.3975495814567416</c:v>
                </c:pt>
                <c:pt idx="13">
                  <c:v>1.3896500677318926</c:v>
                </c:pt>
                <c:pt idx="14">
                  <c:v>1.378472697183023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024-4848-8924-898C532C2362}"/>
            </c:ext>
          </c:extLst>
        </c:ser>
        <c:ser>
          <c:idx val="1"/>
          <c:order val="1"/>
          <c:tx>
            <c:v>forme reconstituée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2727339398151178"/>
                  <c:y val="3.244889032840881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trendline>
            <c:spPr>
              <a:ln w="19050" cap="rnd">
                <a:solidFill>
                  <a:schemeClr val="accent2"/>
                </a:solidFill>
                <a:prstDash val="sysDash"/>
              </a:ln>
              <a:effectLst/>
            </c:spPr>
            <c:trendlineType val="linear"/>
            <c:dispRSqr val="0"/>
            <c:dispEq val="0"/>
          </c:trendline>
          <c:xVal>
            <c:numRef>
              <c:f>linéarité!$J$26:$J$40</c:f>
              <c:numCache>
                <c:formatCode>0.000</c:formatCode>
                <c:ptCount val="15"/>
                <c:pt idx="0">
                  <c:v>0.24170736000000001</c:v>
                </c:pt>
                <c:pt idx="1">
                  <c:v>0.24170736000000001</c:v>
                </c:pt>
                <c:pt idx="2">
                  <c:v>0.24170736000000001</c:v>
                </c:pt>
                <c:pt idx="3">
                  <c:v>0.27015719999999999</c:v>
                </c:pt>
                <c:pt idx="4">
                  <c:v>0.27015719999999999</c:v>
                </c:pt>
                <c:pt idx="5">
                  <c:v>0.27015719999999999</c:v>
                </c:pt>
                <c:pt idx="6">
                  <c:v>0.30546756000000003</c:v>
                </c:pt>
                <c:pt idx="7">
                  <c:v>0.30546756000000003</c:v>
                </c:pt>
                <c:pt idx="8">
                  <c:v>0.30546756000000003</c:v>
                </c:pt>
                <c:pt idx="9">
                  <c:v>0.33119451000000005</c:v>
                </c:pt>
                <c:pt idx="10">
                  <c:v>0.33119451000000005</c:v>
                </c:pt>
                <c:pt idx="11">
                  <c:v>0.33119451000000005</c:v>
                </c:pt>
                <c:pt idx="12">
                  <c:v>0.36177615000000002</c:v>
                </c:pt>
                <c:pt idx="13">
                  <c:v>0.36177615000000002</c:v>
                </c:pt>
                <c:pt idx="14">
                  <c:v>0.36177615000000002</c:v>
                </c:pt>
              </c:numCache>
            </c:numRef>
          </c:xVal>
          <c:yVal>
            <c:numRef>
              <c:f>linéarité!$K$26:$K$40</c:f>
              <c:numCache>
                <c:formatCode>0.000</c:formatCode>
                <c:ptCount val="15"/>
                <c:pt idx="0">
                  <c:v>0.95226966287839487</c:v>
                </c:pt>
                <c:pt idx="1">
                  <c:v>1.0158854601747584</c:v>
                </c:pt>
                <c:pt idx="2">
                  <c:v>0.97807907601444732</c:v>
                </c:pt>
                <c:pt idx="3">
                  <c:v>1.0626904704608744</c:v>
                </c:pt>
                <c:pt idx="4">
                  <c:v>1.04389298046405</c:v>
                </c:pt>
                <c:pt idx="5">
                  <c:v>1.0659074941322229</c:v>
                </c:pt>
                <c:pt idx="6">
                  <c:v>1.20224081880025</c:v>
                </c:pt>
                <c:pt idx="7">
                  <c:v>1.188657095130786</c:v>
                </c:pt>
                <c:pt idx="8">
                  <c:v>1.1964308418870633</c:v>
                </c:pt>
                <c:pt idx="9">
                  <c:v>1.3062505432553109</c:v>
                </c:pt>
                <c:pt idx="10">
                  <c:v>1.2947846172069608</c:v>
                </c:pt>
                <c:pt idx="11">
                  <c:v>1.2877175242855716</c:v>
                </c:pt>
                <c:pt idx="12">
                  <c:v>1.4303994739715435</c:v>
                </c:pt>
                <c:pt idx="13">
                  <c:v>1.4121744065129587</c:v>
                </c:pt>
                <c:pt idx="14">
                  <c:v>1.4242656353936263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2024-4848-8924-898C532C2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711792"/>
        <c:axId val="1337712880"/>
      </c:scatterChart>
      <c:scatterChart>
        <c:scatterStyle val="smoothMarker"/>
        <c:varyColors val="0"/>
        <c:ser>
          <c:idx val="2"/>
          <c:order val="2"/>
          <c:tx>
            <c:v>IC</c:v>
          </c:tx>
          <c:spPr>
            <a:ln w="12700"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linéarité!$J$26:$J$40</c:f>
              <c:numCache>
                <c:formatCode>0.000</c:formatCode>
                <c:ptCount val="15"/>
                <c:pt idx="0">
                  <c:v>0.24170736000000001</c:v>
                </c:pt>
                <c:pt idx="1">
                  <c:v>0.24170736000000001</c:v>
                </c:pt>
                <c:pt idx="2">
                  <c:v>0.24170736000000001</c:v>
                </c:pt>
                <c:pt idx="3">
                  <c:v>0.27015719999999999</c:v>
                </c:pt>
                <c:pt idx="4">
                  <c:v>0.27015719999999999</c:v>
                </c:pt>
                <c:pt idx="5">
                  <c:v>0.27015719999999999</c:v>
                </c:pt>
                <c:pt idx="6">
                  <c:v>0.30546756000000003</c:v>
                </c:pt>
                <c:pt idx="7">
                  <c:v>0.30546756000000003</c:v>
                </c:pt>
                <c:pt idx="8">
                  <c:v>0.30546756000000003</c:v>
                </c:pt>
                <c:pt idx="9">
                  <c:v>0.33119451000000005</c:v>
                </c:pt>
                <c:pt idx="10">
                  <c:v>0.33119451000000005</c:v>
                </c:pt>
                <c:pt idx="11">
                  <c:v>0.33119451000000005</c:v>
                </c:pt>
                <c:pt idx="12">
                  <c:v>0.36177615000000002</c:v>
                </c:pt>
                <c:pt idx="13">
                  <c:v>0.36177615000000002</c:v>
                </c:pt>
                <c:pt idx="14">
                  <c:v>0.36177615000000002</c:v>
                </c:pt>
              </c:numCache>
            </c:numRef>
          </c:xVal>
          <c:yVal>
            <c:numRef>
              <c:f>linéarité!$L$50:$L$64</c:f>
              <c:numCache>
                <c:formatCode>0.00</c:formatCode>
                <c:ptCount val="15"/>
                <c:pt idx="0">
                  <c:v>0.92189200030386032</c:v>
                </c:pt>
                <c:pt idx="1">
                  <c:v>0.92189200030386032</c:v>
                </c:pt>
                <c:pt idx="2">
                  <c:v>0.92189200030386032</c:v>
                </c:pt>
                <c:pt idx="3">
                  <c:v>1.0294264817150631</c:v>
                </c:pt>
                <c:pt idx="4">
                  <c:v>1.0294264817150631</c:v>
                </c:pt>
                <c:pt idx="5">
                  <c:v>1.0294264817150631</c:v>
                </c:pt>
                <c:pt idx="6">
                  <c:v>1.1613454671932897</c:v>
                </c:pt>
                <c:pt idx="7">
                  <c:v>1.1613454671932897</c:v>
                </c:pt>
                <c:pt idx="8">
                  <c:v>1.1613454671932897</c:v>
                </c:pt>
                <c:pt idx="9">
                  <c:v>1.2563337167574189</c:v>
                </c:pt>
                <c:pt idx="10">
                  <c:v>1.2563337167574189</c:v>
                </c:pt>
                <c:pt idx="11">
                  <c:v>1.2563337167574189</c:v>
                </c:pt>
                <c:pt idx="12">
                  <c:v>1.3680651728526674</c:v>
                </c:pt>
                <c:pt idx="13">
                  <c:v>1.3680651728526674</c:v>
                </c:pt>
                <c:pt idx="14">
                  <c:v>1.3680651728526674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2024-4848-8924-898C532C2362}"/>
            </c:ext>
          </c:extLst>
        </c:ser>
        <c:ser>
          <c:idx val="3"/>
          <c:order val="3"/>
          <c:tx>
            <c:v>IC</c:v>
          </c:tx>
          <c:spPr>
            <a:ln w="12700">
              <a:solidFill>
                <a:schemeClr val="tx1"/>
              </a:solidFill>
              <a:prstDash val="sysDot"/>
            </a:ln>
          </c:spPr>
          <c:marker>
            <c:symbol val="none"/>
          </c:marker>
          <c:xVal>
            <c:numRef>
              <c:f>linéarité!$J$26:$J$40</c:f>
              <c:numCache>
                <c:formatCode>0.000</c:formatCode>
                <c:ptCount val="15"/>
                <c:pt idx="0">
                  <c:v>0.24170736000000001</c:v>
                </c:pt>
                <c:pt idx="1">
                  <c:v>0.24170736000000001</c:v>
                </c:pt>
                <c:pt idx="2">
                  <c:v>0.24170736000000001</c:v>
                </c:pt>
                <c:pt idx="3">
                  <c:v>0.27015719999999999</c:v>
                </c:pt>
                <c:pt idx="4">
                  <c:v>0.27015719999999999</c:v>
                </c:pt>
                <c:pt idx="5">
                  <c:v>0.27015719999999999</c:v>
                </c:pt>
                <c:pt idx="6">
                  <c:v>0.30546756000000003</c:v>
                </c:pt>
                <c:pt idx="7">
                  <c:v>0.30546756000000003</c:v>
                </c:pt>
                <c:pt idx="8">
                  <c:v>0.30546756000000003</c:v>
                </c:pt>
                <c:pt idx="9">
                  <c:v>0.33119451000000005</c:v>
                </c:pt>
                <c:pt idx="10">
                  <c:v>0.33119451000000005</c:v>
                </c:pt>
                <c:pt idx="11">
                  <c:v>0.33119451000000005</c:v>
                </c:pt>
                <c:pt idx="12">
                  <c:v>0.36177615000000002</c:v>
                </c:pt>
                <c:pt idx="13">
                  <c:v>0.36177615000000002</c:v>
                </c:pt>
                <c:pt idx="14">
                  <c:v>0.36177615000000002</c:v>
                </c:pt>
              </c:numCache>
            </c:numRef>
          </c:xVal>
          <c:yVal>
            <c:numRef>
              <c:f>linéarité!$M$50:$M$64</c:f>
              <c:numCache>
                <c:formatCode>0.00</c:formatCode>
                <c:ptCount val="15"/>
                <c:pt idx="0">
                  <c:v>1.0111708549853022</c:v>
                </c:pt>
                <c:pt idx="1">
                  <c:v>1.0111708549853022</c:v>
                </c:pt>
                <c:pt idx="2">
                  <c:v>1.0111708549853022</c:v>
                </c:pt>
                <c:pt idx="3">
                  <c:v>1.11504966062059</c:v>
                </c:pt>
                <c:pt idx="4">
                  <c:v>1.11504966062059</c:v>
                </c:pt>
                <c:pt idx="5">
                  <c:v>1.11504966062059</c:v>
                </c:pt>
                <c:pt idx="6">
                  <c:v>1.2455250954412098</c:v>
                </c:pt>
                <c:pt idx="7">
                  <c:v>1.2455250954412098</c:v>
                </c:pt>
                <c:pt idx="8">
                  <c:v>1.2455250954412098</c:v>
                </c:pt>
                <c:pt idx="9">
                  <c:v>1.3417160955734131</c:v>
                </c:pt>
                <c:pt idx="10">
                  <c:v>1.3417160955734131</c:v>
                </c:pt>
                <c:pt idx="11">
                  <c:v>1.3417160955734131</c:v>
                </c:pt>
                <c:pt idx="12">
                  <c:v>1.4572395216030705</c:v>
                </c:pt>
                <c:pt idx="13">
                  <c:v>1.4572395216030705</c:v>
                </c:pt>
                <c:pt idx="14">
                  <c:v>1.4572395216030705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2024-4848-8924-898C532C23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7711792"/>
        <c:axId val="1337712880"/>
      </c:scatterChart>
      <c:valAx>
        <c:axId val="1337711792"/>
        <c:scaling>
          <c:orientation val="minMax"/>
          <c:min val="0.22000000000000003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7712880"/>
        <c:crosses val="autoZero"/>
        <c:crossBetween val="midCat"/>
      </c:valAx>
      <c:valAx>
        <c:axId val="1337712880"/>
        <c:scaling>
          <c:orientation val="minMax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77117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5"/>
        <c:delete val="1"/>
      </c:legendEntry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0" i="0" baseline="0"/>
              <a:t>Résolution avant : effet moyen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5606577938819E-2"/>
          <c:y val="0.20261160903274186"/>
          <c:w val="0.83855566626372813"/>
          <c:h val="0.59781317657873412"/>
        </c:manualLayout>
      </c:layout>
      <c:barChart>
        <c:barDir val="bar"/>
        <c:grouping val="clustered"/>
        <c:varyColors val="0"/>
        <c:ser>
          <c:idx val="0"/>
          <c:order val="0"/>
          <c:tx>
            <c:v>écarts absolus</c:v>
          </c:tx>
          <c:invertIfNegative val="0"/>
          <c:cat>
            <c:strRef>
              <c:f>robustesse!$C$21:$I$21</c:f>
              <c:strCache>
                <c:ptCount val="7"/>
                <c:pt idx="0">
                  <c:v>débit</c:v>
                </c:pt>
                <c:pt idx="1">
                  <c:v>pH</c:v>
                </c:pt>
                <c:pt idx="2">
                  <c:v>volume</c:v>
                </c:pt>
                <c:pt idx="3">
                  <c:v>T°C</c:v>
                </c:pt>
                <c:pt idx="4">
                  <c:v>colonne</c:v>
                </c:pt>
                <c:pt idx="5">
                  <c:v>gaz</c:v>
                </c:pt>
                <c:pt idx="6">
                  <c:v>éthanol</c:v>
                </c:pt>
              </c:strCache>
            </c:strRef>
          </c:cat>
          <c:val>
            <c:numRef>
              <c:f>robustesse!$D$38:$J$38</c:f>
              <c:numCache>
                <c:formatCode>0.00</c:formatCode>
                <c:ptCount val="7"/>
                <c:pt idx="0">
                  <c:v>-4.8125</c:v>
                </c:pt>
                <c:pt idx="1">
                  <c:v>-5.2374999999999972</c:v>
                </c:pt>
                <c:pt idx="2">
                  <c:v>10.412500000000009</c:v>
                </c:pt>
                <c:pt idx="3">
                  <c:v>0.48749999999999005</c:v>
                </c:pt>
                <c:pt idx="4">
                  <c:v>0.33749999999998437</c:v>
                </c:pt>
                <c:pt idx="5">
                  <c:v>-2.2124999999999986</c:v>
                </c:pt>
                <c:pt idx="6">
                  <c:v>-0.83749999999999858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BF-469E-A6AE-EC28DAB77A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7723216"/>
        <c:axId val="1337715056"/>
      </c:barChart>
      <c:catAx>
        <c:axId val="1337723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7715056"/>
        <c:crosses val="autoZero"/>
        <c:auto val="1"/>
        <c:lblAlgn val="ctr"/>
        <c:lblOffset val="100"/>
        <c:noMultiLvlLbl val="0"/>
      </c:catAx>
      <c:valAx>
        <c:axId val="1337715056"/>
        <c:scaling>
          <c:orientation val="minMax"/>
        </c:scaling>
        <c:delete val="0"/>
        <c:axPos val="b"/>
        <c:majorGridlines/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7723216"/>
        <c:crosses val="autoZero"/>
        <c:crossBetween val="between"/>
      </c:valAx>
    </c:plotArea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>
                <a:solidFill>
                  <a:sysClr val="windowText" lastClr="000000"/>
                </a:solidFill>
                <a:latin typeface="+mn-lt"/>
              </a:rPr>
              <a:t>Aire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contribution %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robustesse!$B$86:$B$93</c:f>
              <c:strCache>
                <c:ptCount val="8"/>
                <c:pt idx="0">
                  <c:v>résiduel</c:v>
                </c:pt>
                <c:pt idx="1">
                  <c:v>débit</c:v>
                </c:pt>
                <c:pt idx="2">
                  <c:v>pH</c:v>
                </c:pt>
                <c:pt idx="3">
                  <c:v>volume</c:v>
                </c:pt>
                <c:pt idx="4">
                  <c:v>T°C</c:v>
                </c:pt>
                <c:pt idx="5">
                  <c:v>colonne</c:v>
                </c:pt>
                <c:pt idx="6">
                  <c:v>gaz</c:v>
                </c:pt>
                <c:pt idx="7">
                  <c:v>éthanol</c:v>
                </c:pt>
              </c:strCache>
            </c:strRef>
          </c:cat>
          <c:val>
            <c:numRef>
              <c:f>robustesse!$J$86:$J$93</c:f>
              <c:numCache>
                <c:formatCode>0.0%</c:formatCode>
                <c:ptCount val="8"/>
                <c:pt idx="0">
                  <c:v>1.9010191190665599E-3</c:v>
                </c:pt>
                <c:pt idx="1">
                  <c:v>0.13208369949553875</c:v>
                </c:pt>
                <c:pt idx="2">
                  <c:v>0.15644288323249286</c:v>
                </c:pt>
                <c:pt idx="3">
                  <c:v>0.61832636977068678</c:v>
                </c:pt>
                <c:pt idx="4">
                  <c:v>1.3553672250477737E-3</c:v>
                </c:pt>
                <c:pt idx="5">
                  <c:v>6.496138770938697E-4</c:v>
                </c:pt>
                <c:pt idx="6">
                  <c:v>2.7917356866221817E-2</c:v>
                </c:pt>
                <c:pt idx="7">
                  <c:v>4.000160074450811E-3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48-4D59-8244-C219172707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7724304"/>
        <c:axId val="1337724848"/>
      </c:barChart>
      <c:catAx>
        <c:axId val="133772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7724848"/>
        <c:crosses val="autoZero"/>
        <c:auto val="1"/>
        <c:lblAlgn val="ctr"/>
        <c:lblOffset val="100"/>
        <c:noMultiLvlLbl val="0"/>
      </c:catAx>
      <c:valAx>
        <c:axId val="133772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772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0" i="0" baseline="0"/>
              <a:t>Résolution après : effet moyen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5606577938819E-2"/>
          <c:y val="0.20261160903274186"/>
          <c:w val="0.83855566626372813"/>
          <c:h val="0.59781317657873412"/>
        </c:manualLayout>
      </c:layout>
      <c:barChart>
        <c:barDir val="bar"/>
        <c:grouping val="clustered"/>
        <c:varyColors val="0"/>
        <c:ser>
          <c:idx val="0"/>
          <c:order val="0"/>
          <c:tx>
            <c:v>écarts absolus</c:v>
          </c:tx>
          <c:invertIfNegative val="0"/>
          <c:cat>
            <c:strRef>
              <c:f>robustesse!$C$21:$I$21</c:f>
              <c:strCache>
                <c:ptCount val="7"/>
                <c:pt idx="0">
                  <c:v>débit</c:v>
                </c:pt>
                <c:pt idx="1">
                  <c:v>pH</c:v>
                </c:pt>
                <c:pt idx="2">
                  <c:v>volume</c:v>
                </c:pt>
                <c:pt idx="3">
                  <c:v>T°C</c:v>
                </c:pt>
                <c:pt idx="4">
                  <c:v>colonne</c:v>
                </c:pt>
                <c:pt idx="5">
                  <c:v>gaz</c:v>
                </c:pt>
                <c:pt idx="6">
                  <c:v>éthanol</c:v>
                </c:pt>
              </c:strCache>
            </c:strRef>
          </c:cat>
          <c:val>
            <c:numRef>
              <c:f>robustesse!$D$39:$J$39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24-4847-810B-7E72C9FE34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7714512"/>
        <c:axId val="1337726480"/>
      </c:barChart>
      <c:catAx>
        <c:axId val="1337714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7726480"/>
        <c:crosses val="autoZero"/>
        <c:auto val="1"/>
        <c:lblAlgn val="ctr"/>
        <c:lblOffset val="100"/>
        <c:noMultiLvlLbl val="0"/>
      </c:catAx>
      <c:valAx>
        <c:axId val="1337726480"/>
        <c:scaling>
          <c:orientation val="minMax"/>
        </c:scaling>
        <c:delete val="0"/>
        <c:axPos val="b"/>
        <c:majorGridlines/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7714512"/>
        <c:crosses val="autoZero"/>
        <c:crossBetween val="between"/>
      </c:valAx>
    </c:plotArea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0" i="0" baseline="0"/>
              <a:t>TF BDDE : effet moyen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0545606577938819E-2"/>
          <c:y val="0.20261160903274186"/>
          <c:w val="0.83855566626372813"/>
          <c:h val="0.59781317657873412"/>
        </c:manualLayout>
      </c:layout>
      <c:barChart>
        <c:barDir val="bar"/>
        <c:grouping val="clustered"/>
        <c:varyColors val="0"/>
        <c:ser>
          <c:idx val="0"/>
          <c:order val="0"/>
          <c:tx>
            <c:v>écarts absolus</c:v>
          </c:tx>
          <c:invertIfNegative val="0"/>
          <c:cat>
            <c:strRef>
              <c:f>robustesse!$C$21:$I$21</c:f>
              <c:strCache>
                <c:ptCount val="7"/>
                <c:pt idx="0">
                  <c:v>débit</c:v>
                </c:pt>
                <c:pt idx="1">
                  <c:v>pH</c:v>
                </c:pt>
                <c:pt idx="2">
                  <c:v>volume</c:v>
                </c:pt>
                <c:pt idx="3">
                  <c:v>T°C</c:v>
                </c:pt>
                <c:pt idx="4">
                  <c:v>colonne</c:v>
                </c:pt>
                <c:pt idx="5">
                  <c:v>gaz</c:v>
                </c:pt>
                <c:pt idx="6">
                  <c:v>éthanol</c:v>
                </c:pt>
              </c:strCache>
            </c:strRef>
          </c:cat>
          <c:val>
            <c:numRef>
              <c:f>robustesse!$D$40:$J$40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35-45B5-B7E3-728725CC62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7718320"/>
        <c:axId val="1337719952"/>
      </c:barChart>
      <c:catAx>
        <c:axId val="13377183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7719952"/>
        <c:crosses val="autoZero"/>
        <c:auto val="1"/>
        <c:lblAlgn val="ctr"/>
        <c:lblOffset val="100"/>
        <c:noMultiLvlLbl val="0"/>
      </c:catAx>
      <c:valAx>
        <c:axId val="1337719952"/>
        <c:scaling>
          <c:orientation val="minMax"/>
        </c:scaling>
        <c:delete val="0"/>
        <c:axPos val="b"/>
        <c:majorGridlines/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7718320"/>
        <c:crosses val="autoZero"/>
        <c:crossBetween val="between"/>
      </c:valAx>
    </c:plotArea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0" i="0" baseline="0"/>
              <a:t>TR EI : effet moyen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54139021466942"/>
          <c:y val="0.20261160903274186"/>
          <c:w val="0.80035896400059947"/>
          <c:h val="0.59781317657873412"/>
        </c:manualLayout>
      </c:layout>
      <c:barChart>
        <c:barDir val="bar"/>
        <c:grouping val="clustered"/>
        <c:varyColors val="0"/>
        <c:ser>
          <c:idx val="1"/>
          <c:order val="0"/>
          <c:tx>
            <c:v>écarts absolus</c:v>
          </c:tx>
          <c:invertIfNegative val="0"/>
          <c:cat>
            <c:strRef>
              <c:f>robustesse!$C$21:$I$21</c:f>
              <c:strCache>
                <c:ptCount val="7"/>
                <c:pt idx="0">
                  <c:v>débit</c:v>
                </c:pt>
                <c:pt idx="1">
                  <c:v>pH</c:v>
                </c:pt>
                <c:pt idx="2">
                  <c:v>volume</c:v>
                </c:pt>
                <c:pt idx="3">
                  <c:v>T°C</c:v>
                </c:pt>
                <c:pt idx="4">
                  <c:v>colonne</c:v>
                </c:pt>
                <c:pt idx="5">
                  <c:v>gaz</c:v>
                </c:pt>
                <c:pt idx="6">
                  <c:v>éthanol</c:v>
                </c:pt>
              </c:strCache>
            </c:strRef>
          </c:cat>
          <c:val>
            <c:numRef>
              <c:f>robustesse!$D$41:$J$41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13-423E-8D84-20191E533FB4}"/>
            </c:ext>
          </c:extLst>
        </c:ser>
        <c:ser>
          <c:idx val="0"/>
          <c:order val="1"/>
          <c:tx>
            <c:v>écarts absolus</c:v>
          </c:tx>
          <c:invertIfNegative val="0"/>
          <c:cat>
            <c:strRef>
              <c:f>robustesse!$C$21:$I$21</c:f>
              <c:strCache>
                <c:ptCount val="7"/>
                <c:pt idx="0">
                  <c:v>débit</c:v>
                </c:pt>
                <c:pt idx="1">
                  <c:v>pH</c:v>
                </c:pt>
                <c:pt idx="2">
                  <c:v>volume</c:v>
                </c:pt>
                <c:pt idx="3">
                  <c:v>T°C</c:v>
                </c:pt>
                <c:pt idx="4">
                  <c:v>colonne</c:v>
                </c:pt>
                <c:pt idx="5">
                  <c:v>gaz</c:v>
                </c:pt>
                <c:pt idx="6">
                  <c:v>éthanol</c:v>
                </c:pt>
              </c:strCache>
            </c:strRef>
          </c:cat>
          <c:val>
            <c:numRef>
              <c:f>robustesse!$D$41:$J$41</c:f>
              <c:numCache>
                <c:formatCode>0.00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13-423E-8D84-20191E533F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7721584"/>
        <c:axId val="1338726608"/>
        <c:extLst/>
      </c:barChart>
      <c:catAx>
        <c:axId val="1337721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8726608"/>
        <c:crosses val="autoZero"/>
        <c:auto val="1"/>
        <c:lblAlgn val="ctr"/>
        <c:lblOffset val="100"/>
        <c:noMultiLvlLbl val="0"/>
      </c:catAx>
      <c:valAx>
        <c:axId val="1338726608"/>
        <c:scaling>
          <c:orientation val="minMax"/>
        </c:scaling>
        <c:delete val="0"/>
        <c:axPos val="b"/>
        <c:majorGridlines/>
        <c:numFmt formatCode="0.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7721584"/>
        <c:crosses val="autoZero"/>
        <c:crossBetween val="between"/>
      </c:valAx>
    </c:plotArea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Résolution après : contribution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robustesse!$B$86:$B$93</c:f>
              <c:strCache>
                <c:ptCount val="8"/>
                <c:pt idx="0">
                  <c:v>résiduel</c:v>
                </c:pt>
                <c:pt idx="1">
                  <c:v>débit</c:v>
                </c:pt>
                <c:pt idx="2">
                  <c:v>pH</c:v>
                </c:pt>
                <c:pt idx="3">
                  <c:v>volume</c:v>
                </c:pt>
                <c:pt idx="4">
                  <c:v>T°C</c:v>
                </c:pt>
                <c:pt idx="5">
                  <c:v>colonne</c:v>
                </c:pt>
                <c:pt idx="6">
                  <c:v>gaz</c:v>
                </c:pt>
                <c:pt idx="7">
                  <c:v>éthanol</c:v>
                </c:pt>
              </c:strCache>
            </c:strRef>
          </c:cat>
          <c:val>
            <c:numRef>
              <c:f>robustesse!$S$86:$S$93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A-4354-898B-61CF21008C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741840"/>
        <c:axId val="1338739120"/>
      </c:barChart>
      <c:catAx>
        <c:axId val="1338741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8739120"/>
        <c:crosses val="autoZero"/>
        <c:auto val="1"/>
        <c:lblAlgn val="ctr"/>
        <c:lblOffset val="100"/>
        <c:noMultiLvlLbl val="0"/>
      </c:catAx>
      <c:valAx>
        <c:axId val="133873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87418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TF BDDE : contribution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robustesse!$B$86:$B$93</c:f>
              <c:strCache>
                <c:ptCount val="8"/>
                <c:pt idx="0">
                  <c:v>résiduel</c:v>
                </c:pt>
                <c:pt idx="1">
                  <c:v>débit</c:v>
                </c:pt>
                <c:pt idx="2">
                  <c:v>pH</c:v>
                </c:pt>
                <c:pt idx="3">
                  <c:v>volume</c:v>
                </c:pt>
                <c:pt idx="4">
                  <c:v>T°C</c:v>
                </c:pt>
                <c:pt idx="5">
                  <c:v>colonne</c:v>
                </c:pt>
                <c:pt idx="6">
                  <c:v>gaz</c:v>
                </c:pt>
                <c:pt idx="7">
                  <c:v>éthanol</c:v>
                </c:pt>
              </c:strCache>
            </c:strRef>
          </c:cat>
          <c:val>
            <c:numRef>
              <c:f>robustesse!$J$102:$J$109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07-444E-A629-0C9F1FD46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734768"/>
        <c:axId val="1338732048"/>
      </c:barChart>
      <c:catAx>
        <c:axId val="13387347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8732048"/>
        <c:crosses val="autoZero"/>
        <c:auto val="1"/>
        <c:lblAlgn val="ctr"/>
        <c:lblOffset val="100"/>
        <c:noMultiLvlLbl val="0"/>
      </c:catAx>
      <c:valAx>
        <c:axId val="1338732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87347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TR EI : contribution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robustesse!$B$86:$B$93</c:f>
              <c:strCache>
                <c:ptCount val="8"/>
                <c:pt idx="0">
                  <c:v>résiduel</c:v>
                </c:pt>
                <c:pt idx="1">
                  <c:v>débit</c:v>
                </c:pt>
                <c:pt idx="2">
                  <c:v>pH</c:v>
                </c:pt>
                <c:pt idx="3">
                  <c:v>volume</c:v>
                </c:pt>
                <c:pt idx="4">
                  <c:v>T°C</c:v>
                </c:pt>
                <c:pt idx="5">
                  <c:v>colonne</c:v>
                </c:pt>
                <c:pt idx="6">
                  <c:v>gaz</c:v>
                </c:pt>
                <c:pt idx="7">
                  <c:v>éthanol</c:v>
                </c:pt>
              </c:strCache>
            </c:strRef>
          </c:cat>
          <c:val>
            <c:numRef>
              <c:f>robustesse!$S$102:$S$109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AD-41E0-8B42-9F888BBC0B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739664"/>
        <c:axId val="1338730416"/>
      </c:barChart>
      <c:catAx>
        <c:axId val="1338739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8730416"/>
        <c:crosses val="autoZero"/>
        <c:auto val="1"/>
        <c:lblAlgn val="ctr"/>
        <c:lblOffset val="100"/>
        <c:noMultiLvlLbl val="0"/>
      </c:catAx>
      <c:valAx>
        <c:axId val="1338730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8739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600" b="0" i="0" baseline="0"/>
              <a:t>Aire : effet moyen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0.11854139021466942"/>
          <c:y val="0.20261160903274186"/>
          <c:w val="0.80035896400059947"/>
          <c:h val="0.59781317657873412"/>
        </c:manualLayout>
      </c:layout>
      <c:barChart>
        <c:barDir val="bar"/>
        <c:grouping val="clustered"/>
        <c:varyColors val="0"/>
        <c:ser>
          <c:idx val="1"/>
          <c:order val="0"/>
          <c:tx>
            <c:v>écarts absolus</c:v>
          </c:tx>
          <c:spPr>
            <a:solidFill>
              <a:srgbClr val="0070C0"/>
            </a:solidFill>
          </c:spPr>
          <c:invertIfNegative val="0"/>
          <c:cat>
            <c:strRef>
              <c:f>robustesse!$C$21:$I$21</c:f>
              <c:strCache>
                <c:ptCount val="7"/>
                <c:pt idx="0">
                  <c:v>débit</c:v>
                </c:pt>
                <c:pt idx="1">
                  <c:v>pH</c:v>
                </c:pt>
                <c:pt idx="2">
                  <c:v>volume</c:v>
                </c:pt>
                <c:pt idx="3">
                  <c:v>T°C</c:v>
                </c:pt>
                <c:pt idx="4">
                  <c:v>colonne</c:v>
                </c:pt>
                <c:pt idx="5">
                  <c:v>gaz</c:v>
                </c:pt>
                <c:pt idx="6">
                  <c:v>éthanol</c:v>
                </c:pt>
              </c:strCache>
            </c:strRef>
          </c:cat>
          <c:val>
            <c:numRef>
              <c:f>robustesse!$D$42:$J$42</c:f>
              <c:numCache>
                <c:formatCode>0.000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CC-4EA3-B1CB-AE28A35A5A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38730960"/>
        <c:axId val="1338733680"/>
        <c:extLst/>
      </c:barChart>
      <c:catAx>
        <c:axId val="1338730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8733680"/>
        <c:crosses val="autoZero"/>
        <c:auto val="1"/>
        <c:lblAlgn val="ctr"/>
        <c:lblOffset val="100"/>
        <c:noMultiLvlLbl val="0"/>
      </c:catAx>
      <c:valAx>
        <c:axId val="1338733680"/>
        <c:scaling>
          <c:orientation val="minMax"/>
        </c:scaling>
        <c:delete val="0"/>
        <c:axPos val="b"/>
        <c:majorGridlines/>
        <c:numFmt formatCode="0.000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fr-FR"/>
          </a:p>
        </c:txPr>
        <c:crossAx val="1338730960"/>
        <c:crosses val="autoZero"/>
        <c:crossBetween val="between"/>
      </c:valAx>
    </c:plotArea>
    <c:plotVisOnly val="1"/>
    <c:dispBlanksAs val="gap"/>
    <c:showDLblsOverMax val="0"/>
  </c:chart>
  <c:spPr>
    <a:ln>
      <a:solidFill>
        <a:sysClr val="windowText" lastClr="000000"/>
      </a:solidFill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fr-FR"/>
    </a:p>
  </c:txPr>
  <c:printSettings>
    <c:headerFooter/>
    <c:pageMargins b="0.75000000000000311" l="0.70000000000000062" r="0.70000000000000062" t="0.75000000000000311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600"/>
              <a:t>Ratio : contribution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robustesse!$B$118:$B$125</c:f>
              <c:strCache>
                <c:ptCount val="8"/>
                <c:pt idx="0">
                  <c:v>résiduel</c:v>
                </c:pt>
                <c:pt idx="1">
                  <c:v>débit</c:v>
                </c:pt>
                <c:pt idx="2">
                  <c:v>pH</c:v>
                </c:pt>
                <c:pt idx="3">
                  <c:v>volume</c:v>
                </c:pt>
                <c:pt idx="4">
                  <c:v>T°C</c:v>
                </c:pt>
                <c:pt idx="5">
                  <c:v>colonne</c:v>
                </c:pt>
                <c:pt idx="6">
                  <c:v>gaz</c:v>
                </c:pt>
                <c:pt idx="7">
                  <c:v>éthanol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robustesse!$B$86:$B$93</c:f>
              <c:strCache>
                <c:ptCount val="8"/>
                <c:pt idx="0">
                  <c:v>résiduel</c:v>
                </c:pt>
                <c:pt idx="1">
                  <c:v>débit</c:v>
                </c:pt>
                <c:pt idx="2">
                  <c:v>pH</c:v>
                </c:pt>
                <c:pt idx="3">
                  <c:v>volume</c:v>
                </c:pt>
                <c:pt idx="4">
                  <c:v>T°C</c:v>
                </c:pt>
                <c:pt idx="5">
                  <c:v>colonne</c:v>
                </c:pt>
                <c:pt idx="6">
                  <c:v>gaz</c:v>
                </c:pt>
                <c:pt idx="7">
                  <c:v>éthanol</c:v>
                </c:pt>
              </c:strCache>
            </c:strRef>
          </c:cat>
          <c:val>
            <c:numRef>
              <c:f>robustesse!$J$118:$J$125</c:f>
              <c:numCache>
                <c:formatCode>0.0%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B3-4BD3-854C-EEAA59F3D8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728240"/>
        <c:axId val="1338729328"/>
      </c:barChart>
      <c:catAx>
        <c:axId val="1338728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18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8729328"/>
        <c:crosses val="autoZero"/>
        <c:auto val="1"/>
        <c:lblAlgn val="ctr"/>
        <c:lblOffset val="100"/>
        <c:noMultiLvlLbl val="0"/>
      </c:catAx>
      <c:valAx>
        <c:axId val="1338729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38728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4.xml"/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10" Type="http://schemas.openxmlformats.org/officeDocument/2006/relationships/chart" Target="../charts/chart16.xml"/><Relationship Id="rId4" Type="http://schemas.openxmlformats.org/officeDocument/2006/relationships/chart" Target="../charts/chart10.xml"/><Relationship Id="rId9" Type="http://schemas.openxmlformats.org/officeDocument/2006/relationships/chart" Target="../charts/chart1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683986</xdr:colOff>
      <xdr:row>22</xdr:row>
      <xdr:rowOff>148771</xdr:rowOff>
    </xdr:from>
    <xdr:to>
      <xdr:col>11</xdr:col>
      <xdr:colOff>102266</xdr:colOff>
      <xdr:row>38</xdr:row>
      <xdr:rowOff>23632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127000</xdr:colOff>
      <xdr:row>40</xdr:row>
      <xdr:rowOff>36286</xdr:rowOff>
    </xdr:from>
    <xdr:to>
      <xdr:col>6</xdr:col>
      <xdr:colOff>38075</xdr:colOff>
      <xdr:row>52</xdr:row>
      <xdr:rowOff>156688</xdr:rowOff>
    </xdr:to>
    <xdr:graphicFrame macro="">
      <xdr:nvGraphicFramePr>
        <xdr:cNvPr id="5" name="Graphiqu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136071</xdr:colOff>
      <xdr:row>40</xdr:row>
      <xdr:rowOff>36285</xdr:rowOff>
    </xdr:from>
    <xdr:to>
      <xdr:col>11</xdr:col>
      <xdr:colOff>136072</xdr:colOff>
      <xdr:row>52</xdr:row>
      <xdr:rowOff>127000</xdr:rowOff>
    </xdr:to>
    <xdr:graphicFrame macro="">
      <xdr:nvGraphicFramePr>
        <xdr:cNvPr id="7" name="Graphique 2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108858</xdr:colOff>
      <xdr:row>53</xdr:row>
      <xdr:rowOff>18142</xdr:rowOff>
    </xdr:from>
    <xdr:to>
      <xdr:col>6</xdr:col>
      <xdr:colOff>27215</xdr:colOff>
      <xdr:row>65</xdr:row>
      <xdr:rowOff>126999</xdr:rowOff>
    </xdr:to>
    <xdr:graphicFrame macro="">
      <xdr:nvGraphicFramePr>
        <xdr:cNvPr id="9" name="Graphique 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136071</xdr:colOff>
      <xdr:row>53</xdr:row>
      <xdr:rowOff>36286</xdr:rowOff>
    </xdr:from>
    <xdr:to>
      <xdr:col>11</xdr:col>
      <xdr:colOff>154215</xdr:colOff>
      <xdr:row>65</xdr:row>
      <xdr:rowOff>127000</xdr:rowOff>
    </xdr:to>
    <xdr:graphicFrame macro="">
      <xdr:nvGraphicFramePr>
        <xdr:cNvPr id="11" name="Graphique 2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631831</xdr:colOff>
      <xdr:row>48</xdr:row>
      <xdr:rowOff>46186</xdr:rowOff>
    </xdr:from>
    <xdr:to>
      <xdr:col>9</xdr:col>
      <xdr:colOff>326047</xdr:colOff>
      <xdr:row>63</xdr:row>
      <xdr:rowOff>93817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330490</xdr:colOff>
      <xdr:row>105</xdr:row>
      <xdr:rowOff>19694</xdr:rowOff>
    </xdr:from>
    <xdr:to>
      <xdr:col>13</xdr:col>
      <xdr:colOff>1013120</xdr:colOff>
      <xdr:row>121</xdr:row>
      <xdr:rowOff>100851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3194" t="30450" r="13554" b="13622"/>
        <a:stretch/>
      </xdr:blipFill>
      <xdr:spPr>
        <a:xfrm>
          <a:off x="6516137" y="20044606"/>
          <a:ext cx="4974483" cy="312915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28724</xdr:colOff>
      <xdr:row>44</xdr:row>
      <xdr:rowOff>69273</xdr:rowOff>
    </xdr:from>
    <xdr:to>
      <xdr:col>4</xdr:col>
      <xdr:colOff>496453</xdr:colOff>
      <xdr:row>57</xdr:row>
      <xdr:rowOff>161635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780145</xdr:colOff>
      <xdr:row>62</xdr:row>
      <xdr:rowOff>60036</xdr:rowOff>
    </xdr:from>
    <xdr:to>
      <xdr:col>4</xdr:col>
      <xdr:colOff>496455</xdr:colOff>
      <xdr:row>74</xdr:row>
      <xdr:rowOff>138545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508001</xdr:colOff>
      <xdr:row>44</xdr:row>
      <xdr:rowOff>74218</xdr:rowOff>
    </xdr:from>
    <xdr:to>
      <xdr:col>8</xdr:col>
      <xdr:colOff>80819</xdr:colOff>
      <xdr:row>57</xdr:row>
      <xdr:rowOff>173182</xdr:rowOff>
    </xdr:to>
    <xdr:graphicFrame macro="">
      <xdr:nvGraphicFramePr>
        <xdr:cNvPr id="4" name="Graphique 2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92364</xdr:colOff>
      <xdr:row>44</xdr:row>
      <xdr:rowOff>72571</xdr:rowOff>
    </xdr:from>
    <xdr:to>
      <xdr:col>12</xdr:col>
      <xdr:colOff>173182</xdr:colOff>
      <xdr:row>57</xdr:row>
      <xdr:rowOff>184725</xdr:rowOff>
    </xdr:to>
    <xdr:graphicFrame macro="">
      <xdr:nvGraphicFramePr>
        <xdr:cNvPr id="5" name="Graphique 2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184727</xdr:colOff>
      <xdr:row>44</xdr:row>
      <xdr:rowOff>69273</xdr:rowOff>
    </xdr:from>
    <xdr:to>
      <xdr:col>16</xdr:col>
      <xdr:colOff>438726</xdr:colOff>
      <xdr:row>57</xdr:row>
      <xdr:rowOff>184726</xdr:rowOff>
    </xdr:to>
    <xdr:graphicFrame macro="">
      <xdr:nvGraphicFramePr>
        <xdr:cNvPr id="6" name="Graphique 2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</xdr:col>
      <xdr:colOff>508000</xdr:colOff>
      <xdr:row>62</xdr:row>
      <xdr:rowOff>54842</xdr:rowOff>
    </xdr:from>
    <xdr:to>
      <xdr:col>8</xdr:col>
      <xdr:colOff>103909</xdr:colOff>
      <xdr:row>74</xdr:row>
      <xdr:rowOff>133351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92364</xdr:colOff>
      <xdr:row>62</xdr:row>
      <xdr:rowOff>54841</xdr:rowOff>
    </xdr:from>
    <xdr:to>
      <xdr:col>12</xdr:col>
      <xdr:colOff>242454</xdr:colOff>
      <xdr:row>74</xdr:row>
      <xdr:rowOff>133350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12</xdr:col>
      <xdr:colOff>230909</xdr:colOff>
      <xdr:row>62</xdr:row>
      <xdr:rowOff>69271</xdr:rowOff>
    </xdr:from>
    <xdr:to>
      <xdr:col>16</xdr:col>
      <xdr:colOff>508001</xdr:colOff>
      <xdr:row>74</xdr:row>
      <xdr:rowOff>115454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16</xdr:col>
      <xdr:colOff>461818</xdr:colOff>
      <xdr:row>44</xdr:row>
      <xdr:rowOff>69274</xdr:rowOff>
    </xdr:from>
    <xdr:to>
      <xdr:col>20</xdr:col>
      <xdr:colOff>461817</xdr:colOff>
      <xdr:row>58</xdr:row>
      <xdr:rowOff>0</xdr:rowOff>
    </xdr:to>
    <xdr:graphicFrame macro="">
      <xdr:nvGraphicFramePr>
        <xdr:cNvPr id="11" name="Graphique 2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16</xdr:col>
      <xdr:colOff>507999</xdr:colOff>
      <xdr:row>62</xdr:row>
      <xdr:rowOff>69272</xdr:rowOff>
    </xdr:from>
    <xdr:to>
      <xdr:col>20</xdr:col>
      <xdr:colOff>531091</xdr:colOff>
      <xdr:row>74</xdr:row>
      <xdr:rowOff>115455</xdr:rowOff>
    </xdr:to>
    <xdr:graphicFrame macro="">
      <xdr:nvGraphicFramePr>
        <xdr:cNvPr id="12" name="Graphique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428171</xdr:colOff>
      <xdr:row>19</xdr:row>
      <xdr:rowOff>14514</xdr:rowOff>
    </xdr:from>
    <xdr:to>
      <xdr:col>11</xdr:col>
      <xdr:colOff>644072</xdr:colOff>
      <xdr:row>29</xdr:row>
      <xdr:rowOff>149680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0142" t="30734" r="42354" b="24424"/>
        <a:stretch/>
      </xdr:blipFill>
      <xdr:spPr>
        <a:xfrm>
          <a:off x="5762171" y="3461657"/>
          <a:ext cx="3263901" cy="1981201"/>
        </a:xfrm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12</xdr:col>
      <xdr:colOff>6350</xdr:colOff>
      <xdr:row>17</xdr:row>
      <xdr:rowOff>183243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20000" y="3130550"/>
          <a:ext cx="1530350" cy="190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403411</xdr:colOff>
      <xdr:row>2</xdr:row>
      <xdr:rowOff>112058</xdr:rowOff>
    </xdr:from>
    <xdr:to>
      <xdr:col>9</xdr:col>
      <xdr:colOff>575236</xdr:colOff>
      <xdr:row>12</xdr:row>
      <xdr:rowOff>111101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6391" t="34709" r="53782" b="28816"/>
        <a:stretch/>
      </xdr:blipFill>
      <xdr:spPr>
        <a:xfrm>
          <a:off x="5132293" y="493058"/>
          <a:ext cx="2457825" cy="190404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29242</xdr:colOff>
      <xdr:row>1</xdr:row>
      <xdr:rowOff>10724</xdr:rowOff>
    </xdr:from>
    <xdr:to>
      <xdr:col>16</xdr:col>
      <xdr:colOff>418389</xdr:colOff>
      <xdr:row>12</xdr:row>
      <xdr:rowOff>165431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2663" t="32861" r="9114" b="13277"/>
        <a:stretch/>
      </xdr:blipFill>
      <xdr:spPr>
        <a:xfrm>
          <a:off x="11874878" y="195451"/>
          <a:ext cx="6485147" cy="2556162"/>
        </a:xfrm>
        <a:prstGeom prst="rect">
          <a:avLst/>
        </a:prstGeom>
      </xdr:spPr>
    </xdr:pic>
    <xdr:clientData/>
  </xdr:twoCellAnchor>
  <xdr:twoCellAnchor editAs="oneCell">
    <xdr:from>
      <xdr:col>8</xdr:col>
      <xdr:colOff>63500</xdr:colOff>
      <xdr:row>13</xdr:row>
      <xdr:rowOff>25979</xdr:rowOff>
    </xdr:from>
    <xdr:to>
      <xdr:col>14</xdr:col>
      <xdr:colOff>623455</xdr:colOff>
      <xdr:row>25</xdr:row>
      <xdr:rowOff>161931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24309" t="43930" r="25511" b="9633"/>
        <a:stretch/>
      </xdr:blipFill>
      <xdr:spPr>
        <a:xfrm>
          <a:off x="11909136" y="2796888"/>
          <a:ext cx="5131955" cy="272213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14</xdr:col>
      <xdr:colOff>351315</xdr:colOff>
      <xdr:row>43</xdr:row>
      <xdr:rowOff>132310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885715" cy="832381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142875</xdr:rowOff>
    </xdr:from>
    <xdr:to>
      <xdr:col>14</xdr:col>
      <xdr:colOff>360839</xdr:colOff>
      <xdr:row>46</xdr:row>
      <xdr:rowOff>180899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334375"/>
          <a:ext cx="8895239" cy="60952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ssier%20personnel-confidentiel-priv&#233;\Excel\MAQUETTE%20validation%20biologie%20m&#233;dicale%20V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  <sheetName val="portée flexible"/>
      <sheetName val="validation de méthode"/>
      <sheetName val="Justesse et fidélité"/>
      <sheetName val="correlation XY"/>
      <sheetName val="étalonnage X"/>
    </sheetNames>
    <sheetDataSet>
      <sheetData sheetId="0" refreshError="1"/>
      <sheetData sheetId="1" refreshError="1"/>
      <sheetData sheetId="2">
        <row r="6">
          <cell r="AD6" t="str">
            <v>SUBSTRATS</v>
          </cell>
        </row>
        <row r="7">
          <cell r="AD7" t="str">
            <v>Acide urique</v>
          </cell>
        </row>
        <row r="8">
          <cell r="AD8" t="str">
            <v>Ammonium</v>
          </cell>
        </row>
        <row r="9">
          <cell r="AD9" t="str">
            <v>CO2</v>
          </cell>
        </row>
        <row r="10">
          <cell r="AD10" t="str">
            <v>Bilirubine Totale</v>
          </cell>
        </row>
        <row r="11">
          <cell r="AD11" t="str">
            <v>Calcium ionisé</v>
          </cell>
        </row>
        <row r="12">
          <cell r="AD12" t="str">
            <v>Calcium total</v>
          </cell>
        </row>
        <row r="13">
          <cell r="AD13" t="str">
            <v>Chlore</v>
          </cell>
        </row>
        <row r="14">
          <cell r="AD14" t="str">
            <v>Cholesterol</v>
          </cell>
        </row>
        <row r="15">
          <cell r="AD15" t="str">
            <v>HDL</v>
          </cell>
        </row>
        <row r="16">
          <cell r="AD16" t="str">
            <v>Creatinine</v>
          </cell>
        </row>
        <row r="17">
          <cell r="AD17" t="str">
            <v>Fer</v>
          </cell>
        </row>
        <row r="18">
          <cell r="AD18" t="str">
            <v>Ferritine</v>
          </cell>
        </row>
        <row r="19">
          <cell r="AD19" t="str">
            <v>Folates</v>
          </cell>
        </row>
        <row r="20">
          <cell r="AD20" t="str">
            <v>Fructosamine</v>
          </cell>
        </row>
        <row r="21">
          <cell r="AD21" t="str">
            <v>Glucose</v>
          </cell>
        </row>
        <row r="22">
          <cell r="AD22" t="str">
            <v>HbA1c</v>
          </cell>
        </row>
        <row r="23">
          <cell r="AD23" t="str">
            <v>Lactate</v>
          </cell>
        </row>
        <row r="24">
          <cell r="AD24" t="str">
            <v>Magnesium</v>
          </cell>
        </row>
        <row r="25">
          <cell r="AD25" t="str">
            <v>Phosphate</v>
          </cell>
        </row>
        <row r="26">
          <cell r="AD26" t="str">
            <v>Potassium</v>
          </cell>
        </row>
        <row r="27">
          <cell r="AD27" t="str">
            <v>Protéines totales</v>
          </cell>
        </row>
        <row r="28">
          <cell r="AD28" t="str">
            <v>Sodium</v>
          </cell>
        </row>
        <row r="29">
          <cell r="AD29" t="str">
            <v>Triglycérides</v>
          </cell>
        </row>
        <row r="30">
          <cell r="AD30" t="str">
            <v>Urée</v>
          </cell>
        </row>
        <row r="32">
          <cell r="AD32" t="str">
            <v>SUBSTRATS URINAIRES</v>
          </cell>
        </row>
        <row r="33">
          <cell r="AD33" t="str">
            <v>Acide urique U</v>
          </cell>
        </row>
        <row r="34">
          <cell r="AD34" t="str">
            <v>Calcium U</v>
          </cell>
        </row>
        <row r="35">
          <cell r="AD35" t="str">
            <v>Chlore U</v>
          </cell>
        </row>
        <row r="36">
          <cell r="AD36" t="str">
            <v>Créatinine U</v>
          </cell>
        </row>
        <row r="37">
          <cell r="AD37" t="str">
            <v>Glucose U</v>
          </cell>
        </row>
        <row r="38">
          <cell r="AD38" t="str">
            <v>Magnesium U</v>
          </cell>
        </row>
        <row r="39">
          <cell r="AD39" t="str">
            <v>MicroAlb U</v>
          </cell>
        </row>
        <row r="40">
          <cell r="AD40" t="str">
            <v>Phosphate U</v>
          </cell>
        </row>
        <row r="41">
          <cell r="AD41" t="str">
            <v>Potassium U</v>
          </cell>
        </row>
        <row r="42">
          <cell r="AD42" t="str">
            <v>Protéines U</v>
          </cell>
        </row>
        <row r="43">
          <cell r="AD43" t="str">
            <v>Sodium U</v>
          </cell>
        </row>
        <row r="44">
          <cell r="AD44" t="str">
            <v>Urée U</v>
          </cell>
        </row>
        <row r="46">
          <cell r="AD46" t="str">
            <v>ENZYMES</v>
          </cell>
        </row>
        <row r="47">
          <cell r="AD47" t="str">
            <v>5'Nu</v>
          </cell>
        </row>
        <row r="48">
          <cell r="AD48" t="str">
            <v>a-Amylase</v>
          </cell>
        </row>
        <row r="49">
          <cell r="AD49" t="str">
            <v>ALAT</v>
          </cell>
        </row>
        <row r="50">
          <cell r="AD50" t="str">
            <v>ASAT</v>
          </cell>
        </row>
        <row r="51">
          <cell r="AD51" t="str">
            <v>CK</v>
          </cell>
        </row>
        <row r="52">
          <cell r="AD52" t="str">
            <v>GGT</v>
          </cell>
        </row>
        <row r="53">
          <cell r="AD53" t="str">
            <v>LDH</v>
          </cell>
        </row>
        <row r="54">
          <cell r="AD54" t="str">
            <v>Lipase</v>
          </cell>
        </row>
        <row r="55">
          <cell r="AD55" t="str">
            <v>PAL</v>
          </cell>
        </row>
        <row r="57">
          <cell r="AD57" t="str">
            <v>PROTEINES SPECIFIQUES</v>
          </cell>
        </row>
        <row r="58">
          <cell r="AD58" t="str">
            <v>a1AT</v>
          </cell>
        </row>
        <row r="59">
          <cell r="AD59" t="str">
            <v>a2-Macroglobuline</v>
          </cell>
        </row>
        <row r="60">
          <cell r="AD60" t="str">
            <v>Albumine</v>
          </cell>
        </row>
        <row r="61">
          <cell r="AD61" t="str">
            <v>ApoA1</v>
          </cell>
        </row>
        <row r="62">
          <cell r="AD62" t="str">
            <v>ApoB</v>
          </cell>
        </row>
        <row r="63">
          <cell r="AD63" t="str">
            <v>b2-Microglobuline</v>
          </cell>
        </row>
        <row r="64">
          <cell r="AD64" t="str">
            <v>Céruléoplasmine</v>
          </cell>
        </row>
        <row r="65">
          <cell r="AD65" t="str">
            <v>C3</v>
          </cell>
        </row>
        <row r="66">
          <cell r="AD66" t="str">
            <v>C4</v>
          </cell>
        </row>
        <row r="67">
          <cell r="AD67" t="str">
            <v>CRP</v>
          </cell>
        </row>
        <row r="68">
          <cell r="AD68" t="str">
            <v>Haptoglobine</v>
          </cell>
        </row>
        <row r="69">
          <cell r="AD69" t="str">
            <v>IgA</v>
          </cell>
        </row>
        <row r="70">
          <cell r="AD70" t="str">
            <v>IgE</v>
          </cell>
        </row>
        <row r="71">
          <cell r="AD71" t="str">
            <v>IgG</v>
          </cell>
        </row>
        <row r="72">
          <cell r="AD72" t="str">
            <v>IgM</v>
          </cell>
        </row>
        <row r="73">
          <cell r="AD73" t="str">
            <v>Oroso</v>
          </cell>
        </row>
        <row r="74">
          <cell r="AD74" t="str">
            <v>PréAlb</v>
          </cell>
        </row>
        <row r="75">
          <cell r="AD75" t="str">
            <v>Transférrine</v>
          </cell>
        </row>
        <row r="77">
          <cell r="AD77" t="str">
            <v>GAZ DU SANG</v>
          </cell>
        </row>
        <row r="78">
          <cell r="AD78" t="str">
            <v>HbCO</v>
          </cell>
        </row>
        <row r="79">
          <cell r="AD79" t="str">
            <v>HbO2</v>
          </cell>
        </row>
        <row r="80">
          <cell r="AD80" t="str">
            <v>metHb</v>
          </cell>
        </row>
        <row r="82">
          <cell r="AD82" t="str">
            <v>pCO2</v>
          </cell>
        </row>
        <row r="83">
          <cell r="AD83" t="str">
            <v>pH (unité)</v>
          </cell>
        </row>
        <row r="84">
          <cell r="AD84" t="str">
            <v>pH (nmol/l)</v>
          </cell>
        </row>
        <row r="85">
          <cell r="AD85" t="str">
            <v>p02</v>
          </cell>
        </row>
        <row r="88">
          <cell r="AD88" t="str">
            <v>MEDICAMENTS</v>
          </cell>
        </row>
        <row r="89">
          <cell r="AD89" t="str">
            <v>Acide Valproïque</v>
          </cell>
        </row>
        <row r="90">
          <cell r="AD90" t="str">
            <v>Amikacine</v>
          </cell>
        </row>
        <row r="91">
          <cell r="AD91" t="str">
            <v>Carbamazépine</v>
          </cell>
        </row>
        <row r="92">
          <cell r="AD92" t="str">
            <v>Digoxine</v>
          </cell>
        </row>
        <row r="93">
          <cell r="AD93" t="str">
            <v>Gentamicine</v>
          </cell>
        </row>
        <row r="94">
          <cell r="AD94" t="str">
            <v>Lithium</v>
          </cell>
        </row>
        <row r="95">
          <cell r="AD95" t="str">
            <v>Méthotrexate</v>
          </cell>
        </row>
        <row r="96">
          <cell r="AD96" t="str">
            <v>Paracétamol</v>
          </cell>
        </row>
        <row r="97">
          <cell r="AD97" t="str">
            <v>Phénobarbital</v>
          </cell>
        </row>
        <row r="98">
          <cell r="AD98" t="str">
            <v>Phénytoïne</v>
          </cell>
        </row>
        <row r="99">
          <cell r="AD99" t="str">
            <v>Salycilates</v>
          </cell>
        </row>
        <row r="100">
          <cell r="AD100" t="str">
            <v>Théophiline</v>
          </cell>
        </row>
        <row r="101">
          <cell r="AD101" t="str">
            <v>Vancomycine</v>
          </cell>
        </row>
        <row r="103">
          <cell r="AD103" t="str">
            <v>MARQUEURS TUMORAUX</v>
          </cell>
        </row>
        <row r="104">
          <cell r="AD104" t="str">
            <v>ACE</v>
          </cell>
        </row>
        <row r="105">
          <cell r="AD105" t="str">
            <v>MEDICAMENTS</v>
          </cell>
        </row>
        <row r="106">
          <cell r="AD106" t="str">
            <v>Acide Valproïque</v>
          </cell>
        </row>
        <row r="107">
          <cell r="AD107" t="str">
            <v>Amikacine</v>
          </cell>
        </row>
        <row r="108">
          <cell r="AD108" t="str">
            <v>Carbamazépine</v>
          </cell>
        </row>
        <row r="109">
          <cell r="AD109" t="str">
            <v>Digoxine</v>
          </cell>
        </row>
        <row r="110">
          <cell r="AD110" t="str">
            <v>Gentamicine</v>
          </cell>
        </row>
        <row r="111">
          <cell r="AD111" t="str">
            <v>Lithium</v>
          </cell>
        </row>
        <row r="112">
          <cell r="AD112" t="str">
            <v>Méthotrexate</v>
          </cell>
        </row>
        <row r="113">
          <cell r="AD113" t="str">
            <v>Paracétamol</v>
          </cell>
        </row>
        <row r="114">
          <cell r="AD114" t="str">
            <v>Phénobarbital</v>
          </cell>
        </row>
        <row r="115">
          <cell r="AD115" t="str">
            <v>Phénytoïne</v>
          </cell>
        </row>
        <row r="116">
          <cell r="AD116" t="str">
            <v>Salycilates</v>
          </cell>
        </row>
        <row r="117">
          <cell r="AD117" t="str">
            <v>Théophiline</v>
          </cell>
        </row>
        <row r="118">
          <cell r="AD118" t="str">
            <v>Vancomycine</v>
          </cell>
        </row>
        <row r="119">
          <cell r="AD119" t="str">
            <v>PTH</v>
          </cell>
        </row>
        <row r="120">
          <cell r="AD120" t="str">
            <v>MARQUEURS TUMORAUX</v>
          </cell>
        </row>
        <row r="121">
          <cell r="AD121" t="str">
            <v>ACE</v>
          </cell>
        </row>
        <row r="122">
          <cell r="AD122" t="str">
            <v>AFP</v>
          </cell>
        </row>
        <row r="123">
          <cell r="AD123" t="str">
            <v>CA125</v>
          </cell>
        </row>
        <row r="124">
          <cell r="AD124" t="str">
            <v>CA15-3</v>
          </cell>
        </row>
        <row r="125">
          <cell r="AD125" t="str">
            <v>CA19-9</v>
          </cell>
        </row>
        <row r="126">
          <cell r="AD126" t="str">
            <v>PSA</v>
          </cell>
        </row>
        <row r="128">
          <cell r="AD128" t="str">
            <v>HORMONES</v>
          </cell>
        </row>
        <row r="129">
          <cell r="AD129" t="str">
            <v>Cortisol</v>
          </cell>
        </row>
        <row r="130">
          <cell r="AD130" t="str">
            <v>E2</v>
          </cell>
        </row>
        <row r="131">
          <cell r="AD131" t="str">
            <v>FSH</v>
          </cell>
        </row>
        <row r="132">
          <cell r="AD132" t="str">
            <v>GH</v>
          </cell>
        </row>
        <row r="133">
          <cell r="AD133" t="str">
            <v>HCG B</v>
          </cell>
        </row>
        <row r="134">
          <cell r="AD134" t="str">
            <v>Insuline</v>
          </cell>
        </row>
        <row r="135">
          <cell r="AD135" t="str">
            <v>LH</v>
          </cell>
        </row>
        <row r="136">
          <cell r="AD136" t="str">
            <v>PTH</v>
          </cell>
        </row>
        <row r="137">
          <cell r="AD137" t="str">
            <v>Peptide C</v>
          </cell>
        </row>
        <row r="138">
          <cell r="AD138" t="str">
            <v>Progesterone</v>
          </cell>
        </row>
        <row r="139">
          <cell r="AD139" t="str">
            <v>Prolactine</v>
          </cell>
        </row>
        <row r="140">
          <cell r="AD140" t="str">
            <v>FT3</v>
          </cell>
        </row>
        <row r="141">
          <cell r="AD141" t="str">
            <v>FT4</v>
          </cell>
        </row>
        <row r="142">
          <cell r="AD142" t="str">
            <v>Testosterone</v>
          </cell>
        </row>
        <row r="143">
          <cell r="AD143" t="str">
            <v>TSH</v>
          </cell>
        </row>
        <row r="144">
          <cell r="AD144" t="str">
            <v>a-Fetoprotein(non hepatic carcinoma)</v>
          </cell>
        </row>
        <row r="145">
          <cell r="AD145" t="str">
            <v>RICOS</v>
          </cell>
        </row>
        <row r="146">
          <cell r="AD146" t="str">
            <v>Acid phosphatase</v>
          </cell>
        </row>
        <row r="147">
          <cell r="AD147" t="str">
            <v xml:space="preserve">Sang-plasma </v>
          </cell>
        </row>
        <row r="148">
          <cell r="AD148" t="str">
            <v>11-Desoxycortisol S</v>
          </cell>
        </row>
        <row r="149">
          <cell r="AD149" t="str">
            <v>17-Hydroxyprogesterone</v>
          </cell>
        </row>
        <row r="150">
          <cell r="AD150" t="str">
            <v>5' Nucleotidase</v>
          </cell>
        </row>
        <row r="151">
          <cell r="AD151" t="str">
            <v>a1-Acid Glycoprotein</v>
          </cell>
        </row>
        <row r="152">
          <cell r="AD152" t="str">
            <v>a1-Antichymotrypsin</v>
          </cell>
        </row>
        <row r="153">
          <cell r="AD153" t="str">
            <v>a1-Antitrypsin</v>
          </cell>
        </row>
        <row r="154">
          <cell r="AD154" t="str">
            <v>a1-Globulin</v>
          </cell>
        </row>
        <row r="155">
          <cell r="AD155" t="str">
            <v>a2-Antiplasmin</v>
          </cell>
        </row>
        <row r="156">
          <cell r="AD156" t="str">
            <v>a2-Globulins</v>
          </cell>
        </row>
        <row r="157">
          <cell r="AD157" t="str">
            <v>a2-Macroglobulin</v>
          </cell>
        </row>
        <row r="158">
          <cell r="AD158" t="str">
            <v>a-Amylase (ricos)</v>
          </cell>
        </row>
        <row r="159">
          <cell r="AD159" t="str">
            <v>a-Amylase (pancreatic)</v>
          </cell>
        </row>
        <row r="160">
          <cell r="AD160" t="str">
            <v>a-Carotene</v>
          </cell>
        </row>
        <row r="161">
          <cell r="AD161" t="str">
            <v>a-Fetoprotein(non hepatic carcinoma)</v>
          </cell>
        </row>
        <row r="162">
          <cell r="AD162" t="str">
            <v>a-Tocopherol</v>
          </cell>
        </row>
        <row r="163">
          <cell r="AD163" t="str">
            <v>Acid phosphatase</v>
          </cell>
        </row>
        <row r="164">
          <cell r="AD164" t="str">
            <v>Acid phosphatase tartrate-resistant (TR-ACP)</v>
          </cell>
        </row>
        <row r="165">
          <cell r="AD165" t="str">
            <v>Acid phosphatase prostatic activity (PAP)</v>
          </cell>
        </row>
        <row r="166">
          <cell r="AD166" t="str">
            <v>Activated partial thromboplastine time</v>
          </cell>
        </row>
        <row r="167">
          <cell r="AD167" t="str">
            <v>Acyl/free carnitine</v>
          </cell>
        </row>
        <row r="168">
          <cell r="AD168" t="str">
            <v>Adiponectin</v>
          </cell>
        </row>
        <row r="169">
          <cell r="AD169" t="str">
            <v>Adenosine deaminase (ADA)</v>
          </cell>
        </row>
        <row r="170">
          <cell r="AD170" t="str">
            <v>Alanine aminopeptidase</v>
          </cell>
        </row>
        <row r="171">
          <cell r="AD171" t="str">
            <v>Alanine aminotransferase</v>
          </cell>
        </row>
        <row r="172">
          <cell r="AD172" t="str">
            <v>Albumin</v>
          </cell>
        </row>
        <row r="173">
          <cell r="AD173" t="str">
            <v>Aldosterone</v>
          </cell>
        </row>
        <row r="174">
          <cell r="AD174" t="str">
            <v>Alkaline phosphatase</v>
          </cell>
        </row>
        <row r="175">
          <cell r="AD175" t="str">
            <v>Alkaline phosphatase, bone</v>
          </cell>
        </row>
        <row r="176">
          <cell r="AD176" t="str">
            <v>Alkaline phosphatase, liver</v>
          </cell>
        </row>
        <row r="177">
          <cell r="AD177" t="str">
            <v>Alkaline phosphatase, placental</v>
          </cell>
        </row>
        <row r="178">
          <cell r="AD178" t="str">
            <v>Amyloid A</v>
          </cell>
        </row>
        <row r="179">
          <cell r="AD179" t="str">
            <v>Androstendione</v>
          </cell>
        </row>
        <row r="180">
          <cell r="AD180" t="str">
            <v>Androstenedione</v>
          </cell>
        </row>
        <row r="181">
          <cell r="AD181" t="str">
            <v>Angiotensin converting enzyme</v>
          </cell>
        </row>
        <row r="182">
          <cell r="AD182" t="str">
            <v>Antithrombin III</v>
          </cell>
        </row>
        <row r="183">
          <cell r="AD183" t="str">
            <v>Apolipoprotein A1</v>
          </cell>
        </row>
        <row r="184">
          <cell r="AD184" t="str">
            <v>Apolipoprotein B</v>
          </cell>
        </row>
        <row r="185">
          <cell r="AD185" t="str">
            <v>Ascorbic Acid</v>
          </cell>
        </row>
        <row r="186">
          <cell r="AD186" t="str">
            <v>Aspartate aminotransferase</v>
          </cell>
        </row>
        <row r="187">
          <cell r="AD187" t="str">
            <v>b-2-Microglobulin</v>
          </cell>
        </row>
        <row r="188">
          <cell r="AD188" t="str">
            <v>Basophile, count</v>
          </cell>
        </row>
        <row r="189">
          <cell r="AD189" t="str">
            <v>b-Carotene</v>
          </cell>
        </row>
        <row r="190">
          <cell r="AD190" t="str">
            <v>b-Cryptoxantin</v>
          </cell>
        </row>
        <row r="191">
          <cell r="AD191" t="str">
            <v>b-Globulins</v>
          </cell>
        </row>
        <row r="192">
          <cell r="AD192" t="str">
            <v>Bilirubin total</v>
          </cell>
        </row>
        <row r="193">
          <cell r="AD193" t="str">
            <v>Bilirubin conjugated</v>
          </cell>
        </row>
        <row r="194">
          <cell r="AD194" t="str">
            <v>CA 125 antigen</v>
          </cell>
        </row>
        <row r="195">
          <cell r="AD195" t="str">
            <v>CA 15,3 antigen</v>
          </cell>
        </row>
        <row r="196">
          <cell r="AD196" t="str">
            <v>CA 19,9 antigen</v>
          </cell>
        </row>
        <row r="197">
          <cell r="AD197" t="str">
            <v>CA 549 antigen</v>
          </cell>
        </row>
        <row r="198">
          <cell r="AD198" t="str">
            <v>Calcium</v>
          </cell>
        </row>
        <row r="199">
          <cell r="AD199" t="str">
            <v>Carbohydrate deficient transferrin</v>
          </cell>
        </row>
        <row r="200">
          <cell r="AD200" t="str">
            <v>Carcinoembryonic antigen (CEA)</v>
          </cell>
        </row>
        <row r="201">
          <cell r="AD201" t="str">
            <v>CD4 lymphocyte count</v>
          </cell>
        </row>
        <row r="202">
          <cell r="AD202" t="str">
            <v>Ceruloplasmin</v>
          </cell>
        </row>
        <row r="203">
          <cell r="AD203" t="str">
            <v>Chloride</v>
          </cell>
        </row>
        <row r="204">
          <cell r="AD204" t="str">
            <v>Cholesterol (ricos)</v>
          </cell>
        </row>
        <row r="205">
          <cell r="AD205" t="str">
            <v>Cholinesterase</v>
          </cell>
        </row>
        <row r="206">
          <cell r="AD206" t="str">
            <v>Cholinesterase, activity</v>
          </cell>
        </row>
        <row r="207">
          <cell r="AD207" t="str">
            <v>Cholinesterase, immunoreactive</v>
          </cell>
        </row>
        <row r="208">
          <cell r="AD208" t="str">
            <v>C3 complement</v>
          </cell>
        </row>
        <row r="209">
          <cell r="AD209" t="str">
            <v>C4 complement</v>
          </cell>
        </row>
        <row r="210">
          <cell r="AD210" t="str">
            <v>Chromogranin A</v>
          </cell>
        </row>
        <row r="211">
          <cell r="AD211" t="str">
            <v>Copper</v>
          </cell>
        </row>
        <row r="212">
          <cell r="AD212" t="str">
            <v>Copper</v>
          </cell>
        </row>
        <row r="213">
          <cell r="AD213" t="str">
            <v>Cortisol (ricos)</v>
          </cell>
        </row>
        <row r="214">
          <cell r="AD214" t="str">
            <v>C Peptide</v>
          </cell>
        </row>
        <row r="215">
          <cell r="AD215" t="str">
            <v>C-Propeptide type I procollagen</v>
          </cell>
        </row>
        <row r="216">
          <cell r="AD216" t="str">
            <v>C-Reactive protein</v>
          </cell>
        </row>
        <row r="217">
          <cell r="AD217" t="str">
            <v>Creatine kinase (CK)</v>
          </cell>
        </row>
        <row r="218">
          <cell r="AD218" t="str">
            <v>Creatine kinase MB, %</v>
          </cell>
        </row>
        <row r="219">
          <cell r="AD219" t="str">
            <v>Creatine kinase MB, activity</v>
          </cell>
        </row>
        <row r="220">
          <cell r="AD220" t="str">
            <v>Creatine kinase MB, mass</v>
          </cell>
        </row>
        <row r="221">
          <cell r="AD221" t="str">
            <v>Creatinine (ricos)</v>
          </cell>
        </row>
        <row r="222">
          <cell r="AD222" t="str">
            <v>Creatinine clearance</v>
          </cell>
        </row>
        <row r="223">
          <cell r="AD223" t="str">
            <v>Cyfra 21,1</v>
          </cell>
        </row>
        <row r="224">
          <cell r="AD224" t="str">
            <v>Cystastin C</v>
          </cell>
        </row>
        <row r="225">
          <cell r="AD225" t="str">
            <v>Cysteine</v>
          </cell>
        </row>
        <row r="226">
          <cell r="AD226" t="str">
            <v>Dehydroepiandrosterone sulfate</v>
          </cell>
        </row>
        <row r="227">
          <cell r="AD227" t="str">
            <v>Dipeptidyl-peptidase IV (ACE)</v>
          </cell>
        </row>
        <row r="228">
          <cell r="AD228" t="str">
            <v>Dipeptidyl-peptidase IV (ACE)</v>
          </cell>
        </row>
        <row r="229">
          <cell r="AD229" t="str">
            <v>Elastase</v>
          </cell>
        </row>
        <row r="230">
          <cell r="AD230" t="str">
            <v>Endotelial growth factor</v>
          </cell>
        </row>
        <row r="231">
          <cell r="AD231" t="str">
            <v>Eosinophils, count</v>
          </cell>
        </row>
        <row r="232">
          <cell r="AD232" t="str">
            <v>Epinephrine</v>
          </cell>
        </row>
        <row r="233">
          <cell r="AD233" t="str">
            <v>Epinephrine</v>
          </cell>
        </row>
        <row r="234">
          <cell r="AD234" t="str">
            <v>Erythrocytes, count</v>
          </cell>
        </row>
        <row r="235">
          <cell r="AD235" t="str">
            <v>Erythrocyte distribution wide</v>
          </cell>
        </row>
        <row r="236">
          <cell r="AD236" t="str">
            <v>Estradiol</v>
          </cell>
        </row>
        <row r="237">
          <cell r="AD237" t="str">
            <v>Factor V coagulation</v>
          </cell>
        </row>
        <row r="238">
          <cell r="AD238" t="str">
            <v>Factor VII coagulation</v>
          </cell>
        </row>
        <row r="239">
          <cell r="AD239" t="str">
            <v>Factor VIII coagulation</v>
          </cell>
        </row>
        <row r="240">
          <cell r="AD240" t="str">
            <v>Factor X coagulation</v>
          </cell>
        </row>
        <row r="241">
          <cell r="AD241" t="str">
            <v>Ferritin</v>
          </cell>
        </row>
        <row r="242">
          <cell r="AD242" t="str">
            <v>Fibrinogen</v>
          </cell>
        </row>
        <row r="243">
          <cell r="AD243" t="str">
            <v>Folate (ricos 1)</v>
          </cell>
        </row>
        <row r="244">
          <cell r="AD244" t="str">
            <v>Folate (ricos 2)</v>
          </cell>
        </row>
        <row r="245">
          <cell r="AD245" t="str">
            <v>Follicle stimulating hormone (males)</v>
          </cell>
        </row>
        <row r="246">
          <cell r="AD246" t="str">
            <v>Free carnitine</v>
          </cell>
        </row>
        <row r="247">
          <cell r="AD247" t="str">
            <v>Free estradiol</v>
          </cell>
        </row>
        <row r="248">
          <cell r="AD248" t="str">
            <v>Free testosterone</v>
          </cell>
        </row>
        <row r="249">
          <cell r="AD249" t="str">
            <v>Free thyroxine (FT4)</v>
          </cell>
        </row>
        <row r="250">
          <cell r="AD250" t="str">
            <v>Free Triiodothyronine (FT3)</v>
          </cell>
        </row>
        <row r="251">
          <cell r="AD251" t="str">
            <v>Fructosamine (ricos)</v>
          </cell>
        </row>
        <row r="252">
          <cell r="AD252" t="str">
            <v>Galactosyl hydroxylisine</v>
          </cell>
        </row>
        <row r="253">
          <cell r="AD253" t="str">
            <v>g-Globulins</v>
          </cell>
        </row>
        <row r="254">
          <cell r="AD254" t="str">
            <v>g-glutamyltransferase</v>
          </cell>
        </row>
        <row r="255">
          <cell r="AD255" t="str">
            <v>Globulins, total</v>
          </cell>
        </row>
        <row r="256">
          <cell r="AD256" t="str">
            <v>Glucose (ricos)</v>
          </cell>
        </row>
        <row r="257">
          <cell r="AD257" t="str">
            <v>Glucose-6-phosphate-1-dehydrogenase (G6PDH)</v>
          </cell>
        </row>
        <row r="258">
          <cell r="AD258" t="str">
            <v>Glucose-6-phosphate-1-dehydrogenase (G6PDH)</v>
          </cell>
        </row>
        <row r="259">
          <cell r="AD259" t="str">
            <v>Glutathion peroxidase</v>
          </cell>
        </row>
        <row r="260">
          <cell r="AD260" t="str">
            <v>Glycated albumin</v>
          </cell>
        </row>
        <row r="261">
          <cell r="AD261" t="str">
            <v>Glycated total protein</v>
          </cell>
        </row>
        <row r="262">
          <cell r="AD262" t="str">
            <v>Haptoglobin</v>
          </cell>
        </row>
        <row r="263">
          <cell r="AD263" t="str">
            <v>Hematocrit</v>
          </cell>
        </row>
        <row r="264">
          <cell r="AD264" t="str">
            <v>Hemoglobin</v>
          </cell>
        </row>
        <row r="265">
          <cell r="AD265" t="str">
            <v>Hemoglobin A1 C</v>
          </cell>
        </row>
        <row r="266">
          <cell r="AD266" t="str">
            <v>HDL cholesterol</v>
          </cell>
        </row>
        <row r="267">
          <cell r="AD267" t="str">
            <v>HDL 1 cholesterol</v>
          </cell>
        </row>
        <row r="268">
          <cell r="AD268" t="str">
            <v>HDL 2 cholesterol</v>
          </cell>
        </row>
        <row r="269">
          <cell r="AD269" t="str">
            <v>HDL 3 cholesterol</v>
          </cell>
        </row>
        <row r="270">
          <cell r="AD270" t="str">
            <v>Homocysteine</v>
          </cell>
        </row>
        <row r="271">
          <cell r="AD271" t="str">
            <v>Hydroxyproline/creatinine</v>
          </cell>
        </row>
        <row r="272">
          <cell r="AD272" t="str">
            <v>Hydroxybutyrate dehydrogenase</v>
          </cell>
        </row>
        <row r="273">
          <cell r="AD273" t="str">
            <v>Immunoglobulin A</v>
          </cell>
        </row>
        <row r="274">
          <cell r="AD274" t="str">
            <v>Immunoglobulin G</v>
          </cell>
        </row>
        <row r="275">
          <cell r="AD275" t="str">
            <v>Immunoglobulin M</v>
          </cell>
        </row>
        <row r="276">
          <cell r="AD276" t="str">
            <v>Immunoglobulins K chains</v>
          </cell>
        </row>
        <row r="277">
          <cell r="AD277" t="str">
            <v>Immunoglobulins l chains</v>
          </cell>
        </row>
        <row r="278">
          <cell r="AD278" t="str">
            <v>Insulin</v>
          </cell>
        </row>
        <row r="279">
          <cell r="AD279" t="str">
            <v>Insulin-like growth factor (IGF-1)</v>
          </cell>
        </row>
        <row r="280">
          <cell r="AD280" t="str">
            <v>Intercellular adhesion molecule-1</v>
          </cell>
        </row>
        <row r="281">
          <cell r="AD281" t="str">
            <v>Interferon receptor</v>
          </cell>
        </row>
        <row r="282">
          <cell r="AD282" t="str">
            <v>Interleukin-1B</v>
          </cell>
        </row>
        <row r="283">
          <cell r="AD283" t="str">
            <v>Interleukin-8</v>
          </cell>
        </row>
        <row r="284">
          <cell r="AD284" t="str">
            <v>Iron</v>
          </cell>
        </row>
        <row r="285">
          <cell r="AD285" t="str">
            <v>Lactate (ricos)</v>
          </cell>
        </row>
        <row r="286">
          <cell r="AD286" t="str">
            <v>Lactate dehydrogenase (LDH)</v>
          </cell>
        </row>
        <row r="287">
          <cell r="AD287" t="str">
            <v>Lactate dehydrogenase 1 isoform (LDH1)</v>
          </cell>
        </row>
        <row r="288">
          <cell r="AD288" t="str">
            <v>Lactate dehydrogenase 2 isoform (LDH2)</v>
          </cell>
        </row>
        <row r="289">
          <cell r="AD289" t="str">
            <v>Lactate dehydrogenase 3 isoform (LDH3)</v>
          </cell>
        </row>
        <row r="290">
          <cell r="AD290" t="str">
            <v>Lactate dehydrogenase 4 isoform (LDH4)</v>
          </cell>
        </row>
        <row r="291">
          <cell r="AD291" t="str">
            <v>Lactate dehydrogenase 5 isoform (LDH5)</v>
          </cell>
        </row>
        <row r="292">
          <cell r="AD292" t="str">
            <v>Lactoferrin</v>
          </cell>
        </row>
        <row r="293">
          <cell r="AD293" t="str">
            <v>Leukocytes, count</v>
          </cell>
        </row>
        <row r="294">
          <cell r="AD294" t="str">
            <v>LDL Cholesterol</v>
          </cell>
        </row>
        <row r="295">
          <cell r="AD295" t="str">
            <v>LDL Cholesterol (direct)</v>
          </cell>
        </row>
        <row r="296">
          <cell r="AD296" t="str">
            <v>LDL Cholesterol (oxidized)</v>
          </cell>
        </row>
        <row r="297">
          <cell r="AD297" t="str">
            <v>LDL receptor mRNA</v>
          </cell>
        </row>
        <row r="298">
          <cell r="AD298" t="str">
            <v>Leukocytes count</v>
          </cell>
        </row>
        <row r="299">
          <cell r="AD299" t="str">
            <v>Lipase (ricos)</v>
          </cell>
        </row>
        <row r="300">
          <cell r="AD300" t="str">
            <v>Lipoprotein (a)</v>
          </cell>
        </row>
        <row r="301">
          <cell r="AD301" t="str">
            <v>Lutein</v>
          </cell>
        </row>
        <row r="302">
          <cell r="AD302" t="str">
            <v>Luteinizing hormone</v>
          </cell>
        </row>
        <row r="303">
          <cell r="AD303" t="str">
            <v>Lycopenene</v>
          </cell>
        </row>
        <row r="304">
          <cell r="AD304" t="str">
            <v>Lymphocytes, count</v>
          </cell>
        </row>
        <row r="305">
          <cell r="AD305" t="str">
            <v>Lymphocytes CD4</v>
          </cell>
        </row>
        <row r="306">
          <cell r="AD306" t="str">
            <v>Magnesium (ricos)</v>
          </cell>
        </row>
        <row r="307">
          <cell r="AD307" t="str">
            <v>Magnesium (ricos2)</v>
          </cell>
        </row>
        <row r="308">
          <cell r="AD308" t="str">
            <v>Magnesium (ricos3)</v>
          </cell>
        </row>
        <row r="309">
          <cell r="AD309" t="str">
            <v>Magnesium, concentration, 24h</v>
          </cell>
        </row>
        <row r="310">
          <cell r="AD310" t="str">
            <v>Magnesium, ionized</v>
          </cell>
        </row>
        <row r="311">
          <cell r="AD311" t="str">
            <v>Magnesium, output, 24h</v>
          </cell>
        </row>
        <row r="312">
          <cell r="AD312" t="str">
            <v>Mean corpuscular hemoglobin (HCM)</v>
          </cell>
        </row>
        <row r="313">
          <cell r="AD313" t="str">
            <v>Mean corpuscular hemoglobin concentration (MCHC)</v>
          </cell>
        </row>
        <row r="314">
          <cell r="AD314" t="str">
            <v>Mean corpuscular volume (MCV)</v>
          </cell>
        </row>
        <row r="315">
          <cell r="AD315" t="str">
            <v>Mean platelet volume (MPV)</v>
          </cell>
        </row>
        <row r="316">
          <cell r="AD316" t="str">
            <v>Monocytes, count</v>
          </cell>
        </row>
        <row r="317">
          <cell r="AD317" t="str">
            <v>Mucinous carcinoma-associated antigen (MCA)</v>
          </cell>
        </row>
        <row r="318">
          <cell r="AD318" t="str">
            <v>Myeloperoxidase</v>
          </cell>
        </row>
        <row r="319">
          <cell r="AD319" t="str">
            <v>Myoglobin</v>
          </cell>
        </row>
        <row r="320">
          <cell r="AD320" t="str">
            <v>N-Acetyl Glucosaminidase, concentration, overnight</v>
          </cell>
        </row>
        <row r="321">
          <cell r="AD321" t="str">
            <v>Neutrophyles, count</v>
          </cell>
        </row>
        <row r="322">
          <cell r="AD322" t="str">
            <v>Non-inhibited arilestearase activity</v>
          </cell>
        </row>
        <row r="323">
          <cell r="AD323" t="str">
            <v>Norepinephrine</v>
          </cell>
        </row>
        <row r="324">
          <cell r="AD324" t="str">
            <v>Norepinephrine</v>
          </cell>
        </row>
        <row r="325">
          <cell r="AD325" t="str">
            <v>N-terminal (NT)-proBNP</v>
          </cell>
        </row>
        <row r="326">
          <cell r="AD326" t="str">
            <v>Osmolality</v>
          </cell>
        </row>
        <row r="327">
          <cell r="AD327" t="str">
            <v>Osteocalcin</v>
          </cell>
        </row>
        <row r="328">
          <cell r="AD328" t="str">
            <v>Osteocalcin (+1 trab)</v>
          </cell>
        </row>
        <row r="329">
          <cell r="AD329" t="str">
            <v>Oxalate, concentration, 24h</v>
          </cell>
        </row>
        <row r="330">
          <cell r="AD330" t="str">
            <v>Oxalate, output, 24h</v>
          </cell>
        </row>
        <row r="331">
          <cell r="AD331" t="str">
            <v>pCO2 (ricos)</v>
          </cell>
        </row>
        <row r="332">
          <cell r="AD332" t="str">
            <v>pH [H+]</v>
          </cell>
        </row>
        <row r="333">
          <cell r="AD333" t="str">
            <v>pH (pH units)</v>
          </cell>
        </row>
        <row r="334">
          <cell r="AD334" t="str">
            <v>Paraoxon</v>
          </cell>
        </row>
        <row r="335">
          <cell r="AD335" t="str">
            <v>Paraoxonase 1 substrate inhibition (PON 4SI)</v>
          </cell>
        </row>
        <row r="336">
          <cell r="AD336" t="str">
            <v>Paraoxonase activity (salt estimulated)</v>
          </cell>
        </row>
        <row r="337">
          <cell r="AD337" t="str">
            <v>Parathyroid hormone (PTH)</v>
          </cell>
        </row>
        <row r="338">
          <cell r="AD338" t="str">
            <v>Phenylacetate</v>
          </cell>
        </row>
        <row r="339">
          <cell r="AD339" t="str">
            <v>Phosphate (ricos)</v>
          </cell>
        </row>
        <row r="340">
          <cell r="AD340" t="str">
            <v>Phosphate tubular reabsorption</v>
          </cell>
        </row>
        <row r="341">
          <cell r="AD341" t="str">
            <v>Phospholipids</v>
          </cell>
        </row>
        <row r="342">
          <cell r="AD342" t="str">
            <v>Plasminogen</v>
          </cell>
        </row>
        <row r="343">
          <cell r="AD343" t="str">
            <v>Platelets, count</v>
          </cell>
        </row>
        <row r="344">
          <cell r="AD344" t="str">
            <v>Platelet distribution wide</v>
          </cell>
        </row>
        <row r="345">
          <cell r="AD345" t="str">
            <v>Plateletcrit</v>
          </cell>
        </row>
        <row r="346">
          <cell r="AD346" t="str">
            <v>Potassium (ricos)</v>
          </cell>
        </row>
        <row r="347">
          <cell r="AD347" t="str">
            <v>Potassium (ricos2)</v>
          </cell>
        </row>
        <row r="348">
          <cell r="AD348" t="str">
            <v>Prealbumin</v>
          </cell>
        </row>
        <row r="349">
          <cell r="AD349" t="str">
            <v>Procollagen type 1 C-terminal</v>
          </cell>
        </row>
        <row r="350">
          <cell r="AD350" t="str">
            <v>Procollagen type 1 N-terminal</v>
          </cell>
        </row>
        <row r="351">
          <cell r="AD351" t="str">
            <v>Prolactin (men)</v>
          </cell>
        </row>
        <row r="352">
          <cell r="AD352" t="str">
            <v>Prolyl endopeptidase</v>
          </cell>
        </row>
        <row r="353">
          <cell r="AD353" t="str">
            <v>Properdin factor B</v>
          </cell>
        </row>
        <row r="354">
          <cell r="AD354" t="str">
            <v>Prostatic specific antigen (PSA)</v>
          </cell>
        </row>
        <row r="355">
          <cell r="AD355" t="str">
            <v>Protein C</v>
          </cell>
        </row>
        <row r="356">
          <cell r="AD356" t="str">
            <v>Protein S</v>
          </cell>
        </row>
        <row r="357">
          <cell r="AD357" t="str">
            <v>Protein, total</v>
          </cell>
        </row>
        <row r="358">
          <cell r="AD358" t="str">
            <v>Prothrombin time</v>
          </cell>
        </row>
        <row r="359">
          <cell r="AD359" t="str">
            <v>Pyruvate</v>
          </cell>
        </row>
        <row r="360">
          <cell r="AD360" t="str">
            <v>Red cell distribution wide (RDW)</v>
          </cell>
        </row>
        <row r="361">
          <cell r="AD361" t="str">
            <v>Reticulocyte highly fluorescent, count</v>
          </cell>
        </row>
        <row r="362">
          <cell r="AD362" t="str">
            <v>Reticulocyte low fluorescent, count</v>
          </cell>
        </row>
        <row r="363">
          <cell r="AD363" t="str">
            <v>Reticulocyte medium fluorescent, count</v>
          </cell>
        </row>
        <row r="364">
          <cell r="AD364" t="str">
            <v>Reticulocyte, count</v>
          </cell>
        </row>
        <row r="365">
          <cell r="AD365" t="str">
            <v>Retinol</v>
          </cell>
        </row>
        <row r="366">
          <cell r="AD366" t="str">
            <v>Retinol</v>
          </cell>
        </row>
        <row r="367">
          <cell r="AD367" t="str">
            <v>Rheumatoid factor</v>
          </cell>
        </row>
        <row r="368">
          <cell r="AD368" t="str">
            <v>SCC antigen</v>
          </cell>
        </row>
        <row r="369">
          <cell r="AD369" t="str">
            <v>Selenium</v>
          </cell>
        </row>
        <row r="370">
          <cell r="AD370" t="str">
            <v>Selenium</v>
          </cell>
        </row>
        <row r="371">
          <cell r="AD371" t="str">
            <v>Semen, concentration</v>
          </cell>
        </row>
        <row r="372">
          <cell r="AD372" t="str">
            <v>Semen, morphology</v>
          </cell>
        </row>
        <row r="373">
          <cell r="AD373" t="str">
            <v>Semen, progressive motility</v>
          </cell>
        </row>
        <row r="374">
          <cell r="AD374" t="str">
            <v>Semen, progressive rapid motility</v>
          </cell>
        </row>
        <row r="375">
          <cell r="AD375" t="str">
            <v>Semen, total motility</v>
          </cell>
        </row>
        <row r="376">
          <cell r="AD376" t="str">
            <v>Semen, vitality</v>
          </cell>
        </row>
        <row r="377">
          <cell r="AD377" t="str">
            <v>Sex hormone binding globulin (SHBG)</v>
          </cell>
        </row>
        <row r="378">
          <cell r="AD378" t="str">
            <v>Sodium (ricos)</v>
          </cell>
        </row>
        <row r="379">
          <cell r="AD379" t="str">
            <v>Sodium (ricos2)</v>
          </cell>
        </row>
        <row r="380">
          <cell r="AD380" t="str">
            <v>Sodium (ricos3)</v>
          </cell>
        </row>
        <row r="381">
          <cell r="AD381" t="str">
            <v>Sodium Bicarbonate</v>
          </cell>
        </row>
        <row r="382">
          <cell r="AD382" t="str">
            <v>Sodium Chloride</v>
          </cell>
        </row>
        <row r="383">
          <cell r="AD383" t="str">
            <v>Soluble CD163</v>
          </cell>
        </row>
        <row r="384">
          <cell r="AD384" t="str">
            <v>Soluble CD163</v>
          </cell>
        </row>
        <row r="385">
          <cell r="AD385" t="str">
            <v>Superoxide dismutase</v>
          </cell>
        </row>
        <row r="386">
          <cell r="AD386" t="str">
            <v>Superoxide dismutase</v>
          </cell>
        </row>
        <row r="387">
          <cell r="AD387" t="str">
            <v>Testosterone (ricos)</v>
          </cell>
        </row>
        <row r="388">
          <cell r="AD388" t="str">
            <v>Testosterone (ricos2)</v>
          </cell>
        </row>
        <row r="389">
          <cell r="AD389" t="str">
            <v>Testosterone (ricos3)</v>
          </cell>
        </row>
        <row r="390">
          <cell r="AD390" t="str">
            <v>Thyroglobulin</v>
          </cell>
        </row>
        <row r="391">
          <cell r="AD391" t="str">
            <v>Thyroglobulin antibody</v>
          </cell>
        </row>
        <row r="392">
          <cell r="AD392" t="str">
            <v>Thyroid peroxidase antibody</v>
          </cell>
        </row>
        <row r="393">
          <cell r="AD393" t="str">
            <v>Thyroid stimulating hormone (TSH)</v>
          </cell>
        </row>
        <row r="394">
          <cell r="AD394" t="str">
            <v>Thyrotropin receptor antibody</v>
          </cell>
        </row>
        <row r="395">
          <cell r="AD395" t="str">
            <v>Thyroxine binding globulin (TBG)</v>
          </cell>
        </row>
        <row r="396">
          <cell r="AD396" t="str">
            <v>Thyroxine (T4)</v>
          </cell>
        </row>
        <row r="397">
          <cell r="AD397" t="str">
            <v>Tissue polypeptide antigen (TPA)</v>
          </cell>
        </row>
        <row r="398">
          <cell r="AD398" t="str">
            <v>Tissue polypeptide specific antigen (TPS)</v>
          </cell>
        </row>
        <row r="399">
          <cell r="AD399" t="str">
            <v>Total carnitine</v>
          </cell>
        </row>
        <row r="400">
          <cell r="AD400" t="str">
            <v>Transferrin</v>
          </cell>
        </row>
        <row r="401">
          <cell r="AD401" t="str">
            <v>Triglyceride</v>
          </cell>
        </row>
        <row r="402">
          <cell r="AD402" t="str">
            <v>Triiodothyronine (T3)</v>
          </cell>
        </row>
        <row r="403">
          <cell r="AD403" t="str">
            <v>Troponin I</v>
          </cell>
        </row>
        <row r="404">
          <cell r="AD404" t="str">
            <v>Tumor Necrosis Factor-a</v>
          </cell>
        </row>
        <row r="405">
          <cell r="AD405" t="str">
            <v>Urate</v>
          </cell>
        </row>
        <row r="406">
          <cell r="AD406" t="str">
            <v>Urea</v>
          </cell>
        </row>
        <row r="407">
          <cell r="AD407" t="str">
            <v>Vascular cell adhesion molecule-1</v>
          </cell>
        </row>
        <row r="408">
          <cell r="AD408" t="str">
            <v>Vascular endotelial growth factor</v>
          </cell>
        </row>
        <row r="409">
          <cell r="AD409" t="str">
            <v>Vitamin B1</v>
          </cell>
        </row>
        <row r="410">
          <cell r="AD410" t="str">
            <v>Vitamin B2 (Riboflavin)</v>
          </cell>
        </row>
        <row r="411">
          <cell r="AD411" t="str">
            <v>Vitamin B2 (Riboflavin)</v>
          </cell>
        </row>
        <row r="412">
          <cell r="AD412" t="str">
            <v>Vitamin B2 status (gluthation reductase activation)</v>
          </cell>
        </row>
        <row r="413">
          <cell r="AD413" t="str">
            <v>Vitamin B12</v>
          </cell>
        </row>
        <row r="414">
          <cell r="AD414" t="str">
            <v>Vitamin B6</v>
          </cell>
        </row>
        <row r="415">
          <cell r="AD415" t="str">
            <v>Vitamin B6</v>
          </cell>
        </row>
        <row r="416">
          <cell r="AD416" t="str">
            <v>Vitamin B6 status (AST activation)</v>
          </cell>
        </row>
        <row r="417">
          <cell r="AD417" t="str">
            <v>Vitamin E (a-Tocopherol)</v>
          </cell>
        </row>
        <row r="418">
          <cell r="AD418" t="str">
            <v>Vitamin K (Phylloquinone)</v>
          </cell>
        </row>
        <row r="419">
          <cell r="AD419" t="str">
            <v>VLDL Cholesterol</v>
          </cell>
        </row>
        <row r="420">
          <cell r="AD420" t="str">
            <v>Von Willebrand factor</v>
          </cell>
        </row>
        <row r="421">
          <cell r="AD421" t="str">
            <v>Von Willebrand factor antigen</v>
          </cell>
        </row>
        <row r="422">
          <cell r="AD422" t="str">
            <v>Water</v>
          </cell>
        </row>
        <row r="423">
          <cell r="AD423" t="str">
            <v>Zeaxanthine</v>
          </cell>
        </row>
        <row r="424">
          <cell r="AD424" t="str">
            <v>Zinc (ricos 1)</v>
          </cell>
        </row>
        <row r="425">
          <cell r="AD425" t="str">
            <v>Zinc (ricos 2)</v>
          </cell>
        </row>
        <row r="426">
          <cell r="AD426" t="str">
            <v>Creatinine, output, 24h</v>
          </cell>
        </row>
        <row r="427">
          <cell r="AD427" t="str">
            <v>URINE</v>
          </cell>
        </row>
        <row r="428">
          <cell r="AD428" t="str">
            <v>4 OH-3 methoxi-Vanil mandelic acid (VMA)</v>
          </cell>
        </row>
        <row r="429">
          <cell r="AD429" t="str">
            <v>5'-Hydroxyindolacetate, concentration</v>
          </cell>
        </row>
        <row r="430">
          <cell r="AD430" t="str">
            <v>a1-Microglobulin, concentration, first morning</v>
          </cell>
        </row>
        <row r="431">
          <cell r="AD431" t="str">
            <v>a2-Microglobulin output, first morning</v>
          </cell>
        </row>
        <row r="432">
          <cell r="AD432" t="str">
            <v>a-Amylase concentration, random</v>
          </cell>
        </row>
        <row r="433">
          <cell r="AD433" t="str">
            <v>Albumin, concentration, first morning</v>
          </cell>
        </row>
        <row r="434">
          <cell r="AD434" t="str">
            <v>Aldosterone, concentration</v>
          </cell>
        </row>
        <row r="435">
          <cell r="AD435" t="str">
            <v>Ammonia, output, 24h</v>
          </cell>
        </row>
        <row r="436">
          <cell r="AD436" t="str">
            <v>Calcium, concentration, 24h</v>
          </cell>
        </row>
        <row r="437">
          <cell r="AD437" t="str">
            <v>Calcium, ionized</v>
          </cell>
        </row>
        <row r="438">
          <cell r="AD438" t="str">
            <v>Calcium, output, 24h</v>
          </cell>
        </row>
        <row r="439">
          <cell r="AD439" t="str">
            <v>C-Terminal cross-linking telopeptide  type I collagen (s-CTx)</v>
          </cell>
        </row>
        <row r="440">
          <cell r="AD440" t="str">
            <v>C-Telopeptide of type I collagen/creatinine, 1st morning</v>
          </cell>
        </row>
        <row r="441">
          <cell r="AD441" t="str">
            <v>C-Telopeptide type I collagen/creatinine, 2nd morning</v>
          </cell>
        </row>
        <row r="442">
          <cell r="AD442" t="str">
            <v>Creatinine, concentration, 24h</v>
          </cell>
        </row>
        <row r="443">
          <cell r="AD443" t="str">
            <v>Creatinine, output, 24h</v>
          </cell>
        </row>
        <row r="444">
          <cell r="AD444" t="str">
            <v>?-aminolevulinic acid</v>
          </cell>
        </row>
        <row r="445">
          <cell r="AD445" t="str">
            <v>Deoxypyridinoline/creatinine, 24h (Delmas CC 2001)</v>
          </cell>
        </row>
        <row r="446">
          <cell r="AD446" t="str">
            <v>Deoxypyridinoline/creatinine, first morning</v>
          </cell>
        </row>
        <row r="447">
          <cell r="AD447" t="str">
            <v>Deoxipyridinoline/minute</v>
          </cell>
        </row>
        <row r="448">
          <cell r="AD448" t="str">
            <v>Estradiol</v>
          </cell>
        </row>
        <row r="449">
          <cell r="AD449" t="str">
            <v>Free estradiol</v>
          </cell>
        </row>
        <row r="450">
          <cell r="AD450" t="str">
            <v>Free testosterone</v>
          </cell>
        </row>
        <row r="451">
          <cell r="AD451" t="str">
            <v>Hydroxyproline/minute, night urine</v>
          </cell>
        </row>
        <row r="452">
          <cell r="AD452" t="str">
            <v>Magnesium, concentration, 24h</v>
          </cell>
        </row>
        <row r="453">
          <cell r="AD453" t="str">
            <v>Magnesium, ionized</v>
          </cell>
        </row>
        <row r="454">
          <cell r="AD454" t="str">
            <v>Magnesium, output, 24h</v>
          </cell>
        </row>
        <row r="455">
          <cell r="AD455" t="str">
            <v>N-Acetyl Glucosaminidase, concentration, overnight</v>
          </cell>
        </row>
        <row r="456">
          <cell r="AD456" t="str">
            <v>Nitrogen, output</v>
          </cell>
        </row>
        <row r="457">
          <cell r="AD457" t="str">
            <v>N- Telopeptide of type I collagen /creatinine, first urine</v>
          </cell>
        </row>
        <row r="458">
          <cell r="AD458" t="str">
            <v>Oxalate, concentration, 24h</v>
          </cell>
        </row>
        <row r="459">
          <cell r="AD459" t="str">
            <v>Oxalate, output, 24h</v>
          </cell>
        </row>
        <row r="460">
          <cell r="AD460" t="str">
            <v>Phosphate, concentration, 24h</v>
          </cell>
        </row>
        <row r="461">
          <cell r="AD461" t="str">
            <v>Phosphate, output, 24h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81"/>
  <sheetViews>
    <sheetView topLeftCell="A48" zoomScale="85" zoomScaleNormal="85" workbookViewId="0">
      <selection activeCell="O74" sqref="O74"/>
    </sheetView>
  </sheetViews>
  <sheetFormatPr baseColWidth="10" defaultColWidth="11.42578125" defaultRowHeight="15" x14ac:dyDescent="0.25"/>
  <cols>
    <col min="3" max="3" width="12.5703125" customWidth="1"/>
    <col min="8" max="8" width="11.140625" customWidth="1"/>
    <col min="9" max="9" width="18.42578125" customWidth="1"/>
  </cols>
  <sheetData>
    <row r="1" spans="2:12" ht="26.45" customHeight="1" x14ac:dyDescent="0.25">
      <c r="B1" s="283" t="s">
        <v>69</v>
      </c>
      <c r="C1" s="284"/>
      <c r="D1" s="284"/>
      <c r="E1" s="284"/>
      <c r="F1" s="284"/>
      <c r="G1" s="284"/>
      <c r="H1" s="284"/>
      <c r="I1" s="284"/>
      <c r="J1" s="284"/>
      <c r="K1" s="284"/>
      <c r="L1" s="285"/>
    </row>
    <row r="2" spans="2:12" x14ac:dyDescent="0.25">
      <c r="B2" s="286"/>
      <c r="C2" s="287"/>
      <c r="D2" s="287"/>
      <c r="E2" s="287"/>
      <c r="F2" s="287"/>
      <c r="G2" s="287"/>
      <c r="H2" s="287"/>
      <c r="I2" s="287"/>
      <c r="J2" s="287"/>
      <c r="K2" s="287"/>
      <c r="L2" s="288"/>
    </row>
    <row r="3" spans="2:12" ht="15.75" thickBot="1" x14ac:dyDescent="0.3">
      <c r="B3" s="289"/>
      <c r="C3" s="290"/>
      <c r="D3" s="290"/>
      <c r="E3" s="290"/>
      <c r="F3" s="290"/>
      <c r="G3" s="290"/>
      <c r="H3" s="290"/>
      <c r="I3" s="290"/>
      <c r="J3" s="290"/>
      <c r="K3" s="290"/>
      <c r="L3" s="291"/>
    </row>
    <row r="4" spans="2:12" ht="14.45" customHeight="1" x14ac:dyDescent="0.25">
      <c r="B4" s="38"/>
      <c r="C4" s="38"/>
      <c r="D4" s="38"/>
      <c r="E4" s="38"/>
      <c r="F4" s="38"/>
      <c r="G4" s="38"/>
      <c r="H4" s="38"/>
      <c r="I4" s="38"/>
      <c r="J4" s="38"/>
      <c r="K4" s="38"/>
      <c r="L4" s="38"/>
    </row>
    <row r="5" spans="2:12" ht="14.45" customHeight="1" x14ac:dyDescent="0.25">
      <c r="B5" s="39"/>
      <c r="C5" s="5" t="s">
        <v>73</v>
      </c>
      <c r="D5" s="38"/>
      <c r="E5" s="38"/>
      <c r="F5" s="38"/>
      <c r="G5" s="38"/>
      <c r="H5" s="38"/>
      <c r="I5" s="38"/>
      <c r="K5" s="45" t="s">
        <v>79</v>
      </c>
      <c r="L5" s="51"/>
    </row>
    <row r="6" spans="2:12" ht="14.45" customHeight="1" x14ac:dyDescent="0.25">
      <c r="B6" s="40"/>
      <c r="C6" s="5" t="s">
        <v>74</v>
      </c>
      <c r="D6" s="38"/>
      <c r="E6" s="38"/>
      <c r="F6" s="38"/>
      <c r="G6" s="38"/>
      <c r="H6" s="38"/>
      <c r="I6" s="38"/>
      <c r="K6" s="45" t="s">
        <v>80</v>
      </c>
      <c r="L6" s="46">
        <f ca="1">TODAY()</f>
        <v>45979</v>
      </c>
    </row>
    <row r="7" spans="2:12" ht="14.45" customHeight="1" x14ac:dyDescent="0.25">
      <c r="B7" s="41"/>
      <c r="C7" s="5" t="s">
        <v>75</v>
      </c>
      <c r="D7" s="38"/>
      <c r="E7" s="38"/>
      <c r="F7" s="38"/>
      <c r="G7" s="38"/>
      <c r="H7" s="38"/>
      <c r="I7" s="38"/>
      <c r="K7" s="45" t="s">
        <v>81</v>
      </c>
      <c r="L7" s="30" t="s">
        <v>82</v>
      </c>
    </row>
    <row r="8" spans="2:12" ht="14.45" customHeight="1" x14ac:dyDescent="0.25">
      <c r="B8" s="42">
        <v>3.2</v>
      </c>
      <c r="C8" s="5" t="s">
        <v>76</v>
      </c>
      <c r="D8" s="38"/>
      <c r="E8" s="38"/>
      <c r="G8" s="38"/>
      <c r="H8" s="38"/>
      <c r="I8" s="38"/>
      <c r="K8" s="45" t="s">
        <v>84</v>
      </c>
      <c r="L8" s="47" t="s">
        <v>83</v>
      </c>
    </row>
    <row r="9" spans="2:12" ht="14.45" customHeight="1" x14ac:dyDescent="0.25">
      <c r="B9" s="44">
        <v>3.2</v>
      </c>
      <c r="C9" s="5" t="s">
        <v>78</v>
      </c>
      <c r="D9" s="38"/>
      <c r="E9" s="38"/>
      <c r="F9" s="38"/>
      <c r="G9" s="38"/>
      <c r="H9" s="38"/>
      <c r="I9" s="73"/>
      <c r="J9" s="5"/>
      <c r="K9" s="5"/>
      <c r="L9" s="5"/>
    </row>
    <row r="10" spans="2:12" ht="14.45" customHeight="1" x14ac:dyDescent="0.25">
      <c r="B10" s="43">
        <v>3.2</v>
      </c>
      <c r="C10" s="5" t="s">
        <v>77</v>
      </c>
      <c r="D10" s="38"/>
      <c r="E10" s="38"/>
      <c r="F10" s="38"/>
      <c r="G10" s="38"/>
      <c r="H10" s="38"/>
      <c r="I10" s="38"/>
      <c r="J10" s="5"/>
      <c r="K10" s="5"/>
      <c r="L10" s="5"/>
    </row>
    <row r="11" spans="2:12" ht="14.45" customHeight="1" x14ac:dyDescent="0.25"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</row>
    <row r="12" spans="2:12" ht="14.45" customHeight="1" x14ac:dyDescent="0.25">
      <c r="B12" s="16" t="s">
        <v>94</v>
      </c>
      <c r="C12" s="8"/>
      <c r="D12" s="9"/>
      <c r="E12" s="9"/>
      <c r="F12" s="9"/>
      <c r="G12" s="9"/>
      <c r="H12" s="16" t="s">
        <v>197</v>
      </c>
      <c r="I12" s="9"/>
      <c r="J12" s="9"/>
      <c r="K12" s="9"/>
      <c r="L12" s="9"/>
    </row>
    <row r="13" spans="2:12" ht="14.45" customHeight="1" x14ac:dyDescent="0.25">
      <c r="B13" s="37" t="s">
        <v>71</v>
      </c>
      <c r="C13" s="37"/>
      <c r="D13" s="32" t="s">
        <v>65</v>
      </c>
      <c r="E13" s="39"/>
      <c r="F13" s="39"/>
      <c r="G13" t="s">
        <v>70</v>
      </c>
      <c r="H13" s="80" t="s">
        <v>198</v>
      </c>
      <c r="I13" s="37"/>
      <c r="J13">
        <f>sensibilité!E9</f>
        <v>1.6045640087982503E-2</v>
      </c>
    </row>
    <row r="15" spans="2:12" x14ac:dyDescent="0.25">
      <c r="B15" s="16" t="s">
        <v>95</v>
      </c>
      <c r="C15" s="8"/>
      <c r="D15" s="9"/>
      <c r="E15" s="9"/>
      <c r="F15" s="9"/>
      <c r="G15" s="9"/>
      <c r="H15" s="17" t="s">
        <v>98</v>
      </c>
      <c r="I15" s="9"/>
      <c r="J15" s="9"/>
      <c r="K15" s="9"/>
      <c r="L15" s="9"/>
    </row>
    <row r="16" spans="2:12" x14ac:dyDescent="0.25">
      <c r="B16" s="37" t="s">
        <v>181</v>
      </c>
      <c r="C16" s="37"/>
      <c r="D16" s="37"/>
      <c r="E16" t="str">
        <f>linéarité!H111</f>
        <v>spécifique</v>
      </c>
      <c r="H16" s="37" t="s">
        <v>60</v>
      </c>
      <c r="I16" s="37"/>
      <c r="J16" s="34" t="e">
        <f>LOQLOD!F8</f>
        <v>#DIV/0!</v>
      </c>
      <c r="K16" t="str">
        <f>LOQLOD!G5</f>
        <v>mg/L</v>
      </c>
    </row>
    <row r="17" spans="2:12" x14ac:dyDescent="0.25">
      <c r="B17" s="37" t="s">
        <v>182</v>
      </c>
      <c r="C17" s="37"/>
      <c r="D17" s="37"/>
      <c r="E17" t="str">
        <f>linéarité!E117</f>
        <v>pas de biais</v>
      </c>
      <c r="H17" s="37" t="s">
        <v>68</v>
      </c>
      <c r="I17" s="37"/>
      <c r="J17" s="34" t="e">
        <f>LOQLOD!I16</f>
        <v>#DIV/0!</v>
      </c>
      <c r="K17" t="str">
        <f>K16</f>
        <v>mg/L</v>
      </c>
    </row>
    <row r="18" spans="2:12" x14ac:dyDescent="0.25">
      <c r="B18" s="37" t="s">
        <v>62</v>
      </c>
      <c r="C18" s="37"/>
      <c r="D18" s="37"/>
      <c r="E18" s="35" t="str">
        <f>linéarité!C132</f>
        <v>étalon 100%</v>
      </c>
      <c r="H18" s="37" t="s">
        <v>102</v>
      </c>
      <c r="I18" s="37"/>
      <c r="J18" s="31" t="e">
        <f>LOQLOD!F22</f>
        <v>#DIV/0!</v>
      </c>
    </row>
    <row r="19" spans="2:12" x14ac:dyDescent="0.25">
      <c r="B19" s="37" t="s">
        <v>242</v>
      </c>
      <c r="C19" s="37"/>
      <c r="D19" s="37"/>
      <c r="E19">
        <f>SQRT(linéarité!C45)</f>
        <v>0.99812519281176759</v>
      </c>
      <c r="H19" s="37" t="s">
        <v>147</v>
      </c>
      <c r="I19" s="37"/>
      <c r="J19" s="31" t="e">
        <f>LOQLOD!G22</f>
        <v>#DIV/0!</v>
      </c>
    </row>
    <row r="20" spans="2:12" x14ac:dyDescent="0.25">
      <c r="B20" s="16" t="s">
        <v>96</v>
      </c>
      <c r="C20" s="8"/>
      <c r="D20" s="9"/>
      <c r="E20" s="9"/>
      <c r="F20" s="9"/>
      <c r="G20" s="9"/>
      <c r="H20" s="16" t="s">
        <v>97</v>
      </c>
      <c r="I20" s="9"/>
      <c r="J20" s="9"/>
      <c r="K20" s="9"/>
      <c r="L20" s="9"/>
    </row>
    <row r="21" spans="2:12" x14ac:dyDescent="0.25">
      <c r="B21" s="37" t="s">
        <v>100</v>
      </c>
      <c r="C21" s="37"/>
      <c r="E21" s="282">
        <f>justesse!C28</f>
        <v>1.0256371299983247</v>
      </c>
      <c r="F21" s="282"/>
      <c r="H21" s="37" t="s">
        <v>148</v>
      </c>
      <c r="I21" s="37"/>
      <c r="J21" s="31">
        <f>fidélité!D35</f>
        <v>1.1551653432032515E-3</v>
      </c>
      <c r="K21" s="31">
        <f>fidélité!B43</f>
        <v>1.4715424891646378E-3</v>
      </c>
      <c r="L21" s="37" t="s">
        <v>149</v>
      </c>
    </row>
    <row r="22" spans="2:12" x14ac:dyDescent="0.25">
      <c r="B22" s="37" t="s">
        <v>101</v>
      </c>
      <c r="C22" s="37"/>
      <c r="D22" s="32" t="s">
        <v>65</v>
      </c>
      <c r="E22" s="31">
        <f>justesse!C31</f>
        <v>1.0127914590066995</v>
      </c>
      <c r="F22" s="31">
        <f>justesse!C32</f>
        <v>1.0384828009899498</v>
      </c>
      <c r="G22" t="s">
        <v>70</v>
      </c>
      <c r="H22" s="37" t="s">
        <v>229</v>
      </c>
      <c r="I22" s="37"/>
      <c r="J22" s="31">
        <f>fidélité!D37</f>
        <v>4.6141159220402213E-3</v>
      </c>
      <c r="K22" s="31">
        <f>fidélité!B44</f>
        <v>5.8778318352116429E-3</v>
      </c>
      <c r="L22" s="37" t="s">
        <v>150</v>
      </c>
    </row>
    <row r="31" spans="2:12" x14ac:dyDescent="0.25">
      <c r="B31" t="str">
        <f>robustesse!B93</f>
        <v>éthanol</v>
      </c>
    </row>
    <row r="40" spans="2:12" x14ac:dyDescent="0.25">
      <c r="B40" s="16" t="s">
        <v>99</v>
      </c>
      <c r="C40" s="8"/>
      <c r="D40" s="9"/>
      <c r="E40" s="9"/>
      <c r="F40" s="9"/>
      <c r="G40" s="9"/>
      <c r="H40" s="12"/>
      <c r="I40" s="9"/>
      <c r="J40" s="9"/>
      <c r="K40" s="9"/>
      <c r="L40" s="9"/>
    </row>
    <row r="41" spans="2:12" x14ac:dyDescent="0.25">
      <c r="B41" s="5"/>
    </row>
    <row r="67" spans="2:12" x14ac:dyDescent="0.25">
      <c r="B67" s="16" t="s">
        <v>191</v>
      </c>
      <c r="C67" s="8"/>
      <c r="D67" s="9"/>
      <c r="E67" s="9"/>
      <c r="F67" s="9"/>
      <c r="G67" s="9"/>
      <c r="H67" s="16"/>
      <c r="I67" s="9"/>
      <c r="J67" s="9"/>
      <c r="K67" s="9"/>
      <c r="L67" s="9"/>
    </row>
    <row r="68" spans="2:12" x14ac:dyDescent="0.25">
      <c r="B68" s="37" t="s">
        <v>230</v>
      </c>
      <c r="C68" s="37"/>
      <c r="D68" s="39"/>
    </row>
    <row r="69" spans="2:12" x14ac:dyDescent="0.25">
      <c r="B69" s="37" t="s">
        <v>231</v>
      </c>
      <c r="C69" s="37"/>
    </row>
    <row r="70" spans="2:12" x14ac:dyDescent="0.25">
      <c r="B70" s="16" t="s">
        <v>180</v>
      </c>
      <c r="C70" s="8"/>
      <c r="D70" s="9"/>
      <c r="E70" s="9"/>
      <c r="F70" s="9"/>
      <c r="G70" s="9"/>
      <c r="H70" s="16"/>
      <c r="I70" s="9"/>
      <c r="J70" s="9"/>
      <c r="K70" s="9"/>
      <c r="L70" s="9"/>
    </row>
    <row r="71" spans="2:12" x14ac:dyDescent="0.25"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2:12" x14ac:dyDescent="0.25"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2:12" x14ac:dyDescent="0.25">
      <c r="B73" s="48" t="s">
        <v>192</v>
      </c>
      <c r="C73" s="49"/>
      <c r="D73" s="49"/>
      <c r="E73" s="49"/>
      <c r="F73" s="49"/>
      <c r="G73" s="49"/>
      <c r="H73" s="49"/>
      <c r="I73" s="49"/>
      <c r="J73" s="49"/>
      <c r="K73" s="49"/>
      <c r="L73" s="49"/>
    </row>
    <row r="74" spans="2:12" x14ac:dyDescent="0.25">
      <c r="B74" s="292"/>
      <c r="C74" s="292"/>
      <c r="D74" s="292"/>
      <c r="E74" s="292"/>
      <c r="F74" s="292"/>
      <c r="G74" s="292"/>
      <c r="H74" s="292"/>
      <c r="I74" s="292"/>
      <c r="J74" s="292"/>
      <c r="K74" s="292"/>
      <c r="L74" s="292"/>
    </row>
    <row r="75" spans="2:12" x14ac:dyDescent="0.25">
      <c r="B75" s="292"/>
      <c r="C75" s="292"/>
      <c r="D75" s="292"/>
      <c r="E75" s="292"/>
      <c r="F75" s="292"/>
      <c r="G75" s="292"/>
      <c r="H75" s="292"/>
      <c r="I75" s="292"/>
      <c r="J75" s="292"/>
      <c r="K75" s="292"/>
      <c r="L75" s="292"/>
    </row>
    <row r="76" spans="2:12" x14ac:dyDescent="0.25">
      <c r="B76" s="292"/>
      <c r="C76" s="292"/>
      <c r="D76" s="292"/>
      <c r="E76" s="292"/>
      <c r="F76" s="292"/>
      <c r="G76" s="292"/>
      <c r="H76" s="292"/>
      <c r="I76" s="292"/>
      <c r="J76" s="292"/>
      <c r="K76" s="292"/>
      <c r="L76" s="292"/>
    </row>
    <row r="77" spans="2:12" x14ac:dyDescent="0.25">
      <c r="B77" s="292"/>
      <c r="C77" s="292"/>
      <c r="D77" s="292"/>
      <c r="E77" s="292"/>
      <c r="F77" s="292"/>
      <c r="G77" s="292"/>
      <c r="H77" s="292"/>
      <c r="I77" s="292"/>
      <c r="J77" s="292"/>
      <c r="K77" s="292"/>
      <c r="L77" s="292"/>
    </row>
    <row r="78" spans="2:12" x14ac:dyDescent="0.25">
      <c r="B78" s="48" t="s">
        <v>56</v>
      </c>
      <c r="C78" s="49"/>
      <c r="D78" s="49"/>
      <c r="E78" s="49"/>
      <c r="F78" s="49"/>
      <c r="G78" s="49"/>
      <c r="H78" s="49"/>
      <c r="I78" s="49"/>
      <c r="J78" s="49"/>
      <c r="K78" s="49"/>
      <c r="L78" s="49"/>
    </row>
    <row r="80" spans="2:12" x14ac:dyDescent="0.25">
      <c r="B80" s="5" t="s">
        <v>87</v>
      </c>
      <c r="D80" s="47" t="s">
        <v>85</v>
      </c>
      <c r="E80" s="47" t="s">
        <v>86</v>
      </c>
      <c r="G80" s="5" t="s">
        <v>88</v>
      </c>
      <c r="H80" s="39"/>
      <c r="I80" s="39"/>
      <c r="K80" s="5" t="s">
        <v>89</v>
      </c>
    </row>
    <row r="81" spans="4:12" x14ac:dyDescent="0.25">
      <c r="D81" s="50" t="s">
        <v>16</v>
      </c>
      <c r="E81" s="50"/>
      <c r="H81" s="39"/>
      <c r="I81" s="39"/>
      <c r="K81" s="39"/>
      <c r="L81" s="39"/>
    </row>
  </sheetData>
  <mergeCells count="3">
    <mergeCell ref="E21:F21"/>
    <mergeCell ref="B1:L3"/>
    <mergeCell ref="B74:L7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74"/>
  <sheetViews>
    <sheetView showGridLines="0" zoomScale="70" zoomScaleNormal="70" workbookViewId="0">
      <selection activeCell="B42" sqref="B42"/>
    </sheetView>
  </sheetViews>
  <sheetFormatPr baseColWidth="10" defaultColWidth="9.140625" defaultRowHeight="15" x14ac:dyDescent="0.25"/>
  <cols>
    <col min="2" max="2" width="49" customWidth="1"/>
    <col min="3" max="3" width="23.42578125" customWidth="1"/>
    <col min="4" max="4" width="15.5703125" customWidth="1"/>
  </cols>
  <sheetData>
    <row r="1" spans="2:4" ht="21.75" thickBot="1" x14ac:dyDescent="0.4">
      <c r="B1" s="293" t="s">
        <v>151</v>
      </c>
      <c r="C1" s="294"/>
      <c r="D1" s="295"/>
    </row>
    <row r="3" spans="2:4" x14ac:dyDescent="0.25">
      <c r="B3" s="5" t="s">
        <v>104</v>
      </c>
    </row>
    <row r="5" spans="2:4" x14ac:dyDescent="0.25">
      <c r="B5" s="69" t="s">
        <v>152</v>
      </c>
    </row>
    <row r="7" spans="2:4" x14ac:dyDescent="0.25">
      <c r="C7" s="3" t="s">
        <v>153</v>
      </c>
      <c r="D7" s="3" t="s">
        <v>154</v>
      </c>
    </row>
    <row r="8" spans="2:4" x14ac:dyDescent="0.25">
      <c r="B8" s="71" t="s">
        <v>155</v>
      </c>
      <c r="C8" s="36"/>
      <c r="D8" s="36"/>
    </row>
    <row r="9" spans="2:4" x14ac:dyDescent="0.25">
      <c r="B9" s="71" t="s">
        <v>156</v>
      </c>
      <c r="C9" s="36"/>
      <c r="D9" s="36"/>
    </row>
    <row r="10" spans="2:4" x14ac:dyDescent="0.25">
      <c r="B10" s="71" t="s">
        <v>157</v>
      </c>
      <c r="C10" s="36"/>
      <c r="D10" s="36"/>
    </row>
    <row r="11" spans="2:4" x14ac:dyDescent="0.25">
      <c r="B11" s="71" t="s">
        <v>158</v>
      </c>
      <c r="C11" s="36"/>
      <c r="D11" s="36"/>
    </row>
    <row r="12" spans="2:4" x14ac:dyDescent="0.25">
      <c r="B12" s="71" t="s">
        <v>159</v>
      </c>
      <c r="C12" s="36"/>
      <c r="D12" s="36"/>
    </row>
    <row r="13" spans="2:4" x14ac:dyDescent="0.25">
      <c r="B13" s="71" t="s">
        <v>160</v>
      </c>
      <c r="C13" s="36"/>
      <c r="D13" s="36"/>
    </row>
    <row r="14" spans="2:4" x14ac:dyDescent="0.25">
      <c r="C14" s="35"/>
      <c r="D14" s="35"/>
    </row>
    <row r="15" spans="2:4" x14ac:dyDescent="0.25">
      <c r="B15" s="69" t="s">
        <v>161</v>
      </c>
      <c r="C15" s="35"/>
      <c r="D15" s="35"/>
    </row>
    <row r="16" spans="2:4" x14ac:dyDescent="0.25">
      <c r="C16" s="35"/>
      <c r="D16" s="35"/>
    </row>
    <row r="17" spans="2:4" x14ac:dyDescent="0.25">
      <c r="C17" s="3" t="s">
        <v>162</v>
      </c>
      <c r="D17" s="3" t="s">
        <v>154</v>
      </c>
    </row>
    <row r="18" spans="2:4" x14ac:dyDescent="0.25">
      <c r="B18" s="71" t="s">
        <v>163</v>
      </c>
      <c r="C18" s="36"/>
      <c r="D18" s="36"/>
    </row>
    <row r="19" spans="2:4" x14ac:dyDescent="0.25">
      <c r="B19" s="71" t="s">
        <v>164</v>
      </c>
      <c r="C19" s="36"/>
      <c r="D19" s="36"/>
    </row>
    <row r="20" spans="2:4" ht="30" x14ac:dyDescent="0.25">
      <c r="B20" s="71" t="s">
        <v>165</v>
      </c>
      <c r="C20" s="72" t="s">
        <v>166</v>
      </c>
      <c r="D20" s="36"/>
    </row>
    <row r="21" spans="2:4" x14ac:dyDescent="0.25">
      <c r="B21" s="71" t="s">
        <v>167</v>
      </c>
      <c r="C21" s="36"/>
      <c r="D21" s="36"/>
    </row>
    <row r="22" spans="2:4" x14ac:dyDescent="0.25">
      <c r="B22" s="71" t="s">
        <v>168</v>
      </c>
      <c r="C22" s="36"/>
      <c r="D22" s="36"/>
    </row>
    <row r="24" spans="2:4" x14ac:dyDescent="0.25">
      <c r="B24" s="69" t="s">
        <v>169</v>
      </c>
    </row>
    <row r="25" spans="2:4" x14ac:dyDescent="0.25">
      <c r="B25" t="s">
        <v>170</v>
      </c>
    </row>
    <row r="27" spans="2:4" x14ac:dyDescent="0.25">
      <c r="B27" t="s">
        <v>171</v>
      </c>
    </row>
    <row r="28" spans="2:4" x14ac:dyDescent="0.25">
      <c r="B28" t="s">
        <v>172</v>
      </c>
    </row>
    <row r="29" spans="2:4" x14ac:dyDescent="0.25">
      <c r="B29" t="s">
        <v>173</v>
      </c>
    </row>
    <row r="31" spans="2:4" x14ac:dyDescent="0.25">
      <c r="B31" t="s">
        <v>174</v>
      </c>
    </row>
    <row r="33" spans="2:2" x14ac:dyDescent="0.25">
      <c r="B33" t="s">
        <v>171</v>
      </c>
    </row>
    <row r="34" spans="2:2" x14ac:dyDescent="0.25">
      <c r="B34" t="s">
        <v>172</v>
      </c>
    </row>
    <row r="35" spans="2:2" x14ac:dyDescent="0.25">
      <c r="B35" t="s">
        <v>173</v>
      </c>
    </row>
    <row r="36" spans="2:2" x14ac:dyDescent="0.25">
      <c r="B36" s="5" t="s">
        <v>104</v>
      </c>
    </row>
    <row r="38" spans="2:2" x14ac:dyDescent="0.25">
      <c r="B38" s="69" t="s">
        <v>175</v>
      </c>
    </row>
    <row r="72" spans="2:4" x14ac:dyDescent="0.25">
      <c r="B72" s="69" t="s">
        <v>176</v>
      </c>
      <c r="C72" s="3" t="s">
        <v>177</v>
      </c>
      <c r="D72" s="32" t="s">
        <v>178</v>
      </c>
    </row>
    <row r="74" spans="2:4" x14ac:dyDescent="0.25">
      <c r="B74" t="s">
        <v>179</v>
      </c>
    </row>
  </sheetData>
  <mergeCells count="1">
    <mergeCell ref="B1:D1"/>
  </mergeCells>
  <pageMargins left="0.7" right="0.7" top="0.75" bottom="0.75" header="0.3" footer="0.3"/>
  <pageSetup scale="80" orientation="portrait" r:id="rId1"/>
  <rowBreaks count="2" manualBreakCount="2">
    <brk id="35" max="16383" man="1"/>
    <brk id="80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R176"/>
  <sheetViews>
    <sheetView showGridLines="0" topLeftCell="A97" zoomScale="85" zoomScaleNormal="85" workbookViewId="0">
      <selection activeCell="G20" sqref="G20"/>
    </sheetView>
  </sheetViews>
  <sheetFormatPr baseColWidth="10" defaultColWidth="11.42578125" defaultRowHeight="15" x14ac:dyDescent="0.25"/>
  <cols>
    <col min="1" max="1" width="11.42578125" style="124"/>
    <col min="2" max="2" width="14.140625" style="124" customWidth="1"/>
    <col min="3" max="3" width="12.42578125" style="124" customWidth="1"/>
    <col min="4" max="4" width="10.85546875" style="124" customWidth="1"/>
    <col min="5" max="5" width="11.28515625" style="124" customWidth="1"/>
    <col min="6" max="6" width="8.7109375" style="124" customWidth="1"/>
    <col min="7" max="8" width="12.85546875" style="124" customWidth="1"/>
    <col min="9" max="9" width="11.5703125" style="124" customWidth="1"/>
    <col min="10" max="10" width="10.42578125" style="124" customWidth="1"/>
    <col min="11" max="11" width="11.42578125" style="124" customWidth="1"/>
    <col min="12" max="12" width="15.140625" style="124" customWidth="1"/>
    <col min="13" max="13" width="15.85546875" style="124" customWidth="1"/>
    <col min="14" max="14" width="15.7109375" style="124" customWidth="1"/>
    <col min="15" max="16" width="14.85546875" style="124" customWidth="1"/>
    <col min="17" max="17" width="15.85546875" style="124" customWidth="1"/>
    <col min="18" max="18" width="19.42578125" style="124" customWidth="1"/>
    <col min="19" max="19" width="14.7109375" style="124" customWidth="1"/>
    <col min="20" max="20" width="13" style="124" customWidth="1"/>
    <col min="21" max="21" width="11.42578125" style="124"/>
    <col min="22" max="22" width="14.7109375" style="124" customWidth="1"/>
    <col min="23" max="24" width="11.42578125" style="124"/>
    <col min="25" max="25" width="19.5703125" style="124" customWidth="1"/>
    <col min="26" max="26" width="15.42578125" style="124" customWidth="1"/>
    <col min="27" max="27" width="13" style="124" customWidth="1"/>
    <col min="28" max="28" width="11.42578125" style="124"/>
    <col min="29" max="29" width="14.28515625" style="124" customWidth="1"/>
    <col min="30" max="16384" width="11.42578125" style="124"/>
  </cols>
  <sheetData>
    <row r="1" spans="1:16" x14ac:dyDescent="0.25">
      <c r="A1" s="127"/>
      <c r="B1" s="128"/>
      <c r="C1" s="129"/>
      <c r="D1" s="129"/>
      <c r="E1" s="129"/>
      <c r="F1" s="129"/>
      <c r="G1" s="129"/>
      <c r="H1" s="129"/>
      <c r="I1" s="129"/>
      <c r="J1" s="129"/>
      <c r="K1" s="130"/>
      <c r="L1" s="130"/>
      <c r="M1" s="130"/>
    </row>
    <row r="2" spans="1:16" x14ac:dyDescent="0.25">
      <c r="A2" s="127"/>
      <c r="B2" s="131" t="s">
        <v>236</v>
      </c>
      <c r="C2" s="126"/>
      <c r="D2" s="126"/>
      <c r="E2" s="126"/>
      <c r="F2" s="126"/>
      <c r="G2" s="126"/>
      <c r="H2" s="126"/>
      <c r="I2" s="126"/>
      <c r="J2" s="126"/>
      <c r="K2" s="49"/>
      <c r="L2" s="49"/>
      <c r="M2" s="130"/>
    </row>
    <row r="3" spans="1:16" x14ac:dyDescent="0.25">
      <c r="A3" s="127"/>
      <c r="B3" s="128"/>
      <c r="C3" s="129"/>
      <c r="D3" s="129"/>
      <c r="E3" s="129"/>
      <c r="F3" s="129"/>
      <c r="G3" s="129"/>
      <c r="H3" s="129"/>
      <c r="I3" s="129"/>
      <c r="J3" s="129"/>
      <c r="K3" s="130"/>
      <c r="L3" s="130"/>
      <c r="M3" s="130"/>
    </row>
    <row r="4" spans="1:16" x14ac:dyDescent="0.25">
      <c r="A4" s="127"/>
      <c r="B4" s="132" t="s">
        <v>240</v>
      </c>
      <c r="C4" s="129"/>
      <c r="D4" s="129"/>
      <c r="E4" s="129"/>
      <c r="F4" s="129"/>
      <c r="H4" s="132" t="s">
        <v>241</v>
      </c>
      <c r="I4" s="129"/>
      <c r="J4" s="129"/>
      <c r="K4" s="129"/>
      <c r="L4" s="130"/>
      <c r="M4" s="130"/>
    </row>
    <row r="5" spans="1:16" x14ac:dyDescent="0.25">
      <c r="A5" s="127"/>
      <c r="B5" s="27" t="s">
        <v>253</v>
      </c>
      <c r="C5" s="27" t="s">
        <v>261</v>
      </c>
      <c r="D5" s="27" t="s">
        <v>17</v>
      </c>
      <c r="E5" s="27" t="s">
        <v>18</v>
      </c>
      <c r="F5" s="129"/>
      <c r="H5" s="27" t="s">
        <v>253</v>
      </c>
      <c r="I5" s="27" t="s">
        <v>261</v>
      </c>
      <c r="J5" s="27" t="s">
        <v>17</v>
      </c>
      <c r="K5" s="27" t="s">
        <v>18</v>
      </c>
      <c r="L5" s="130"/>
      <c r="M5" s="130"/>
    </row>
    <row r="6" spans="1:16" x14ac:dyDescent="0.25">
      <c r="A6" s="127"/>
      <c r="B6" s="300">
        <v>0.8</v>
      </c>
      <c r="C6" s="118">
        <v>1</v>
      </c>
      <c r="D6" s="370">
        <v>0.24162984000000001</v>
      </c>
      <c r="E6" s="372">
        <v>0.93308456668483497</v>
      </c>
      <c r="F6" s="129"/>
      <c r="H6" s="300">
        <v>0.8</v>
      </c>
      <c r="I6" s="118">
        <v>1</v>
      </c>
      <c r="J6" s="370">
        <v>0.24162984000000001</v>
      </c>
      <c r="K6" s="372">
        <v>0.95196425246695215</v>
      </c>
      <c r="L6" s="130"/>
      <c r="M6" s="130"/>
    </row>
    <row r="7" spans="1:16" x14ac:dyDescent="0.25">
      <c r="A7" s="127"/>
      <c r="B7" s="301"/>
      <c r="C7" s="118">
        <v>2</v>
      </c>
      <c r="D7" s="370">
        <v>0.23965307999999999</v>
      </c>
      <c r="E7" s="372">
        <v>0.90947932811125543</v>
      </c>
      <c r="F7" s="129"/>
      <c r="H7" s="301"/>
      <c r="I7" s="118">
        <v>2</v>
      </c>
      <c r="J7" s="370">
        <v>0.23965307999999999</v>
      </c>
      <c r="K7" s="372">
        <v>1.0072514112027791</v>
      </c>
      <c r="L7" s="130"/>
      <c r="M7" s="130"/>
    </row>
    <row r="8" spans="1:16" x14ac:dyDescent="0.25">
      <c r="A8" s="127"/>
      <c r="B8" s="302"/>
      <c r="C8" s="118">
        <v>3</v>
      </c>
      <c r="D8" s="370">
        <v>0.24383916</v>
      </c>
      <c r="E8" s="372">
        <v>0.92964764503499819</v>
      </c>
      <c r="F8" s="129"/>
      <c r="H8" s="302"/>
      <c r="I8" s="118">
        <v>3</v>
      </c>
      <c r="J8" s="370">
        <v>0.24383916</v>
      </c>
      <c r="K8" s="372">
        <v>0.98670549506204097</v>
      </c>
      <c r="L8" s="130"/>
      <c r="M8" s="130"/>
    </row>
    <row r="9" spans="1:16" x14ac:dyDescent="0.25">
      <c r="A9" s="127"/>
      <c r="B9" s="310">
        <v>0.9</v>
      </c>
      <c r="C9" s="121">
        <v>1</v>
      </c>
      <c r="D9" s="370">
        <v>0.26915912999999997</v>
      </c>
      <c r="E9" s="372">
        <v>1.0487783783783784</v>
      </c>
      <c r="F9" s="129"/>
      <c r="H9" s="310">
        <v>0.9</v>
      </c>
      <c r="I9" s="121">
        <v>1</v>
      </c>
      <c r="J9" s="370">
        <v>0.26915912999999997</v>
      </c>
      <c r="K9" s="372">
        <v>1.0587644619078804</v>
      </c>
      <c r="L9" s="130"/>
      <c r="M9" s="130"/>
    </row>
    <row r="10" spans="1:16" x14ac:dyDescent="0.25">
      <c r="A10" s="127"/>
      <c r="B10" s="311"/>
      <c r="C10" s="121">
        <v>2</v>
      </c>
      <c r="D10" s="370">
        <v>0.26956610999999997</v>
      </c>
      <c r="E10" s="372">
        <v>1.0212268092929968</v>
      </c>
      <c r="F10" s="129"/>
      <c r="H10" s="311"/>
      <c r="I10" s="121">
        <v>2</v>
      </c>
      <c r="J10" s="370">
        <v>0.26956610999999997</v>
      </c>
      <c r="K10" s="372">
        <v>1.0416089965397923</v>
      </c>
      <c r="L10" s="130"/>
      <c r="M10" s="130"/>
    </row>
    <row r="11" spans="1:16" x14ac:dyDescent="0.25">
      <c r="A11" s="127"/>
      <c r="B11" s="312"/>
      <c r="C11" s="121">
        <v>3</v>
      </c>
      <c r="D11" s="370">
        <v>0.27174636000000002</v>
      </c>
      <c r="E11" s="372">
        <v>1.0366375083356216</v>
      </c>
      <c r="F11" s="129"/>
      <c r="H11" s="312"/>
      <c r="I11" s="121">
        <v>3</v>
      </c>
      <c r="J11" s="370">
        <v>0.27174635999999996</v>
      </c>
      <c r="K11" s="372">
        <v>1.0721775382153536</v>
      </c>
      <c r="L11" s="232" t="s">
        <v>329</v>
      </c>
      <c r="M11" s="232" t="s">
        <v>330</v>
      </c>
      <c r="N11" s="232" t="s">
        <v>331</v>
      </c>
      <c r="O11" s="232" t="s">
        <v>332</v>
      </c>
      <c r="P11" s="232" t="s">
        <v>333</v>
      </c>
    </row>
    <row r="12" spans="1:16" x14ac:dyDescent="0.25">
      <c r="A12" s="127"/>
      <c r="B12" s="300">
        <v>1</v>
      </c>
      <c r="C12" s="118">
        <v>1</v>
      </c>
      <c r="D12" s="370">
        <v>0.29378142000000002</v>
      </c>
      <c r="E12" s="372">
        <v>1.1425546930134085</v>
      </c>
      <c r="F12" s="129"/>
      <c r="H12" s="300">
        <v>1</v>
      </c>
      <c r="I12" s="118">
        <v>1</v>
      </c>
      <c r="J12" s="370">
        <v>0.29378142000000002</v>
      </c>
      <c r="K12" s="372">
        <v>1.156247213056274</v>
      </c>
      <c r="L12" s="371">
        <v>1.1512582545065144</v>
      </c>
      <c r="M12" s="371">
        <v>1.1538771670474399</v>
      </c>
      <c r="N12" s="371">
        <v>1.1537055203781326</v>
      </c>
      <c r="O12" s="371">
        <v>1.1534856734803178</v>
      </c>
      <c r="P12" s="371">
        <v>1.1527777777777777</v>
      </c>
    </row>
    <row r="13" spans="1:16" x14ac:dyDescent="0.25">
      <c r="A13" s="127"/>
      <c r="B13" s="301"/>
      <c r="C13" s="118">
        <v>2</v>
      </c>
      <c r="D13" s="370">
        <v>0.29776401000000002</v>
      </c>
      <c r="E13" s="372">
        <v>1.1387553809503907</v>
      </c>
      <c r="F13" s="129"/>
      <c r="H13" s="301"/>
      <c r="I13" s="118">
        <v>2</v>
      </c>
      <c r="J13" s="370">
        <v>0.29776400999999997</v>
      </c>
      <c r="K13" s="372">
        <v>1.1586804934739854</v>
      </c>
      <c r="L13" s="371">
        <v>1.1599178534756016</v>
      </c>
      <c r="M13" s="371">
        <v>1.1576806151645207</v>
      </c>
      <c r="N13" s="371">
        <v>1.1609210820478426</v>
      </c>
      <c r="O13" s="371">
        <v>1.1571683787405092</v>
      </c>
      <c r="P13" s="371">
        <v>1.1592237341066249</v>
      </c>
    </row>
    <row r="14" spans="1:16" x14ac:dyDescent="0.25">
      <c r="A14" s="127"/>
      <c r="B14" s="302"/>
      <c r="C14" s="118">
        <v>3</v>
      </c>
      <c r="D14" s="370">
        <v>0.32485725000000004</v>
      </c>
      <c r="E14" s="372">
        <v>1.2453744143571825</v>
      </c>
      <c r="F14" s="129"/>
      <c r="H14" s="302"/>
      <c r="I14" s="118">
        <v>3</v>
      </c>
      <c r="J14" s="370">
        <v>0.32485725000000004</v>
      </c>
      <c r="K14" s="372">
        <v>1.2723748247133548</v>
      </c>
      <c r="L14" s="371">
        <v>1.2722286374133949</v>
      </c>
      <c r="M14" s="371">
        <v>1.272945064023131</v>
      </c>
      <c r="N14" s="371">
        <v>1.2719805168001321</v>
      </c>
      <c r="O14" s="371">
        <v>1.2717010670292095</v>
      </c>
      <c r="P14" s="371">
        <v>1.2701611241603825</v>
      </c>
    </row>
    <row r="15" spans="1:16" x14ac:dyDescent="0.25">
      <c r="A15" s="127"/>
      <c r="B15" s="310">
        <v>1.1000000000000001</v>
      </c>
      <c r="C15" s="121">
        <v>1</v>
      </c>
      <c r="D15" s="370">
        <v>0.32154327000000005</v>
      </c>
      <c r="E15" s="372">
        <v>1.2533606934963775</v>
      </c>
      <c r="F15" s="129"/>
      <c r="H15" s="310">
        <v>1.1000000000000001</v>
      </c>
      <c r="I15" s="121">
        <v>1</v>
      </c>
      <c r="J15" s="370">
        <v>0.32154326999999999</v>
      </c>
      <c r="K15" s="372">
        <v>1.268185487487667</v>
      </c>
      <c r="L15" s="130"/>
      <c r="M15" s="130"/>
    </row>
    <row r="16" spans="1:16" x14ac:dyDescent="0.25">
      <c r="A16" s="127"/>
      <c r="B16" s="311"/>
      <c r="C16" s="121">
        <v>2</v>
      </c>
      <c r="D16" s="370">
        <v>0.32378166000000008</v>
      </c>
      <c r="E16" s="372">
        <v>1.2340842720066749</v>
      </c>
      <c r="F16" s="129"/>
      <c r="H16" s="311"/>
      <c r="I16" s="121">
        <v>2</v>
      </c>
      <c r="J16" s="370">
        <v>0.32378166000000008</v>
      </c>
      <c r="K16" s="372">
        <v>1.265804534929442</v>
      </c>
      <c r="L16" s="130"/>
      <c r="M16" s="130"/>
    </row>
    <row r="17" spans="1:17" x14ac:dyDescent="0.25">
      <c r="A17" s="127"/>
      <c r="B17" s="312"/>
      <c r="C17" s="121">
        <v>3</v>
      </c>
      <c r="D17" s="370">
        <v>0.34825859999999997</v>
      </c>
      <c r="E17" s="372">
        <v>1.3326614496877718</v>
      </c>
      <c r="F17" s="129"/>
      <c r="H17" s="312"/>
      <c r="I17" s="121">
        <v>3</v>
      </c>
      <c r="J17" s="370">
        <v>0.34825860000000003</v>
      </c>
      <c r="K17" s="372">
        <v>1.3540644203406607</v>
      </c>
      <c r="L17" s="130"/>
      <c r="M17" s="130"/>
    </row>
    <row r="18" spans="1:17" x14ac:dyDescent="0.25">
      <c r="A18" s="127"/>
      <c r="B18" s="300">
        <v>1.2</v>
      </c>
      <c r="C18" s="118">
        <v>1</v>
      </c>
      <c r="D18" s="371">
        <v>0.36032264999999997</v>
      </c>
      <c r="E18" s="372">
        <v>1.3919346775537411</v>
      </c>
      <c r="F18" s="129"/>
      <c r="H18" s="300">
        <v>1.2</v>
      </c>
      <c r="I18" s="118">
        <v>1</v>
      </c>
      <c r="J18" s="370">
        <v>0.36032264999999997</v>
      </c>
      <c r="K18" s="372">
        <v>1.4246525897852373</v>
      </c>
      <c r="L18" s="130"/>
      <c r="M18" s="130"/>
    </row>
    <row r="19" spans="1:17" s="130" customFormat="1" x14ac:dyDescent="0.25">
      <c r="A19" s="129"/>
      <c r="B19" s="301"/>
      <c r="C19" s="118">
        <v>2</v>
      </c>
      <c r="D19" s="371">
        <v>0.36424709999999999</v>
      </c>
      <c r="E19" s="372">
        <v>1.3991414502756618</v>
      </c>
      <c r="F19" s="129"/>
      <c r="H19" s="301"/>
      <c r="I19" s="118">
        <v>2</v>
      </c>
      <c r="J19" s="370">
        <v>0.36424709999999999</v>
      </c>
      <c r="K19" s="372">
        <v>1.4218196314670446</v>
      </c>
    </row>
    <row r="20" spans="1:17" s="130" customFormat="1" x14ac:dyDescent="0.25">
      <c r="A20" s="129"/>
      <c r="B20" s="302"/>
      <c r="C20" s="118">
        <v>3</v>
      </c>
      <c r="D20" s="371">
        <v>0.36075870000000004</v>
      </c>
      <c r="E20" s="372">
        <v>1.3745959157927936</v>
      </c>
      <c r="F20" s="129"/>
      <c r="H20" s="302"/>
      <c r="I20" s="118">
        <v>3</v>
      </c>
      <c r="J20" s="371">
        <v>0.36075869999999999</v>
      </c>
      <c r="K20" s="372">
        <v>1.4202600671140939</v>
      </c>
    </row>
    <row r="21" spans="1:17" s="130" customFormat="1" x14ac:dyDescent="0.25">
      <c r="A21" s="129"/>
      <c r="B21" s="128"/>
      <c r="C21" s="129"/>
      <c r="D21" s="129"/>
      <c r="E21" s="129"/>
      <c r="F21" s="129"/>
      <c r="G21" s="129"/>
      <c r="H21" s="129"/>
      <c r="I21" s="129"/>
      <c r="J21" s="129"/>
    </row>
    <row r="22" spans="1:17" s="130" customFormat="1" x14ac:dyDescent="0.25">
      <c r="A22" s="129"/>
      <c r="B22" s="131" t="s">
        <v>299</v>
      </c>
      <c r="C22" s="126"/>
      <c r="D22" s="126"/>
      <c r="E22" s="126"/>
      <c r="F22" s="126"/>
      <c r="G22" s="126"/>
      <c r="H22" s="126"/>
      <c r="I22" s="126"/>
      <c r="J22" s="126"/>
      <c r="K22" s="49"/>
      <c r="L22" s="49"/>
    </row>
    <row r="23" spans="1:17" x14ac:dyDescent="0.25">
      <c r="A23" s="127"/>
      <c r="B23" s="128"/>
      <c r="C23" s="129"/>
      <c r="D23" s="129"/>
      <c r="E23" s="129"/>
      <c r="F23" s="129"/>
      <c r="G23" s="129"/>
      <c r="H23" s="129"/>
      <c r="I23" s="129"/>
      <c r="J23" s="129"/>
      <c r="K23" s="130"/>
      <c r="L23" s="130"/>
      <c r="N23" s="130"/>
      <c r="O23" s="130"/>
    </row>
    <row r="24" spans="1:17" x14ac:dyDescent="0.25">
      <c r="A24" s="127"/>
      <c r="B24" s="132" t="s">
        <v>240</v>
      </c>
      <c r="C24" s="127"/>
      <c r="D24" s="79"/>
      <c r="E24" s="79"/>
      <c r="F24" s="133"/>
      <c r="H24" s="132" t="s">
        <v>241</v>
      </c>
      <c r="I24" s="127"/>
      <c r="J24" s="79"/>
      <c r="N24" s="130"/>
      <c r="O24" s="130"/>
    </row>
    <row r="25" spans="1:17" x14ac:dyDescent="0.25">
      <c r="A25" s="127"/>
      <c r="B25" s="27" t="s">
        <v>253</v>
      </c>
      <c r="C25" s="27" t="s">
        <v>261</v>
      </c>
      <c r="D25" s="27" t="s">
        <v>301</v>
      </c>
      <c r="E25" s="27" t="s">
        <v>300</v>
      </c>
      <c r="F25" s="27" t="s">
        <v>21</v>
      </c>
      <c r="H25" s="27" t="s">
        <v>253</v>
      </c>
      <c r="I25" s="27" t="s">
        <v>261</v>
      </c>
      <c r="J25" s="27" t="s">
        <v>301</v>
      </c>
      <c r="K25" s="27" t="s">
        <v>300</v>
      </c>
      <c r="L25" s="27" t="s">
        <v>21</v>
      </c>
      <c r="N25" s="130"/>
      <c r="O25" s="130"/>
    </row>
    <row r="26" spans="1:17" x14ac:dyDescent="0.25">
      <c r="A26" s="127"/>
      <c r="B26" s="300">
        <v>0.8</v>
      </c>
      <c r="C26" s="118">
        <v>1</v>
      </c>
      <c r="D26" s="117">
        <f>AVERAGE(D6:D8)</f>
        <v>0.24170736000000001</v>
      </c>
      <c r="E26" s="117">
        <f>E6*D26/D6</f>
        <v>0.93338392009089366</v>
      </c>
      <c r="F26" s="309">
        <f>VAR(E26:E28)</f>
        <v>6.9709559170468629E-5</v>
      </c>
      <c r="H26" s="300">
        <v>0.8</v>
      </c>
      <c r="I26" s="118">
        <v>1</v>
      </c>
      <c r="J26" s="117">
        <f>AVERAGE(J6:J8)</f>
        <v>0.24170736000000001</v>
      </c>
      <c r="K26" s="117">
        <f>K6*J26/J6</f>
        <v>0.95226966287839487</v>
      </c>
      <c r="L26" s="309">
        <f>VAR(K26:K28)</f>
        <v>1.02373635922608E-3</v>
      </c>
      <c r="N26" s="130"/>
      <c r="O26" s="130"/>
    </row>
    <row r="27" spans="1:17" x14ac:dyDescent="0.25">
      <c r="A27" s="127"/>
      <c r="B27" s="301"/>
      <c r="C27" s="118">
        <v>2</v>
      </c>
      <c r="D27" s="117">
        <f>D26</f>
        <v>0.24170736000000001</v>
      </c>
      <c r="E27" s="117">
        <f t="shared" ref="E27:E40" si="0">E7*D27/D7</f>
        <v>0.91727528547659543</v>
      </c>
      <c r="F27" s="309"/>
      <c r="H27" s="301"/>
      <c r="I27" s="118">
        <v>2</v>
      </c>
      <c r="J27" s="117">
        <f>J26</f>
        <v>0.24170736000000001</v>
      </c>
      <c r="K27" s="117">
        <f t="shared" ref="K27:K40" si="1">K7*J27/J7</f>
        <v>1.0158854601747584</v>
      </c>
      <c r="L27" s="309"/>
      <c r="N27" s="130"/>
      <c r="O27" s="130"/>
    </row>
    <row r="28" spans="1:17" x14ac:dyDescent="0.25">
      <c r="A28" s="127"/>
      <c r="B28" s="302"/>
      <c r="C28" s="118">
        <v>3</v>
      </c>
      <c r="D28" s="117">
        <f>D27</f>
        <v>0.24170736000000001</v>
      </c>
      <c r="E28" s="117">
        <f t="shared" si="0"/>
        <v>0.92152006269881559</v>
      </c>
      <c r="F28" s="309"/>
      <c r="H28" s="302"/>
      <c r="I28" s="118">
        <v>3</v>
      </c>
      <c r="J28" s="117">
        <f>J27</f>
        <v>0.24170736000000001</v>
      </c>
      <c r="K28" s="117">
        <f t="shared" si="1"/>
        <v>0.97807907601444732</v>
      </c>
      <c r="L28" s="309"/>
      <c r="N28" s="130"/>
      <c r="O28" s="130"/>
    </row>
    <row r="29" spans="1:17" x14ac:dyDescent="0.25">
      <c r="A29" s="127"/>
      <c r="B29" s="310">
        <v>0.9</v>
      </c>
      <c r="C29" s="121">
        <v>1</v>
      </c>
      <c r="D29" s="23">
        <f>AVERAGE(D9:D11)</f>
        <v>0.27015720000000004</v>
      </c>
      <c r="E29" s="23">
        <f t="shared" si="0"/>
        <v>1.0526673574968211</v>
      </c>
      <c r="F29" s="313">
        <f t="shared" ref="F29" si="2">VAR(E29:E31)</f>
        <v>2.3188552153329662E-4</v>
      </c>
      <c r="H29" s="310">
        <v>0.9</v>
      </c>
      <c r="I29" s="121">
        <v>1</v>
      </c>
      <c r="J29" s="23">
        <f>AVERAGE(J9:J11)</f>
        <v>0.27015719999999999</v>
      </c>
      <c r="K29" s="23">
        <f t="shared" si="1"/>
        <v>1.0626904704608744</v>
      </c>
      <c r="L29" s="313">
        <f t="shared" ref="L29" si="3">VAR(K29:K31)</f>
        <v>1.413889472548166E-4</v>
      </c>
      <c r="N29" s="130"/>
      <c r="O29" s="130"/>
    </row>
    <row r="30" spans="1:17" x14ac:dyDescent="0.25">
      <c r="A30" s="127"/>
      <c r="B30" s="311"/>
      <c r="C30" s="121">
        <v>2</v>
      </c>
      <c r="D30" s="23">
        <f>D29</f>
        <v>0.27015720000000004</v>
      </c>
      <c r="E30" s="23">
        <f t="shared" si="0"/>
        <v>1.0234661002584118</v>
      </c>
      <c r="F30" s="313"/>
      <c r="H30" s="311"/>
      <c r="I30" s="121">
        <v>2</v>
      </c>
      <c r="J30" s="23">
        <f>J29</f>
        <v>0.27015719999999999</v>
      </c>
      <c r="K30" s="23">
        <f t="shared" si="1"/>
        <v>1.04389298046405</v>
      </c>
      <c r="L30" s="313"/>
      <c r="N30" s="130"/>
      <c r="O30" s="130"/>
    </row>
    <row r="31" spans="1:17" x14ac:dyDescent="0.25">
      <c r="A31" s="127"/>
      <c r="B31" s="312"/>
      <c r="C31" s="121">
        <v>3</v>
      </c>
      <c r="D31" s="23">
        <f>D30</f>
        <v>0.27015720000000004</v>
      </c>
      <c r="E31" s="23">
        <f t="shared" si="0"/>
        <v>1.0305753006845362</v>
      </c>
      <c r="F31" s="313"/>
      <c r="H31" s="312"/>
      <c r="I31" s="121">
        <v>3</v>
      </c>
      <c r="J31" s="23">
        <f>J30</f>
        <v>0.27015719999999999</v>
      </c>
      <c r="K31" s="23">
        <f t="shared" si="1"/>
        <v>1.0659074941322229</v>
      </c>
      <c r="L31" s="313"/>
      <c r="M31" s="232" t="s">
        <v>334</v>
      </c>
      <c r="N31" s="232" t="s">
        <v>335</v>
      </c>
      <c r="O31" s="232" t="s">
        <v>336</v>
      </c>
      <c r="P31" s="232" t="s">
        <v>337</v>
      </c>
      <c r="Q31" s="232" t="s">
        <v>338</v>
      </c>
    </row>
    <row r="32" spans="1:17" x14ac:dyDescent="0.25">
      <c r="A32" s="127"/>
      <c r="B32" s="300">
        <v>1</v>
      </c>
      <c r="C32" s="118">
        <v>1</v>
      </c>
      <c r="D32" s="117">
        <f>AVERAGE(D12:D14)</f>
        <v>0.30546756000000003</v>
      </c>
      <c r="E32" s="117">
        <f t="shared" si="0"/>
        <v>1.1880036329096475</v>
      </c>
      <c r="F32" s="309">
        <f t="shared" ref="F32" si="4">VAR(E32:E34)</f>
        <v>1.145352289076259E-4</v>
      </c>
      <c r="H32" s="300">
        <v>1</v>
      </c>
      <c r="I32" s="118">
        <v>1</v>
      </c>
      <c r="J32" s="117">
        <f>AVERAGE(J12:J14)</f>
        <v>0.30546756000000003</v>
      </c>
      <c r="K32" s="117">
        <f t="shared" si="1"/>
        <v>1.20224081880025</v>
      </c>
      <c r="L32" s="309">
        <f t="shared" ref="L32" si="5">VAR(K32:K34)</f>
        <v>4.6450753181808667E-5</v>
      </c>
      <c r="M32" s="23">
        <f>L12*$J32/$J12</f>
        <v>1.1970534077136805</v>
      </c>
      <c r="N32" s="23">
        <f t="shared" ref="N32:Q32" si="6">M12*$J32/$J12</f>
        <v>1.1997764962729565</v>
      </c>
      <c r="O32" s="23">
        <f t="shared" si="6"/>
        <v>1.1995980217824478</v>
      </c>
      <c r="P32" s="23">
        <f t="shared" si="6"/>
        <v>1.1993694297378963</v>
      </c>
      <c r="Q32" s="23">
        <f t="shared" si="6"/>
        <v>1.1986333751126941</v>
      </c>
    </row>
    <row r="33" spans="1:17" x14ac:dyDescent="0.25">
      <c r="A33" s="127"/>
      <c r="B33" s="301"/>
      <c r="C33" s="118">
        <v>2</v>
      </c>
      <c r="D33" s="117">
        <f>D32</f>
        <v>0.30546756000000003</v>
      </c>
      <c r="E33" s="117">
        <f t="shared" si="0"/>
        <v>1.1682164935103687</v>
      </c>
      <c r="F33" s="309"/>
      <c r="H33" s="301"/>
      <c r="I33" s="118">
        <v>2</v>
      </c>
      <c r="J33" s="117">
        <f>J32</f>
        <v>0.30546756000000003</v>
      </c>
      <c r="K33" s="117">
        <f t="shared" si="1"/>
        <v>1.188657095130786</v>
      </c>
      <c r="L33" s="309"/>
      <c r="M33" s="23">
        <f t="shared" ref="M33:Q33" si="7">L13*$J33/$J13</f>
        <v>1.1899264672773235</v>
      </c>
      <c r="N33" s="23">
        <f t="shared" si="7"/>
        <v>1.1876313486428571</v>
      </c>
      <c r="O33" s="23">
        <f t="shared" si="7"/>
        <v>1.1909556507037715</v>
      </c>
      <c r="P33" s="23">
        <f t="shared" si="7"/>
        <v>1.1871058599829418</v>
      </c>
      <c r="Q33" s="23">
        <f t="shared" si="7"/>
        <v>1.1892143901193417</v>
      </c>
    </row>
    <row r="34" spans="1:17" x14ac:dyDescent="0.25">
      <c r="A34" s="127"/>
      <c r="B34" s="302"/>
      <c r="C34" s="118">
        <v>3</v>
      </c>
      <c r="D34" s="117">
        <f>D33</f>
        <v>0.30546756000000003</v>
      </c>
      <c r="E34" s="117">
        <f t="shared" si="0"/>
        <v>1.1710419996478993</v>
      </c>
      <c r="F34" s="309"/>
      <c r="H34" s="302"/>
      <c r="I34" s="118">
        <v>3</v>
      </c>
      <c r="J34" s="117">
        <f>J33</f>
        <v>0.30546756000000003</v>
      </c>
      <c r="K34" s="117">
        <f t="shared" si="1"/>
        <v>1.1964308418870633</v>
      </c>
      <c r="L34" s="309"/>
      <c r="M34" s="23">
        <f t="shared" ref="M34:Q34" si="8">L14*$J34/$J14</f>
        <v>1.1962933800393694</v>
      </c>
      <c r="N34" s="23">
        <f t="shared" si="8"/>
        <v>1.1969670454366945</v>
      </c>
      <c r="O34" s="23">
        <f t="shared" si="8"/>
        <v>1.1960600689517484</v>
      </c>
      <c r="P34" s="23">
        <f t="shared" si="8"/>
        <v>1.1957972986436629</v>
      </c>
      <c r="Q34" s="23">
        <f t="shared" si="8"/>
        <v>1.194349270038237</v>
      </c>
    </row>
    <row r="35" spans="1:17" x14ac:dyDescent="0.25">
      <c r="A35" s="127"/>
      <c r="B35" s="310">
        <v>1.1000000000000001</v>
      </c>
      <c r="C35" s="121">
        <v>1</v>
      </c>
      <c r="D35" s="23">
        <f>AVERAGE(D15:D17)</f>
        <v>0.33119451000000005</v>
      </c>
      <c r="E35" s="23">
        <f t="shared" si="0"/>
        <v>1.2909807775973445</v>
      </c>
      <c r="F35" s="313">
        <f t="shared" ref="F35" si="9">VAR(E35:E37)</f>
        <v>2.3390668108570902E-4</v>
      </c>
      <c r="H35" s="310">
        <v>1.1000000000000001</v>
      </c>
      <c r="I35" s="121">
        <v>1</v>
      </c>
      <c r="J35" s="23">
        <f>AVERAGE(J15:J17)</f>
        <v>0.33119451000000005</v>
      </c>
      <c r="K35" s="23">
        <f t="shared" si="1"/>
        <v>1.3062505432553109</v>
      </c>
      <c r="L35" s="313">
        <f t="shared" ref="L35" si="10">VAR(K35:K37)</f>
        <v>8.7480675773082711E-5</v>
      </c>
      <c r="N35" s="130"/>
      <c r="O35" s="130"/>
    </row>
    <row r="36" spans="1:17" x14ac:dyDescent="0.25">
      <c r="A36" s="127"/>
      <c r="B36" s="311"/>
      <c r="C36" s="121">
        <v>2</v>
      </c>
      <c r="D36" s="23">
        <f>D35</f>
        <v>0.33119451000000005</v>
      </c>
      <c r="E36" s="23">
        <f t="shared" si="0"/>
        <v>1.262338131708749</v>
      </c>
      <c r="F36" s="313"/>
      <c r="H36" s="311"/>
      <c r="I36" s="121">
        <v>2</v>
      </c>
      <c r="J36" s="23">
        <f>J35</f>
        <v>0.33119451000000005</v>
      </c>
      <c r="K36" s="23">
        <f t="shared" si="1"/>
        <v>1.2947846172069608</v>
      </c>
      <c r="L36" s="313"/>
      <c r="N36" s="130"/>
      <c r="O36" s="130"/>
    </row>
    <row r="37" spans="1:17" x14ac:dyDescent="0.25">
      <c r="A37" s="127"/>
      <c r="B37" s="312"/>
      <c r="C37" s="121">
        <v>3</v>
      </c>
      <c r="D37" s="23">
        <f>D36</f>
        <v>0.33119451000000005</v>
      </c>
      <c r="E37" s="23">
        <f t="shared" si="0"/>
        <v>1.2673632634635048</v>
      </c>
      <c r="F37" s="313"/>
      <c r="H37" s="312"/>
      <c r="I37" s="121">
        <v>3</v>
      </c>
      <c r="J37" s="23">
        <f>J36</f>
        <v>0.33119451000000005</v>
      </c>
      <c r="K37" s="23">
        <f t="shared" si="1"/>
        <v>1.2877175242855716</v>
      </c>
      <c r="L37" s="313"/>
      <c r="N37" s="130"/>
      <c r="O37" s="130"/>
    </row>
    <row r="38" spans="1:17" x14ac:dyDescent="0.25">
      <c r="A38" s="127"/>
      <c r="B38" s="300">
        <v>1.2</v>
      </c>
      <c r="C38" s="118">
        <v>1</v>
      </c>
      <c r="D38" s="117">
        <f>AVERAGE(D18:D20)</f>
        <v>0.36177615000000002</v>
      </c>
      <c r="E38" s="117">
        <f t="shared" si="0"/>
        <v>1.3975495814567416</v>
      </c>
      <c r="F38" s="309">
        <f t="shared" ref="F38" si="11">VAR(E38:E40)</f>
        <v>9.1877240511444204E-5</v>
      </c>
      <c r="H38" s="300">
        <v>1.2</v>
      </c>
      <c r="I38" s="118">
        <v>1</v>
      </c>
      <c r="J38" s="117">
        <f>AVERAGE(J18:J20)</f>
        <v>0.36177615000000002</v>
      </c>
      <c r="K38" s="117">
        <f t="shared" si="1"/>
        <v>1.4303994739715435</v>
      </c>
      <c r="L38" s="309">
        <f t="shared" ref="L38" si="12">VAR(K38:K40)</f>
        <v>8.5995812569100987E-5</v>
      </c>
      <c r="N38" s="130"/>
      <c r="O38" s="130"/>
    </row>
    <row r="39" spans="1:17" x14ac:dyDescent="0.25">
      <c r="A39" s="127"/>
      <c r="B39" s="301"/>
      <c r="C39" s="118">
        <v>2</v>
      </c>
      <c r="D39" s="117">
        <f>D38</f>
        <v>0.36177615000000002</v>
      </c>
      <c r="E39" s="117">
        <f t="shared" si="0"/>
        <v>1.3896500677318926</v>
      </c>
      <c r="F39" s="309"/>
      <c r="H39" s="301"/>
      <c r="I39" s="118">
        <v>2</v>
      </c>
      <c r="J39" s="117">
        <f>J38</f>
        <v>0.36177615000000002</v>
      </c>
      <c r="K39" s="117">
        <f t="shared" si="1"/>
        <v>1.4121744065129587</v>
      </c>
      <c r="L39" s="309"/>
      <c r="N39" s="130"/>
      <c r="O39" s="130"/>
    </row>
    <row r="40" spans="1:17" x14ac:dyDescent="0.25">
      <c r="A40" s="127"/>
      <c r="B40" s="302"/>
      <c r="C40" s="118">
        <v>3</v>
      </c>
      <c r="D40" s="117">
        <f>D39</f>
        <v>0.36177615000000002</v>
      </c>
      <c r="E40" s="117">
        <f t="shared" si="0"/>
        <v>1.378472697183023</v>
      </c>
      <c r="F40" s="309"/>
      <c r="H40" s="302"/>
      <c r="I40" s="118">
        <v>3</v>
      </c>
      <c r="J40" s="117">
        <f>J39</f>
        <v>0.36177615000000002</v>
      </c>
      <c r="K40" s="117">
        <f t="shared" si="1"/>
        <v>1.4242656353936263</v>
      </c>
      <c r="L40" s="309"/>
      <c r="N40" s="130"/>
      <c r="O40" s="130"/>
    </row>
    <row r="41" spans="1:17" x14ac:dyDescent="0.25">
      <c r="A41" s="127"/>
      <c r="B41" s="4"/>
      <c r="C41" s="79"/>
      <c r="D41" s="127"/>
      <c r="E41" s="127"/>
      <c r="F41" s="127"/>
      <c r="G41" s="127"/>
      <c r="H41" s="127"/>
      <c r="I41" s="127"/>
      <c r="J41" s="127"/>
      <c r="K41" s="127"/>
      <c r="N41" s="130"/>
      <c r="O41" s="130"/>
    </row>
    <row r="42" spans="1:17" x14ac:dyDescent="0.25">
      <c r="A42" s="127"/>
      <c r="B42" s="7" t="s">
        <v>302</v>
      </c>
      <c r="C42" s="79"/>
      <c r="D42" s="127"/>
      <c r="E42" s="127"/>
      <c r="F42" s="127"/>
      <c r="G42" s="127"/>
      <c r="H42" s="7" t="s">
        <v>303</v>
      </c>
      <c r="I42" s="127"/>
      <c r="J42" s="127"/>
      <c r="K42" s="127"/>
      <c r="N42" s="130"/>
      <c r="O42" s="130"/>
    </row>
    <row r="43" spans="1:17" x14ac:dyDescent="0.25">
      <c r="A43" s="127"/>
      <c r="B43" s="27" t="s">
        <v>293</v>
      </c>
      <c r="C43" s="121">
        <f t="array" ref="C43:D47">LINEST(E26:E40,D26:D40,1,1)</f>
        <v>3.8760128333494097</v>
      </c>
      <c r="D43" s="121">
        <v>-1.1290280043641632E-2</v>
      </c>
      <c r="E43" s="27" t="s">
        <v>294</v>
      </c>
      <c r="F43" s="127"/>
      <c r="G43" s="127"/>
      <c r="H43" s="27" t="s">
        <v>293</v>
      </c>
      <c r="I43" s="121">
        <f t="array" ref="I43:J47">LINEST(K26:K40,J26:J40,1,1)</f>
        <v>3.7155443940368489</v>
      </c>
      <c r="J43" s="121">
        <v>6.8457001199134782E-2</v>
      </c>
      <c r="K43" s="27" t="s">
        <v>294</v>
      </c>
      <c r="N43" s="130"/>
      <c r="O43" s="130"/>
    </row>
    <row r="44" spans="1:17" x14ac:dyDescent="0.25">
      <c r="A44" s="127"/>
      <c r="B44" s="27" t="s">
        <v>295</v>
      </c>
      <c r="C44" s="121">
        <v>6.5920146755146514E-2</v>
      </c>
      <c r="D44" s="121">
        <v>2.0109201474482381E-2</v>
      </c>
      <c r="E44" s="27" t="s">
        <v>296</v>
      </c>
      <c r="F44" s="127"/>
      <c r="G44" s="127"/>
      <c r="H44" s="27" t="s">
        <v>295</v>
      </c>
      <c r="I44" s="121">
        <v>0.11423123649431408</v>
      </c>
      <c r="J44" s="121">
        <v>3.4846690464384732E-2</v>
      </c>
      <c r="K44" s="27" t="s">
        <v>296</v>
      </c>
      <c r="N44" s="130"/>
      <c r="O44" s="130"/>
    </row>
    <row r="45" spans="1:17" x14ac:dyDescent="0.25">
      <c r="A45" s="127"/>
      <c r="B45" s="27" t="s">
        <v>11</v>
      </c>
      <c r="C45" s="121">
        <v>0.9962539005255282</v>
      </c>
      <c r="D45" s="121">
        <v>1.0883821191549506E-2</v>
      </c>
      <c r="E45" s="27" t="s">
        <v>297</v>
      </c>
      <c r="F45" s="77"/>
      <c r="G45" s="127"/>
      <c r="H45" s="27" t="s">
        <v>11</v>
      </c>
      <c r="I45" s="121">
        <v>0.98786152109792547</v>
      </c>
      <c r="J45" s="121">
        <v>1.8860278893366608E-2</v>
      </c>
      <c r="K45" s="27" t="s">
        <v>297</v>
      </c>
      <c r="L45" s="134"/>
    </row>
    <row r="46" spans="1:17" x14ac:dyDescent="0.25">
      <c r="A46" s="127"/>
      <c r="B46" s="27" t="s">
        <v>20</v>
      </c>
      <c r="C46" s="121">
        <v>3457.2762402840463</v>
      </c>
      <c r="D46" s="121">
        <v>13</v>
      </c>
      <c r="E46" s="27" t="s">
        <v>298</v>
      </c>
      <c r="F46" s="77"/>
      <c r="G46" s="127"/>
      <c r="H46" s="27" t="s">
        <v>20</v>
      </c>
      <c r="I46" s="121">
        <v>1057.9743868960579</v>
      </c>
      <c r="J46" s="121">
        <v>13</v>
      </c>
      <c r="K46" s="27" t="s">
        <v>298</v>
      </c>
      <c r="L46" s="77"/>
    </row>
    <row r="47" spans="1:17" x14ac:dyDescent="0.25">
      <c r="A47" s="127"/>
      <c r="B47" s="27" t="s">
        <v>14</v>
      </c>
      <c r="C47" s="121">
        <v>0.40954052056435564</v>
      </c>
      <c r="D47" s="121">
        <v>1.5399483284850872E-3</v>
      </c>
      <c r="E47" s="27" t="s">
        <v>13</v>
      </c>
      <c r="F47" s="127"/>
      <c r="G47" s="127"/>
      <c r="H47" s="27" t="s">
        <v>14</v>
      </c>
      <c r="I47" s="121">
        <v>0.37633219605155782</v>
      </c>
      <c r="J47" s="121">
        <v>4.6242315591624086E-3</v>
      </c>
      <c r="K47" s="27" t="s">
        <v>13</v>
      </c>
    </row>
    <row r="48" spans="1:17" ht="15.75" thickBot="1" x14ac:dyDescent="0.3">
      <c r="A48" s="127"/>
      <c r="B48" s="79"/>
      <c r="C48" s="79"/>
      <c r="D48" s="79"/>
      <c r="E48" s="79"/>
      <c r="F48" s="127"/>
      <c r="G48" s="127"/>
      <c r="H48" s="79"/>
      <c r="I48" s="79"/>
      <c r="J48" s="79"/>
      <c r="K48" s="79"/>
    </row>
    <row r="49" spans="1:13" x14ac:dyDescent="0.25">
      <c r="A49" s="127"/>
      <c r="B49" s="79"/>
      <c r="C49" s="135"/>
      <c r="D49" s="136"/>
      <c r="E49" s="136"/>
      <c r="F49" s="137"/>
      <c r="G49" s="137"/>
      <c r="H49" s="136"/>
      <c r="I49" s="136"/>
      <c r="J49" s="138"/>
      <c r="K49" s="79"/>
      <c r="L49" s="259" t="s">
        <v>316</v>
      </c>
      <c r="M49" s="259" t="s">
        <v>317</v>
      </c>
    </row>
    <row r="50" spans="1:13" x14ac:dyDescent="0.25">
      <c r="A50" s="127"/>
      <c r="B50" s="79"/>
      <c r="C50" s="139"/>
      <c r="D50" s="140"/>
      <c r="E50" s="140"/>
      <c r="F50" s="141"/>
      <c r="G50" s="141"/>
      <c r="H50" s="140"/>
      <c r="I50" s="140"/>
      <c r="J50" s="142"/>
      <c r="K50" s="79"/>
      <c r="L50" s="125">
        <f>(J26*I$43+$J$43)-TINV(0.05,$J$46)*$J$45*SQRT(1+1/COUNT($J$26:$J$40)+(J26-AVERAGE($J$26:$J$40))^2/DEVSQ($J$26:$J$40))</f>
        <v>0.92189200030386032</v>
      </c>
      <c r="M50" s="125">
        <f>(J26*I$43+$J$43)+TINV(0.05,$J$46)*$J$45*SQRT(1+1/COUNT($J$26:$J$40)+(J26-AVERAGE($J$26:$J$40))^2/DEVSQ($J$26:$J$40))</f>
        <v>1.0111708549853022</v>
      </c>
    </row>
    <row r="51" spans="1:13" x14ac:dyDescent="0.25">
      <c r="A51" s="127"/>
      <c r="B51" s="79"/>
      <c r="C51" s="139"/>
      <c r="D51" s="140"/>
      <c r="E51" s="140"/>
      <c r="F51" s="141"/>
      <c r="G51" s="141"/>
      <c r="H51" s="140"/>
      <c r="I51" s="140"/>
      <c r="J51" s="142"/>
      <c r="K51" s="79"/>
      <c r="L51" s="125">
        <f t="shared" ref="L51:L63" si="13">(J27*I$43+$J$43)-TINV(0.05,$J$46)*$J$45*SQRT(1+1/COUNT($J$26:$J$40)+(J27-AVERAGE($J$26:$J$40))^2/DEVSQ($J$26:$J$40))</f>
        <v>0.92189200030386032</v>
      </c>
      <c r="M51" s="125">
        <f t="shared" ref="M51:M64" si="14">(J27*I$43+$J$43)+TINV(0.05,$J$46)*$J$45*SQRT(1+1/COUNT($J$26:$J$40)+(J27-AVERAGE($J$26:$J$40))^2/DEVSQ($J$26:$J$40))</f>
        <v>1.0111708549853022</v>
      </c>
    </row>
    <row r="52" spans="1:13" x14ac:dyDescent="0.25">
      <c r="A52" s="127"/>
      <c r="B52" s="79"/>
      <c r="C52" s="139"/>
      <c r="D52" s="140"/>
      <c r="E52" s="140"/>
      <c r="F52" s="141"/>
      <c r="G52" s="141"/>
      <c r="H52" s="140"/>
      <c r="I52" s="140"/>
      <c r="J52" s="142"/>
      <c r="K52" s="79"/>
      <c r="L52" s="125">
        <f t="shared" si="13"/>
        <v>0.92189200030386032</v>
      </c>
      <c r="M52" s="125">
        <f t="shared" si="14"/>
        <v>1.0111708549853022</v>
      </c>
    </row>
    <row r="53" spans="1:13" x14ac:dyDescent="0.25">
      <c r="A53" s="127"/>
      <c r="B53" s="79"/>
      <c r="C53" s="139"/>
      <c r="D53" s="140"/>
      <c r="E53" s="140"/>
      <c r="F53" s="141"/>
      <c r="G53" s="141"/>
      <c r="H53" s="140"/>
      <c r="I53" s="140"/>
      <c r="J53" s="142"/>
      <c r="K53" s="79"/>
      <c r="L53" s="125">
        <f t="shared" si="13"/>
        <v>1.0294264817150631</v>
      </c>
      <c r="M53" s="125">
        <f t="shared" si="14"/>
        <v>1.11504966062059</v>
      </c>
    </row>
    <row r="54" spans="1:13" x14ac:dyDescent="0.25">
      <c r="A54" s="127"/>
      <c r="B54" s="79"/>
      <c r="C54" s="139"/>
      <c r="D54" s="140"/>
      <c r="E54" s="140"/>
      <c r="F54" s="141"/>
      <c r="G54" s="141"/>
      <c r="H54" s="140"/>
      <c r="I54" s="140"/>
      <c r="J54" s="142"/>
      <c r="K54" s="79"/>
      <c r="L54" s="125">
        <f t="shared" si="13"/>
        <v>1.0294264817150631</v>
      </c>
      <c r="M54" s="125">
        <f t="shared" si="14"/>
        <v>1.11504966062059</v>
      </c>
    </row>
    <row r="55" spans="1:13" x14ac:dyDescent="0.25">
      <c r="A55" s="127"/>
      <c r="B55" s="79"/>
      <c r="C55" s="139"/>
      <c r="D55" s="140"/>
      <c r="E55" s="140"/>
      <c r="F55" s="141"/>
      <c r="G55" s="141"/>
      <c r="H55" s="140"/>
      <c r="I55" s="140"/>
      <c r="J55" s="142"/>
      <c r="K55" s="79"/>
      <c r="L55" s="125">
        <f t="shared" si="13"/>
        <v>1.0294264817150631</v>
      </c>
      <c r="M55" s="125">
        <f t="shared" si="14"/>
        <v>1.11504966062059</v>
      </c>
    </row>
    <row r="56" spans="1:13" x14ac:dyDescent="0.25">
      <c r="A56" s="127"/>
      <c r="B56" s="79"/>
      <c r="C56" s="139"/>
      <c r="D56" s="140"/>
      <c r="E56" s="140"/>
      <c r="F56" s="141"/>
      <c r="G56" s="141"/>
      <c r="H56" s="140"/>
      <c r="I56" s="140"/>
      <c r="J56" s="142"/>
      <c r="K56" s="79"/>
      <c r="L56" s="125">
        <f t="shared" si="13"/>
        <v>1.1613454671932897</v>
      </c>
      <c r="M56" s="125">
        <f t="shared" si="14"/>
        <v>1.2455250954412098</v>
      </c>
    </row>
    <row r="57" spans="1:13" x14ac:dyDescent="0.25">
      <c r="A57" s="127"/>
      <c r="B57" s="79"/>
      <c r="C57" s="139"/>
      <c r="D57" s="140"/>
      <c r="E57" s="140"/>
      <c r="F57" s="141"/>
      <c r="G57" s="141"/>
      <c r="H57" s="140"/>
      <c r="I57" s="140"/>
      <c r="J57" s="142"/>
      <c r="K57" s="79"/>
      <c r="L57" s="125">
        <f t="shared" si="13"/>
        <v>1.1613454671932897</v>
      </c>
      <c r="M57" s="125">
        <f t="shared" si="14"/>
        <v>1.2455250954412098</v>
      </c>
    </row>
    <row r="58" spans="1:13" x14ac:dyDescent="0.25">
      <c r="A58" s="127"/>
      <c r="B58" s="79"/>
      <c r="C58" s="139"/>
      <c r="D58" s="140"/>
      <c r="E58" s="140"/>
      <c r="F58" s="141"/>
      <c r="G58" s="141"/>
      <c r="H58" s="140"/>
      <c r="I58" s="140"/>
      <c r="J58" s="142"/>
      <c r="K58" s="79"/>
      <c r="L58" s="125">
        <f t="shared" si="13"/>
        <v>1.1613454671932897</v>
      </c>
      <c r="M58" s="125">
        <f t="shared" si="14"/>
        <v>1.2455250954412098</v>
      </c>
    </row>
    <row r="59" spans="1:13" x14ac:dyDescent="0.25">
      <c r="A59" s="127"/>
      <c r="B59" s="79"/>
      <c r="C59" s="139"/>
      <c r="D59" s="140"/>
      <c r="E59" s="140"/>
      <c r="F59" s="141"/>
      <c r="G59" s="141"/>
      <c r="H59" s="140"/>
      <c r="I59" s="140"/>
      <c r="J59" s="142"/>
      <c r="K59" s="79"/>
      <c r="L59" s="125">
        <f t="shared" si="13"/>
        <v>1.2563337167574189</v>
      </c>
      <c r="M59" s="125">
        <f t="shared" si="14"/>
        <v>1.3417160955734131</v>
      </c>
    </row>
    <row r="60" spans="1:13" x14ac:dyDescent="0.25">
      <c r="A60" s="127"/>
      <c r="B60" s="79"/>
      <c r="C60" s="139"/>
      <c r="D60" s="140"/>
      <c r="E60" s="140"/>
      <c r="F60" s="141"/>
      <c r="G60" s="141"/>
      <c r="H60" s="140"/>
      <c r="I60" s="140"/>
      <c r="J60" s="142"/>
      <c r="K60" s="79"/>
      <c r="L60" s="125">
        <f t="shared" si="13"/>
        <v>1.2563337167574189</v>
      </c>
      <c r="M60" s="125">
        <f t="shared" si="14"/>
        <v>1.3417160955734131</v>
      </c>
    </row>
    <row r="61" spans="1:13" x14ac:dyDescent="0.25">
      <c r="A61" s="127"/>
      <c r="B61" s="79"/>
      <c r="C61" s="139"/>
      <c r="D61" s="140"/>
      <c r="E61" s="140"/>
      <c r="F61" s="141"/>
      <c r="G61" s="141"/>
      <c r="H61" s="140"/>
      <c r="I61" s="140"/>
      <c r="J61" s="142"/>
      <c r="K61" s="79"/>
      <c r="L61" s="125">
        <f t="shared" si="13"/>
        <v>1.2563337167574189</v>
      </c>
      <c r="M61" s="125">
        <f t="shared" si="14"/>
        <v>1.3417160955734131</v>
      </c>
    </row>
    <row r="62" spans="1:13" x14ac:dyDescent="0.25">
      <c r="A62" s="127"/>
      <c r="B62" s="79"/>
      <c r="C62" s="139"/>
      <c r="D62" s="140"/>
      <c r="E62" s="140"/>
      <c r="F62" s="141"/>
      <c r="G62" s="141"/>
      <c r="H62" s="140"/>
      <c r="I62" s="140"/>
      <c r="J62" s="142"/>
      <c r="K62" s="79"/>
      <c r="L62" s="125">
        <f t="shared" si="13"/>
        <v>1.3680651728526674</v>
      </c>
      <c r="M62" s="125">
        <f t="shared" si="14"/>
        <v>1.4572395216030705</v>
      </c>
    </row>
    <row r="63" spans="1:13" x14ac:dyDescent="0.25">
      <c r="A63" s="127"/>
      <c r="B63" s="79"/>
      <c r="C63" s="139"/>
      <c r="D63" s="140"/>
      <c r="E63" s="140"/>
      <c r="F63" s="141"/>
      <c r="G63" s="141"/>
      <c r="H63" s="140"/>
      <c r="I63" s="140"/>
      <c r="J63" s="142"/>
      <c r="K63" s="79"/>
      <c r="L63" s="125">
        <f t="shared" si="13"/>
        <v>1.3680651728526674</v>
      </c>
      <c r="M63" s="125">
        <f t="shared" si="14"/>
        <v>1.4572395216030705</v>
      </c>
    </row>
    <row r="64" spans="1:13" ht="15.75" thickBot="1" x14ac:dyDescent="0.3">
      <c r="A64" s="127"/>
      <c r="B64" s="79"/>
      <c r="C64" s="143"/>
      <c r="D64" s="144"/>
      <c r="E64" s="144"/>
      <c r="F64" s="145"/>
      <c r="G64" s="145"/>
      <c r="H64" s="144"/>
      <c r="I64" s="144"/>
      <c r="J64" s="146"/>
      <c r="K64" s="79"/>
      <c r="L64" s="125">
        <f>(J40*I$43+$J$43)-TINV(0.05,$J$46)*$J$45*SQRT(1+1/COUNT($J$26:$J$40)+(J40-AVERAGE($J$26:$J$40))^2/DEVSQ($J$26:$J$40))</f>
        <v>1.3680651728526674</v>
      </c>
      <c r="M64" s="125">
        <f t="shared" si="14"/>
        <v>1.4572395216030705</v>
      </c>
    </row>
    <row r="65" spans="1:12" x14ac:dyDescent="0.25">
      <c r="A65" s="127"/>
      <c r="B65" s="132"/>
      <c r="C65" s="127"/>
      <c r="D65" s="127"/>
      <c r="E65" s="127"/>
      <c r="F65" s="127"/>
      <c r="G65" s="127"/>
      <c r="H65" s="127"/>
      <c r="I65" s="127"/>
      <c r="J65" s="127"/>
      <c r="K65" s="127"/>
    </row>
    <row r="66" spans="1:12" x14ac:dyDescent="0.25">
      <c r="A66" s="127"/>
      <c r="B66" s="131" t="s">
        <v>305</v>
      </c>
      <c r="C66" s="126"/>
      <c r="D66" s="126"/>
      <c r="E66" s="126"/>
      <c r="F66" s="126"/>
      <c r="G66" s="126"/>
      <c r="H66" s="126"/>
      <c r="I66" s="126"/>
      <c r="J66" s="126"/>
      <c r="K66" s="126"/>
      <c r="L66" s="49"/>
    </row>
    <row r="67" spans="1:12" x14ac:dyDescent="0.25">
      <c r="A67" s="127"/>
      <c r="B67" s="147" t="s">
        <v>237</v>
      </c>
      <c r="C67" s="127"/>
      <c r="D67" s="127"/>
      <c r="E67" s="127"/>
      <c r="F67" s="127"/>
      <c r="G67" s="127"/>
      <c r="H67" s="127"/>
      <c r="I67" s="127"/>
      <c r="J67" s="127"/>
      <c r="K67" s="127"/>
    </row>
    <row r="68" spans="1:12" x14ac:dyDescent="0.25">
      <c r="A68" s="127"/>
      <c r="B68" s="132" t="s">
        <v>246</v>
      </c>
      <c r="E68" s="127"/>
      <c r="F68" s="127"/>
      <c r="G68" s="127"/>
      <c r="H68" s="127"/>
      <c r="K68" s="127"/>
    </row>
    <row r="69" spans="1:12" x14ac:dyDescent="0.25">
      <c r="A69" s="127"/>
      <c r="B69" s="132"/>
      <c r="E69" s="127"/>
      <c r="F69" s="127"/>
      <c r="G69" s="127"/>
      <c r="H69" s="127"/>
      <c r="I69" s="127"/>
      <c r="J69" s="127"/>
      <c r="K69" s="127"/>
    </row>
    <row r="70" spans="1:12" x14ac:dyDescent="0.25">
      <c r="A70" s="127"/>
      <c r="B70" s="132"/>
      <c r="C70" s="148" t="s">
        <v>347</v>
      </c>
      <c r="E70" s="127"/>
      <c r="F70" s="27" t="s">
        <v>4</v>
      </c>
      <c r="G70" s="2">
        <f>1/((1+(5-1)/FINV(0.05/5,3-1,(5-1)*(3-1))))</f>
        <v>0.683772233983162</v>
      </c>
      <c r="H70" s="127"/>
      <c r="I70" s="132" t="s">
        <v>348</v>
      </c>
      <c r="J70" s="127"/>
      <c r="K70" s="127"/>
    </row>
    <row r="71" spans="1:12" x14ac:dyDescent="0.25">
      <c r="A71" s="127"/>
      <c r="B71" s="132"/>
      <c r="C71" s="27" t="s">
        <v>23</v>
      </c>
      <c r="D71" s="2">
        <f>MAX(F26:F40)/SUM(F26:F40)</f>
        <v>0.31527455768665569</v>
      </c>
      <c r="E71" s="127"/>
      <c r="F71" s="27" t="s">
        <v>22</v>
      </c>
      <c r="G71" s="2">
        <f>1/((1+(5-1)/FINV(0.01/5,3-1,(5-1)*(3-1))))</f>
        <v>0.78852574731188707</v>
      </c>
      <c r="H71" s="127"/>
      <c r="I71" s="27" t="s">
        <v>23</v>
      </c>
      <c r="J71" s="2">
        <f>MAX(O26:O40)/SUM(O26:O40)</f>
        <v>0.33446535040082054</v>
      </c>
      <c r="K71" s="127"/>
    </row>
    <row r="72" spans="1:12" x14ac:dyDescent="0.25">
      <c r="A72" s="127"/>
      <c r="B72" s="132"/>
      <c r="C72" s="127"/>
      <c r="D72" s="127"/>
      <c r="E72" s="127"/>
      <c r="F72" s="127"/>
      <c r="G72" s="127"/>
      <c r="H72" s="127"/>
      <c r="I72" s="127"/>
      <c r="J72" s="127"/>
      <c r="K72" s="127"/>
    </row>
    <row r="73" spans="1:12" x14ac:dyDescent="0.25">
      <c r="A73" s="127"/>
      <c r="B73" s="132" t="s">
        <v>247</v>
      </c>
      <c r="C73" s="127"/>
      <c r="D73" s="127"/>
      <c r="E73" s="127"/>
      <c r="F73" s="127"/>
      <c r="G73" s="127"/>
      <c r="H73" s="127"/>
      <c r="I73" s="127"/>
      <c r="J73" s="127"/>
      <c r="K73" s="127"/>
    </row>
    <row r="74" spans="1:12" x14ac:dyDescent="0.25">
      <c r="A74" s="127"/>
      <c r="B74" s="132" t="s">
        <v>249</v>
      </c>
      <c r="C74" s="127"/>
      <c r="D74" s="127"/>
      <c r="E74" s="127"/>
      <c r="F74" s="127"/>
      <c r="G74" s="127"/>
      <c r="H74" s="127"/>
      <c r="I74" s="127"/>
      <c r="J74" s="127"/>
      <c r="K74" s="127"/>
    </row>
    <row r="75" spans="1:12" x14ac:dyDescent="0.25">
      <c r="A75" s="127"/>
      <c r="B75" s="132" t="s">
        <v>248</v>
      </c>
      <c r="C75" s="127"/>
      <c r="D75" s="127"/>
      <c r="E75" s="127"/>
      <c r="F75" s="127"/>
      <c r="G75" s="127"/>
      <c r="H75" s="127"/>
      <c r="I75" s="127"/>
      <c r="J75" s="127"/>
      <c r="K75" s="127"/>
    </row>
    <row r="76" spans="1:12" x14ac:dyDescent="0.25">
      <c r="A76" s="127"/>
      <c r="B76" s="132"/>
      <c r="C76" s="127"/>
      <c r="D76" s="127"/>
      <c r="E76" s="127"/>
      <c r="F76" s="127"/>
      <c r="G76" s="127"/>
      <c r="H76" s="127"/>
      <c r="I76" s="127"/>
      <c r="J76" s="127"/>
      <c r="K76" s="127"/>
    </row>
    <row r="77" spans="1:12" x14ac:dyDescent="0.25">
      <c r="A77" s="127"/>
      <c r="B77" s="131" t="s">
        <v>6</v>
      </c>
      <c r="C77" s="126"/>
      <c r="D77" s="126"/>
      <c r="E77" s="126"/>
      <c r="F77" s="126"/>
      <c r="G77" s="126"/>
      <c r="H77" s="126"/>
      <c r="I77" s="126"/>
      <c r="J77" s="126"/>
      <c r="K77" s="126"/>
      <c r="L77" s="49"/>
    </row>
    <row r="78" spans="1:12" x14ac:dyDescent="0.25">
      <c r="A78" s="127"/>
      <c r="B78" s="132" t="s">
        <v>250</v>
      </c>
      <c r="C78" s="127"/>
      <c r="D78" s="127"/>
      <c r="E78" s="127"/>
      <c r="F78" s="127"/>
      <c r="G78" s="127"/>
      <c r="H78" s="127"/>
      <c r="I78" s="127"/>
      <c r="J78" s="127"/>
      <c r="K78" s="127"/>
    </row>
    <row r="79" spans="1:12" x14ac:dyDescent="0.25">
      <c r="A79" s="127"/>
      <c r="B79" s="132" t="s">
        <v>251</v>
      </c>
      <c r="C79" s="127"/>
      <c r="D79" s="127"/>
      <c r="E79" s="127"/>
      <c r="F79" s="127"/>
      <c r="G79" s="127"/>
      <c r="H79" s="127"/>
      <c r="I79" s="127"/>
      <c r="J79" s="127"/>
      <c r="K79" s="127"/>
    </row>
    <row r="80" spans="1:12" x14ac:dyDescent="0.25">
      <c r="A80" s="127"/>
      <c r="B80" s="132"/>
      <c r="C80" s="127"/>
      <c r="D80" s="127"/>
      <c r="E80" s="127"/>
      <c r="F80" s="127"/>
      <c r="G80" s="127"/>
      <c r="H80" s="127"/>
      <c r="I80" s="127"/>
      <c r="J80" s="127"/>
      <c r="K80" s="127"/>
    </row>
    <row r="81" spans="1:12" x14ac:dyDescent="0.25">
      <c r="A81" s="127"/>
      <c r="B81" s="132" t="s">
        <v>347</v>
      </c>
      <c r="C81" s="127"/>
      <c r="D81" s="127"/>
      <c r="E81" s="127"/>
      <c r="F81" s="127"/>
      <c r="G81" s="127"/>
      <c r="H81" s="127"/>
      <c r="I81" s="127"/>
      <c r="J81" s="127"/>
      <c r="K81" s="127"/>
    </row>
    <row r="82" spans="1:12" x14ac:dyDescent="0.25">
      <c r="A82" s="127"/>
      <c r="B82" s="305" t="s">
        <v>27</v>
      </c>
      <c r="C82" s="305"/>
      <c r="D82" s="305"/>
      <c r="E82" s="305"/>
      <c r="F82" s="306" t="s">
        <v>6</v>
      </c>
      <c r="G82" s="307"/>
      <c r="H82" s="307"/>
      <c r="I82" s="307"/>
      <c r="J82" s="307"/>
      <c r="K82" s="308"/>
    </row>
    <row r="83" spans="1:12" x14ac:dyDescent="0.25">
      <c r="A83" s="127"/>
      <c r="B83" s="27" t="s">
        <v>28</v>
      </c>
      <c r="C83" s="27" t="s">
        <v>0</v>
      </c>
      <c r="D83" s="27" t="s">
        <v>255</v>
      </c>
      <c r="E83" s="27" t="s">
        <v>256</v>
      </c>
      <c r="F83" s="27" t="s">
        <v>7</v>
      </c>
      <c r="G83" s="27" t="s">
        <v>8</v>
      </c>
      <c r="H83" s="27" t="s">
        <v>9</v>
      </c>
      <c r="I83" s="27" t="s">
        <v>10</v>
      </c>
      <c r="J83" s="27" t="s">
        <v>24</v>
      </c>
      <c r="K83" s="149" t="s">
        <v>25</v>
      </c>
    </row>
    <row r="84" spans="1:12" x14ac:dyDescent="0.25">
      <c r="A84" s="127"/>
      <c r="B84" s="27" t="s">
        <v>349</v>
      </c>
      <c r="C84" s="122">
        <f>COUNT(E26:E40)</f>
        <v>15</v>
      </c>
      <c r="D84" s="1">
        <f>SUM(E26:E40)^2</f>
        <v>302.49921876259361</v>
      </c>
      <c r="E84" s="1">
        <f>D84/C84</f>
        <v>20.166614584172908</v>
      </c>
      <c r="F84" s="1">
        <f>DEVSQ(E26:E40)</f>
        <v>0.41108046889284072</v>
      </c>
      <c r="G84" s="6">
        <f>C84-1</f>
        <v>14</v>
      </c>
      <c r="H84" s="1">
        <f t="shared" ref="H84:H89" si="15">F84/G84</f>
        <v>2.936289063520291E-2</v>
      </c>
      <c r="I84" s="122" t="s">
        <v>16</v>
      </c>
      <c r="J84" s="122" t="s">
        <v>16</v>
      </c>
      <c r="K84" s="280">
        <f>SUM(K86:K89)</f>
        <v>1</v>
      </c>
    </row>
    <row r="85" spans="1:12" x14ac:dyDescent="0.25">
      <c r="A85" s="127"/>
      <c r="B85" s="27" t="s">
        <v>350</v>
      </c>
      <c r="C85" s="122" t="s">
        <v>16</v>
      </c>
      <c r="D85" s="1" t="s">
        <v>16</v>
      </c>
      <c r="E85" s="1" t="s">
        <v>16</v>
      </c>
      <c r="F85" s="1">
        <f>F87</f>
        <v>0.40959664043042565</v>
      </c>
      <c r="G85" s="6">
        <f>G87</f>
        <v>4</v>
      </c>
      <c r="H85" s="1">
        <f t="shared" si="15"/>
        <v>0.10239916010760641</v>
      </c>
      <c r="I85" s="1">
        <f>H85/H86</f>
        <v>690.10106424931416</v>
      </c>
      <c r="J85" s="1">
        <f>FINV(0.05,G85,G86)</f>
        <v>3.4780496907652281</v>
      </c>
      <c r="K85" s="280">
        <f>F85/F84</f>
        <v>0.99639041848324383</v>
      </c>
    </row>
    <row r="86" spans="1:12" x14ac:dyDescent="0.25">
      <c r="A86" s="127"/>
      <c r="B86" s="151" t="s">
        <v>351</v>
      </c>
      <c r="C86" s="122" t="s">
        <v>16</v>
      </c>
      <c r="D86" s="1" t="s">
        <v>16</v>
      </c>
      <c r="E86" s="1" t="s">
        <v>16</v>
      </c>
      <c r="F86" s="1">
        <f>F84-F85</f>
        <v>1.483828462415071E-3</v>
      </c>
      <c r="G86" s="6">
        <f>G84-G85</f>
        <v>10</v>
      </c>
      <c r="H86" s="1">
        <f t="shared" si="15"/>
        <v>1.4838284624150712E-4</v>
      </c>
      <c r="I86" s="1" t="s">
        <v>16</v>
      </c>
      <c r="J86" s="122" t="s">
        <v>16</v>
      </c>
      <c r="K86" s="280">
        <f>F86/F84</f>
        <v>3.6095815167562027E-3</v>
      </c>
    </row>
    <row r="87" spans="1:12" x14ac:dyDescent="0.25">
      <c r="A87" s="127"/>
      <c r="B87" s="151" t="s">
        <v>0</v>
      </c>
      <c r="C87" s="122">
        <f>COUNT(B26:B40)</f>
        <v>5</v>
      </c>
      <c r="D87" s="1">
        <f>SUM(E26:E28)^2+SUM(E29:E31)^2+SUM(E32:E34)^2+SUM(E35:E37)^2+SUM(E38:E40)^2</f>
        <v>61.728633673809995</v>
      </c>
      <c r="E87" s="1">
        <f>D87*C87/C84</f>
        <v>20.576211224603334</v>
      </c>
      <c r="F87" s="1">
        <f>E87-E84</f>
        <v>0.40959664043042565</v>
      </c>
      <c r="G87" s="6">
        <f>C87-1</f>
        <v>4</v>
      </c>
      <c r="H87" s="1">
        <f t="shared" si="15"/>
        <v>0.10239916010760641</v>
      </c>
      <c r="I87" s="1">
        <f>H87/H86</f>
        <v>690.10106424931416</v>
      </c>
      <c r="J87" s="1">
        <f>FINV(0.05,G87,G86)</f>
        <v>3.4780496907652281</v>
      </c>
      <c r="K87" s="280" t="s">
        <v>16</v>
      </c>
    </row>
    <row r="88" spans="1:12" x14ac:dyDescent="0.25">
      <c r="A88" s="127"/>
      <c r="B88" s="151" t="s">
        <v>254</v>
      </c>
      <c r="C88" s="122" t="s">
        <v>16</v>
      </c>
      <c r="D88" s="6" t="s">
        <v>16</v>
      </c>
      <c r="E88" s="6" t="s">
        <v>16</v>
      </c>
      <c r="F88" s="1">
        <f>C47</f>
        <v>0.40954052056435564</v>
      </c>
      <c r="G88" s="6">
        <v>1</v>
      </c>
      <c r="H88" s="1">
        <f t="shared" si="15"/>
        <v>0.40954052056435564</v>
      </c>
      <c r="I88" s="1">
        <f>H88/H86</f>
        <v>2760.0260470660451</v>
      </c>
      <c r="J88" s="1">
        <f>FINV(0.05,G88,G86)</f>
        <v>4.9646027437307128</v>
      </c>
      <c r="K88" s="280">
        <f>F88/F84</f>
        <v>0.9962539005255282</v>
      </c>
    </row>
    <row r="89" spans="1:12" x14ac:dyDescent="0.25">
      <c r="A89" s="127"/>
      <c r="B89" s="151" t="s">
        <v>352</v>
      </c>
      <c r="C89" s="122" t="s">
        <v>16</v>
      </c>
      <c r="D89" s="6" t="s">
        <v>16</v>
      </c>
      <c r="E89" s="6" t="s">
        <v>16</v>
      </c>
      <c r="F89" s="1">
        <f>F87-F88</f>
        <v>5.6119866070014623E-5</v>
      </c>
      <c r="G89" s="6">
        <f>G87-G88</f>
        <v>3</v>
      </c>
      <c r="H89" s="1">
        <f t="shared" si="15"/>
        <v>1.8706622023338209E-5</v>
      </c>
      <c r="I89" s="152">
        <f>H89/H86</f>
        <v>0.12606997707060702</v>
      </c>
      <c r="J89" s="1">
        <f>FINV(0.05,G89,G86)</f>
        <v>3.7082648190468448</v>
      </c>
      <c r="K89" s="280">
        <f>F89/F84</f>
        <v>1.3651795771558241E-4</v>
      </c>
    </row>
    <row r="90" spans="1:12" x14ac:dyDescent="0.25">
      <c r="A90" s="127"/>
      <c r="B90" s="128"/>
      <c r="C90" s="129"/>
      <c r="D90" s="129"/>
      <c r="E90" s="129"/>
      <c r="F90" s="129"/>
      <c r="G90" s="129"/>
      <c r="H90" s="129"/>
      <c r="I90" s="129"/>
      <c r="J90" s="129"/>
      <c r="K90" s="129"/>
      <c r="L90" s="130"/>
    </row>
    <row r="91" spans="1:12" x14ac:dyDescent="0.25">
      <c r="A91" s="127"/>
      <c r="B91" s="132" t="s">
        <v>348</v>
      </c>
      <c r="C91" s="129"/>
      <c r="D91" s="129"/>
      <c r="E91" s="129"/>
      <c r="F91" s="129"/>
      <c r="G91" s="129"/>
      <c r="H91" s="129"/>
      <c r="I91" s="129"/>
      <c r="J91" s="129"/>
      <c r="K91" s="129"/>
      <c r="L91" s="130"/>
    </row>
    <row r="92" spans="1:12" x14ac:dyDescent="0.25">
      <c r="A92" s="127"/>
      <c r="B92" s="305" t="s">
        <v>27</v>
      </c>
      <c r="C92" s="305"/>
      <c r="D92" s="305"/>
      <c r="E92" s="305"/>
      <c r="F92" s="306" t="s">
        <v>6</v>
      </c>
      <c r="G92" s="307"/>
      <c r="H92" s="307"/>
      <c r="I92" s="307"/>
      <c r="J92" s="307"/>
      <c r="K92" s="308"/>
      <c r="L92" s="130"/>
    </row>
    <row r="93" spans="1:12" x14ac:dyDescent="0.25">
      <c r="A93" s="127"/>
      <c r="B93" s="271" t="s">
        <v>28</v>
      </c>
      <c r="C93" s="27" t="s">
        <v>253</v>
      </c>
      <c r="D93" s="27" t="s">
        <v>255</v>
      </c>
      <c r="E93" s="27" t="s">
        <v>256</v>
      </c>
      <c r="F93" s="271" t="s">
        <v>7</v>
      </c>
      <c r="G93" s="271" t="s">
        <v>8</v>
      </c>
      <c r="H93" s="271" t="s">
        <v>9</v>
      </c>
      <c r="I93" s="271" t="s">
        <v>10</v>
      </c>
      <c r="J93" s="271" t="s">
        <v>24</v>
      </c>
      <c r="K93" s="149" t="s">
        <v>25</v>
      </c>
      <c r="L93" s="130"/>
    </row>
    <row r="94" spans="1:12" x14ac:dyDescent="0.25">
      <c r="A94" s="127"/>
      <c r="B94" s="271" t="s">
        <v>349</v>
      </c>
      <c r="C94" s="122">
        <f>COUNT(K26:K40)</f>
        <v>15</v>
      </c>
      <c r="D94" s="1">
        <f>SUM(K26:K40)^2</f>
        <v>319.03840142196543</v>
      </c>
      <c r="E94" s="1">
        <f>D94/C94</f>
        <v>21.269226761464363</v>
      </c>
      <c r="F94" s="1">
        <f>DEVSQ(K26:K40)</f>
        <v>0.38095642761072024</v>
      </c>
      <c r="G94" s="6">
        <f>C94-1</f>
        <v>14</v>
      </c>
      <c r="H94" s="1">
        <f t="shared" ref="H94:H99" si="16">F94/G94</f>
        <v>2.7211173400765731E-2</v>
      </c>
      <c r="I94" s="122" t="s">
        <v>16</v>
      </c>
      <c r="J94" s="122" t="s">
        <v>16</v>
      </c>
      <c r="K94" s="280">
        <f>SUM(K96:K99)</f>
        <v>1</v>
      </c>
    </row>
    <row r="95" spans="1:12" x14ac:dyDescent="0.25">
      <c r="A95" s="127"/>
      <c r="B95" s="271" t="s">
        <v>350</v>
      </c>
      <c r="C95" s="122" t="s">
        <v>16</v>
      </c>
      <c r="D95" s="1" t="s">
        <v>16</v>
      </c>
      <c r="E95" s="1" t="s">
        <v>16</v>
      </c>
      <c r="F95" s="1">
        <f>F97</f>
        <v>0.37818632251470063</v>
      </c>
      <c r="G95" s="6">
        <f>G97</f>
        <v>4</v>
      </c>
      <c r="H95" s="1">
        <f t="shared" si="16"/>
        <v>9.4546580628675159E-2</v>
      </c>
      <c r="I95" s="1">
        <f>H95/H96</f>
        <v>341.31044617956996</v>
      </c>
      <c r="J95" s="1">
        <f>FINV(0.05,G95,G96)</f>
        <v>3.4780496907652281</v>
      </c>
      <c r="K95" s="280">
        <f>F95/F94</f>
        <v>0.99272855136375271</v>
      </c>
    </row>
    <row r="96" spans="1:12" x14ac:dyDescent="0.25">
      <c r="A96" s="127"/>
      <c r="B96" s="151" t="s">
        <v>351</v>
      </c>
      <c r="C96" s="122" t="s">
        <v>16</v>
      </c>
      <c r="D96" s="1" t="s">
        <v>16</v>
      </c>
      <c r="E96" s="1" t="s">
        <v>16</v>
      </c>
      <c r="F96" s="1">
        <f>F94-F95</f>
        <v>2.7701050960196039E-3</v>
      </c>
      <c r="G96" s="6">
        <f>G94-G95</f>
        <v>10</v>
      </c>
      <c r="H96" s="1">
        <f t="shared" si="16"/>
        <v>2.7701050960196041E-4</v>
      </c>
      <c r="I96" s="1" t="s">
        <v>16</v>
      </c>
      <c r="J96" s="122" t="s">
        <v>16</v>
      </c>
      <c r="K96" s="280">
        <f>F96/F94</f>
        <v>7.2714486362472708E-3</v>
      </c>
    </row>
    <row r="97" spans="1:18" x14ac:dyDescent="0.25">
      <c r="A97" s="127"/>
      <c r="B97" s="151" t="s">
        <v>0</v>
      </c>
      <c r="C97" s="122">
        <f>COUNT(H26:H40)</f>
        <v>5</v>
      </c>
      <c r="D97" s="1">
        <f>SUM(K26:K28)^2+SUM(K29:K31)^2+SUM(K32:K34)^2+SUM(K35:K37)^2+SUM(K38:K40)^2</f>
        <v>64.942239251937195</v>
      </c>
      <c r="E97" s="1">
        <f>D97*C97/C94</f>
        <v>21.647413083979064</v>
      </c>
      <c r="F97" s="1">
        <f>E97-E94</f>
        <v>0.37818632251470063</v>
      </c>
      <c r="G97" s="6">
        <f>C97-1</f>
        <v>4</v>
      </c>
      <c r="H97" s="1">
        <f t="shared" si="16"/>
        <v>9.4546580628675159E-2</v>
      </c>
      <c r="I97" s="1">
        <f>H97/H96</f>
        <v>341.31044617956996</v>
      </c>
      <c r="J97" s="1">
        <f>FINV(0.05,G97,G96)</f>
        <v>3.4780496907652281</v>
      </c>
      <c r="K97" s="280" t="s">
        <v>16</v>
      </c>
    </row>
    <row r="98" spans="1:18" x14ac:dyDescent="0.25">
      <c r="A98" s="127"/>
      <c r="B98" s="151" t="s">
        <v>254</v>
      </c>
      <c r="C98" s="122" t="s">
        <v>16</v>
      </c>
      <c r="D98" s="1" t="s">
        <v>16</v>
      </c>
      <c r="E98" s="1" t="s">
        <v>16</v>
      </c>
      <c r="F98" s="1">
        <f>I47</f>
        <v>0.37633219605155782</v>
      </c>
      <c r="G98" s="6">
        <v>1</v>
      </c>
      <c r="H98" s="1">
        <f t="shared" si="16"/>
        <v>0.37633219605155782</v>
      </c>
      <c r="I98" s="1">
        <f>H98/H96</f>
        <v>1358.5484413292256</v>
      </c>
      <c r="J98" s="1">
        <f>FINV(0.05,G98,G96)</f>
        <v>4.9646027437307128</v>
      </c>
      <c r="K98" s="280">
        <f>F98/F94</f>
        <v>0.98786152109792547</v>
      </c>
    </row>
    <row r="99" spans="1:18" x14ac:dyDescent="0.25">
      <c r="A99" s="127"/>
      <c r="B99" s="151" t="s">
        <v>352</v>
      </c>
      <c r="C99" s="122" t="s">
        <v>16</v>
      </c>
      <c r="D99" s="6" t="s">
        <v>16</v>
      </c>
      <c r="E99" s="6" t="s">
        <v>16</v>
      </c>
      <c r="F99" s="1">
        <f>F97-F98</f>
        <v>1.8541264631428134E-3</v>
      </c>
      <c r="G99" s="6">
        <f>G97-G98</f>
        <v>3</v>
      </c>
      <c r="H99" s="1">
        <f t="shared" si="16"/>
        <v>6.1804215438093779E-4</v>
      </c>
      <c r="I99" s="152">
        <f>H99/H96</f>
        <v>2.2311144630180628</v>
      </c>
      <c r="J99" s="1">
        <f>FINV(0.05,G99,G96)</f>
        <v>3.7082648190468448</v>
      </c>
      <c r="K99" s="280">
        <f>F99/F94</f>
        <v>4.8670302658272765E-3</v>
      </c>
    </row>
    <row r="100" spans="1:18" x14ac:dyDescent="0.25">
      <c r="A100" s="127"/>
      <c r="B100" s="132"/>
      <c r="C100" s="127"/>
      <c r="D100" s="127"/>
      <c r="E100" s="127"/>
      <c r="F100" s="127"/>
      <c r="G100" s="127"/>
      <c r="H100" s="127"/>
      <c r="I100" s="127"/>
      <c r="J100" s="127"/>
      <c r="K100" s="127"/>
    </row>
    <row r="101" spans="1:18" x14ac:dyDescent="0.25">
      <c r="A101" s="127"/>
      <c r="B101" s="132" t="s">
        <v>257</v>
      </c>
      <c r="C101" s="127"/>
      <c r="D101" s="127"/>
      <c r="E101" s="127"/>
      <c r="F101" s="127"/>
      <c r="G101" s="127"/>
      <c r="H101" s="127"/>
      <c r="I101" s="127"/>
      <c r="J101" s="127"/>
      <c r="K101" s="127"/>
      <c r="N101" s="130"/>
      <c r="O101" s="130"/>
      <c r="P101" s="130"/>
      <c r="Q101" s="130"/>
      <c r="R101" s="130"/>
    </row>
    <row r="102" spans="1:18" x14ac:dyDescent="0.25">
      <c r="A102" s="127"/>
      <c r="B102" s="132"/>
      <c r="C102" s="127"/>
      <c r="D102" s="127"/>
      <c r="E102" s="127"/>
      <c r="F102" s="127"/>
      <c r="G102" s="127"/>
      <c r="H102" s="127"/>
      <c r="I102" s="127"/>
      <c r="J102" s="127"/>
      <c r="K102" s="127"/>
      <c r="N102" s="130"/>
      <c r="O102" s="130"/>
      <c r="P102" s="130"/>
      <c r="Q102" s="130"/>
      <c r="R102" s="130"/>
    </row>
    <row r="103" spans="1:18" x14ac:dyDescent="0.25">
      <c r="A103" s="127"/>
      <c r="B103" s="131" t="s">
        <v>238</v>
      </c>
      <c r="C103" s="126"/>
      <c r="D103" s="126"/>
      <c r="E103" s="126"/>
      <c r="F103" s="126"/>
      <c r="G103" s="126"/>
      <c r="H103" s="126"/>
      <c r="I103" s="126"/>
      <c r="J103" s="126"/>
      <c r="K103" s="126"/>
      <c r="L103" s="49"/>
      <c r="N103" s="130"/>
      <c r="O103" s="130"/>
      <c r="P103" s="130"/>
      <c r="Q103" s="130"/>
      <c r="R103" s="130"/>
    </row>
    <row r="104" spans="1:18" x14ac:dyDescent="0.25">
      <c r="A104" s="127"/>
      <c r="B104" s="153" t="s">
        <v>353</v>
      </c>
      <c r="C104" s="130"/>
      <c r="D104" s="130"/>
      <c r="E104" s="130"/>
      <c r="F104" s="130"/>
      <c r="G104" s="130"/>
      <c r="H104" s="130"/>
      <c r="I104" s="127"/>
      <c r="J104" s="127"/>
      <c r="K104" s="127"/>
      <c r="N104" s="130"/>
      <c r="O104" s="130"/>
      <c r="P104" s="130"/>
      <c r="Q104" s="130"/>
      <c r="R104" s="130"/>
    </row>
    <row r="105" spans="1:18" x14ac:dyDescent="0.25">
      <c r="A105" s="127"/>
      <c r="B105" s="27" t="s">
        <v>196</v>
      </c>
      <c r="C105" s="27" t="s">
        <v>12</v>
      </c>
      <c r="D105" s="27" t="s">
        <v>30</v>
      </c>
      <c r="E105" s="27" t="s">
        <v>10</v>
      </c>
      <c r="F105" s="27" t="s">
        <v>31</v>
      </c>
      <c r="G105" s="27" t="s">
        <v>56</v>
      </c>
      <c r="H105" s="130"/>
      <c r="I105" s="127"/>
      <c r="J105" s="127"/>
      <c r="K105" s="127"/>
      <c r="N105" s="130"/>
      <c r="O105" s="130"/>
      <c r="P105" s="130"/>
      <c r="Q105" s="130"/>
      <c r="R105" s="130"/>
    </row>
    <row r="106" spans="1:18" x14ac:dyDescent="0.25">
      <c r="A106" s="127"/>
      <c r="B106" s="154" t="s">
        <v>347</v>
      </c>
      <c r="C106" s="1">
        <f>D45</f>
        <v>1.0883821191549506E-2</v>
      </c>
      <c r="D106" s="1">
        <f>C106^2</f>
        <v>1.184575637296221E-4</v>
      </c>
      <c r="E106" s="298">
        <f>MAX(D106:D107)/MIN(D106:D107)</f>
        <v>3.0028485200613599</v>
      </c>
      <c r="F106" s="298">
        <f>FINV(0.05,D46,J46)</f>
        <v>2.5769270844729792</v>
      </c>
      <c r="G106" s="296" t="str">
        <f>IF(ABS(E106)&lt;F106,"S² équivalentes","S² hétérogène")</f>
        <v>S² hétérogène</v>
      </c>
      <c r="H106" s="130"/>
      <c r="I106" s="127"/>
      <c r="J106" s="127"/>
      <c r="K106" s="127"/>
      <c r="N106" s="130"/>
      <c r="O106" s="130"/>
      <c r="P106" s="130"/>
      <c r="Q106" s="130"/>
      <c r="R106" s="130"/>
    </row>
    <row r="107" spans="1:18" x14ac:dyDescent="0.25">
      <c r="A107" s="127"/>
      <c r="B107" s="154" t="s">
        <v>357</v>
      </c>
      <c r="C107" s="1">
        <f>J45</f>
        <v>1.8860278893366608E-2</v>
      </c>
      <c r="D107" s="1">
        <f>C107^2</f>
        <v>3.5571011993556996E-4</v>
      </c>
      <c r="E107" s="299"/>
      <c r="F107" s="299"/>
      <c r="G107" s="296"/>
      <c r="H107" s="130"/>
      <c r="I107" s="127"/>
      <c r="J107" s="127"/>
      <c r="K107" s="127"/>
      <c r="N107" s="130"/>
      <c r="O107" s="130"/>
      <c r="P107" s="130"/>
      <c r="Q107" s="130"/>
      <c r="R107" s="130"/>
    </row>
    <row r="108" spans="1:18" x14ac:dyDescent="0.25">
      <c r="A108" s="127"/>
      <c r="B108" s="133"/>
      <c r="C108" s="13"/>
      <c r="D108" s="13"/>
      <c r="E108" s="13"/>
      <c r="F108" s="13"/>
      <c r="G108" s="155"/>
      <c r="H108" s="130"/>
      <c r="I108" s="127"/>
      <c r="J108" s="127"/>
      <c r="K108" s="127"/>
      <c r="N108" s="130"/>
      <c r="O108" s="130"/>
      <c r="P108" s="130"/>
      <c r="Q108" s="130"/>
      <c r="R108" s="130"/>
    </row>
    <row r="109" spans="1:18" x14ac:dyDescent="0.25">
      <c r="A109" s="127"/>
      <c r="B109" s="155" t="s">
        <v>354</v>
      </c>
      <c r="C109" s="130"/>
      <c r="D109" s="130"/>
      <c r="E109" s="130"/>
      <c r="F109" s="130"/>
      <c r="G109" s="130"/>
      <c r="H109" s="130"/>
      <c r="I109" s="127"/>
      <c r="J109" s="127"/>
      <c r="K109" s="127"/>
      <c r="N109" s="130"/>
      <c r="O109" s="130"/>
      <c r="P109" s="130"/>
      <c r="Q109" s="130"/>
      <c r="R109" s="130"/>
    </row>
    <row r="110" spans="1:18" x14ac:dyDescent="0.25">
      <c r="A110" s="127"/>
      <c r="B110" s="27" t="s">
        <v>196</v>
      </c>
      <c r="C110" s="27" t="s">
        <v>361</v>
      </c>
      <c r="D110" s="27" t="s">
        <v>32</v>
      </c>
      <c r="E110" s="27" t="s">
        <v>33</v>
      </c>
      <c r="F110" s="27" t="s">
        <v>34</v>
      </c>
      <c r="G110" s="27" t="s">
        <v>35</v>
      </c>
      <c r="H110" s="27" t="s">
        <v>56</v>
      </c>
      <c r="I110" s="127"/>
      <c r="J110" s="127"/>
      <c r="K110" s="127"/>
      <c r="N110" s="130"/>
      <c r="O110" s="130"/>
      <c r="P110" s="130"/>
      <c r="Q110" s="130"/>
      <c r="R110" s="130"/>
    </row>
    <row r="111" spans="1:18" x14ac:dyDescent="0.25">
      <c r="A111" s="127"/>
      <c r="B111" s="154" t="s">
        <v>347</v>
      </c>
      <c r="C111" s="298">
        <f>(D107+D106)/2</f>
        <v>2.3708384183259603E-4</v>
      </c>
      <c r="D111" s="1">
        <f>C111/DEVSQ(D26:D40)</f>
        <v>8.6971205696199892E-3</v>
      </c>
      <c r="E111" s="298">
        <f>D111+D112</f>
        <v>1.7394241139239975E-2</v>
      </c>
      <c r="F111" s="298">
        <f>(C43-I43)/SQRT(E111)</f>
        <v>1.2167094622153443</v>
      </c>
      <c r="G111" s="298">
        <f>_xlfn.T.INV.2T(0.05,D46+J46)</f>
        <v>2.0555294386428731</v>
      </c>
      <c r="H111" s="296" t="str">
        <f>IF(ABS(F111)&lt;G111,"spécifique","effet de matrice")</f>
        <v>spécifique</v>
      </c>
      <c r="I111" s="127"/>
      <c r="J111" s="127"/>
      <c r="K111" s="127"/>
      <c r="N111" s="130"/>
      <c r="O111" s="130"/>
      <c r="P111" s="130"/>
      <c r="Q111" s="130"/>
      <c r="R111" s="130"/>
    </row>
    <row r="112" spans="1:18" x14ac:dyDescent="0.25">
      <c r="A112" s="127"/>
      <c r="B112" s="154" t="s">
        <v>357</v>
      </c>
      <c r="C112" s="299"/>
      <c r="D112" s="1">
        <f>C111/DEVSQ(J26:J40)</f>
        <v>8.6971205696199858E-3</v>
      </c>
      <c r="E112" s="299"/>
      <c r="F112" s="299"/>
      <c r="G112" s="299"/>
      <c r="H112" s="296"/>
      <c r="J112" s="127"/>
      <c r="K112" s="127"/>
      <c r="N112" s="130"/>
      <c r="O112" s="130"/>
      <c r="P112" s="130"/>
      <c r="Q112" s="130"/>
      <c r="R112" s="130"/>
    </row>
    <row r="113" spans="1:18" x14ac:dyDescent="0.25">
      <c r="A113" s="127"/>
      <c r="B113" s="155" t="s">
        <v>358</v>
      </c>
      <c r="C113" s="13"/>
      <c r="D113" s="13"/>
      <c r="E113" s="13"/>
      <c r="F113" s="130"/>
      <c r="G113" s="13"/>
      <c r="H113" s="155"/>
      <c r="I113" s="127"/>
      <c r="J113" s="127"/>
      <c r="K113" s="127"/>
      <c r="N113" s="130"/>
      <c r="O113" s="130"/>
      <c r="P113" s="130"/>
      <c r="Q113" s="130"/>
      <c r="R113" s="130"/>
    </row>
    <row r="114" spans="1:18" x14ac:dyDescent="0.25">
      <c r="A114" s="127"/>
      <c r="B114" s="130"/>
      <c r="C114" s="130"/>
      <c r="D114" s="130"/>
      <c r="E114" s="130"/>
      <c r="F114" s="130"/>
      <c r="G114" s="130"/>
      <c r="H114" s="130"/>
      <c r="I114" s="127"/>
      <c r="J114" s="127"/>
      <c r="K114" s="127"/>
      <c r="N114" s="130"/>
      <c r="O114" s="130"/>
      <c r="P114" s="130"/>
      <c r="Q114" s="130"/>
      <c r="R114" s="130"/>
    </row>
    <row r="115" spans="1:18" x14ac:dyDescent="0.25">
      <c r="A115" s="127"/>
      <c r="B115" s="155" t="s">
        <v>355</v>
      </c>
      <c r="C115" s="130"/>
      <c r="D115" s="130"/>
      <c r="E115" s="156"/>
      <c r="F115" s="130"/>
      <c r="G115" s="130"/>
      <c r="H115" s="130"/>
      <c r="I115" s="127"/>
      <c r="J115" s="127"/>
      <c r="K115" s="127"/>
      <c r="N115" s="130"/>
      <c r="O115" s="130"/>
      <c r="P115" s="130"/>
      <c r="Q115" s="130"/>
      <c r="R115" s="130"/>
    </row>
    <row r="116" spans="1:18" x14ac:dyDescent="0.25">
      <c r="A116" s="127"/>
      <c r="B116" s="27" t="s">
        <v>196</v>
      </c>
      <c r="C116" s="27" t="s">
        <v>34</v>
      </c>
      <c r="D116" s="27" t="s">
        <v>35</v>
      </c>
      <c r="E116" s="27" t="s">
        <v>56</v>
      </c>
      <c r="F116" s="130"/>
      <c r="G116" s="130"/>
      <c r="H116" s="130"/>
      <c r="I116" s="127"/>
      <c r="J116" s="127"/>
      <c r="K116" s="127"/>
      <c r="N116" s="130"/>
      <c r="O116" s="130"/>
      <c r="P116" s="130"/>
      <c r="Q116" s="130"/>
      <c r="R116" s="130"/>
    </row>
    <row r="117" spans="1:18" x14ac:dyDescent="0.25">
      <c r="A117" s="127"/>
      <c r="B117" s="154" t="s">
        <v>347</v>
      </c>
      <c r="C117" s="298">
        <f>(D43-J43)/SQRT(D44^2+J44^2)</f>
        <v>-1.9821498452946649</v>
      </c>
      <c r="D117" s="298">
        <f>G111</f>
        <v>2.0555294386428731</v>
      </c>
      <c r="E117" s="296" t="str">
        <f>IF(ABS(C117)&lt;D117,"pas de biais","biais significatif")</f>
        <v>pas de biais</v>
      </c>
      <c r="F117" s="130"/>
      <c r="G117" s="130"/>
      <c r="H117" s="130"/>
      <c r="I117" s="127"/>
      <c r="J117" s="127"/>
      <c r="K117" s="127"/>
      <c r="N117" s="130"/>
      <c r="O117" s="130"/>
      <c r="P117" s="130"/>
      <c r="Q117" s="130"/>
      <c r="R117" s="130"/>
    </row>
    <row r="118" spans="1:18" x14ac:dyDescent="0.25">
      <c r="A118" s="127"/>
      <c r="B118" s="154" t="s">
        <v>357</v>
      </c>
      <c r="C118" s="299"/>
      <c r="D118" s="299"/>
      <c r="E118" s="296"/>
      <c r="G118" s="130"/>
      <c r="H118" s="157"/>
      <c r="I118" s="127"/>
      <c r="J118" s="127"/>
      <c r="K118" s="127"/>
      <c r="N118" s="130"/>
      <c r="O118" s="130"/>
      <c r="P118" s="130"/>
      <c r="Q118" s="130"/>
      <c r="R118" s="130"/>
    </row>
    <row r="119" spans="1:18" x14ac:dyDescent="0.25">
      <c r="A119" s="127"/>
      <c r="B119" s="155" t="s">
        <v>359</v>
      </c>
      <c r="C119" s="130"/>
      <c r="D119" s="130"/>
      <c r="E119" s="130"/>
      <c r="F119" s="130"/>
      <c r="G119" s="130"/>
      <c r="H119" s="157"/>
      <c r="I119" s="127"/>
      <c r="J119" s="127"/>
      <c r="K119" s="127"/>
      <c r="N119" s="130"/>
      <c r="O119" s="130"/>
      <c r="P119" s="130"/>
      <c r="Q119" s="130"/>
      <c r="R119" s="130"/>
    </row>
    <row r="120" spans="1:18" x14ac:dyDescent="0.25">
      <c r="A120" s="127"/>
      <c r="B120" s="130"/>
      <c r="C120" s="130"/>
      <c r="D120" s="130"/>
      <c r="E120" s="130"/>
      <c r="F120" s="130"/>
      <c r="G120" s="130"/>
      <c r="H120" s="157"/>
      <c r="I120" s="127"/>
      <c r="J120" s="127"/>
      <c r="K120" s="127"/>
      <c r="N120" s="130"/>
      <c r="O120" s="130"/>
      <c r="P120" s="130"/>
      <c r="Q120" s="130"/>
      <c r="R120" s="130"/>
    </row>
    <row r="121" spans="1:18" x14ac:dyDescent="0.25">
      <c r="A121" s="127"/>
      <c r="B121" s="155" t="s">
        <v>356</v>
      </c>
      <c r="C121" s="130"/>
      <c r="D121" s="130"/>
      <c r="E121" s="130"/>
      <c r="F121" s="130"/>
      <c r="G121" s="130"/>
      <c r="H121" s="157"/>
      <c r="I121" s="127"/>
      <c r="J121" s="127"/>
      <c r="K121" s="127"/>
      <c r="N121" s="130"/>
      <c r="O121" s="130"/>
      <c r="P121" s="130"/>
      <c r="Q121" s="130"/>
      <c r="R121" s="130"/>
    </row>
    <row r="122" spans="1:18" x14ac:dyDescent="0.25">
      <c r="A122" s="127"/>
      <c r="B122" s="27" t="s">
        <v>196</v>
      </c>
      <c r="C122" s="27" t="s">
        <v>34</v>
      </c>
      <c r="D122" s="27" t="s">
        <v>35</v>
      </c>
      <c r="E122" s="130"/>
      <c r="F122" s="130"/>
      <c r="G122" s="130"/>
      <c r="H122" s="157"/>
      <c r="I122" s="127"/>
      <c r="J122" s="127"/>
      <c r="K122" s="127"/>
      <c r="N122" s="130"/>
      <c r="O122" s="130"/>
      <c r="P122" s="130"/>
      <c r="Q122" s="130"/>
      <c r="R122" s="130"/>
    </row>
    <row r="123" spans="1:18" x14ac:dyDescent="0.25">
      <c r="A123" s="127"/>
      <c r="B123" s="154" t="s">
        <v>347</v>
      </c>
      <c r="C123" s="1">
        <f>D43/D44</f>
        <v>-0.56144845224055562</v>
      </c>
      <c r="D123" s="303">
        <f>_xlfn.T.INV.2T(0.05,D46)</f>
        <v>2.1603686564627926</v>
      </c>
      <c r="E123" s="155"/>
      <c r="F123" s="130"/>
      <c r="G123" s="130"/>
      <c r="H123" s="157"/>
      <c r="I123" s="127"/>
      <c r="J123" s="127"/>
      <c r="K123" s="127"/>
      <c r="N123" s="130"/>
      <c r="O123" s="130"/>
      <c r="P123" s="130"/>
      <c r="Q123" s="130"/>
      <c r="R123" s="130"/>
    </row>
    <row r="124" spans="1:18" x14ac:dyDescent="0.25">
      <c r="A124" s="127"/>
      <c r="B124" s="154" t="s">
        <v>357</v>
      </c>
      <c r="C124" s="1">
        <f>J43/J44</f>
        <v>1.964519450393766</v>
      </c>
      <c r="D124" s="304"/>
      <c r="E124" s="155"/>
      <c r="F124" s="130"/>
      <c r="G124" s="130"/>
      <c r="H124" s="130"/>
      <c r="I124" s="127"/>
      <c r="J124" s="127"/>
      <c r="K124" s="127"/>
      <c r="N124" s="130"/>
      <c r="O124" s="130"/>
      <c r="P124" s="130"/>
      <c r="Q124" s="130"/>
      <c r="R124" s="130"/>
    </row>
    <row r="125" spans="1:18" x14ac:dyDescent="0.25">
      <c r="A125" s="127"/>
      <c r="B125" s="155" t="s">
        <v>360</v>
      </c>
      <c r="C125" s="127"/>
      <c r="D125" s="127"/>
      <c r="E125" s="127"/>
      <c r="F125" s="127"/>
      <c r="G125" s="127"/>
      <c r="H125" s="127"/>
      <c r="I125" s="127"/>
      <c r="J125" s="127"/>
      <c r="K125" s="127"/>
      <c r="N125" s="130"/>
      <c r="O125" s="130"/>
      <c r="P125" s="130"/>
      <c r="Q125" s="130"/>
      <c r="R125" s="130"/>
    </row>
    <row r="126" spans="1:18" x14ac:dyDescent="0.25">
      <c r="A126" s="127"/>
      <c r="B126" s="132"/>
      <c r="C126" s="127"/>
      <c r="D126" s="127"/>
      <c r="E126" s="127"/>
      <c r="F126" s="127"/>
      <c r="G126" s="127"/>
      <c r="H126" s="127"/>
      <c r="I126" s="127"/>
      <c r="J126" s="127"/>
      <c r="K126" s="127"/>
      <c r="N126" s="130"/>
      <c r="O126" s="130"/>
      <c r="P126" s="130"/>
      <c r="Q126" s="130"/>
      <c r="R126" s="130"/>
    </row>
    <row r="127" spans="1:18" x14ac:dyDescent="0.25">
      <c r="A127" s="127"/>
      <c r="B127" s="131" t="s">
        <v>239</v>
      </c>
      <c r="C127" s="126"/>
      <c r="D127" s="126"/>
      <c r="E127" s="126"/>
      <c r="F127" s="126"/>
      <c r="G127" s="126"/>
      <c r="H127" s="126"/>
      <c r="I127" s="126"/>
      <c r="J127" s="126"/>
      <c r="K127" s="126"/>
      <c r="L127" s="49"/>
      <c r="N127" s="130"/>
      <c r="O127" s="130"/>
      <c r="P127" s="130"/>
      <c r="Q127" s="130"/>
      <c r="R127" s="130"/>
    </row>
    <row r="128" spans="1:18" x14ac:dyDescent="0.25">
      <c r="A128" s="127"/>
      <c r="B128" s="132" t="s">
        <v>259</v>
      </c>
      <c r="C128" s="127"/>
      <c r="D128" s="127"/>
      <c r="E128" s="127"/>
      <c r="F128" s="127"/>
      <c r="G128" s="127"/>
      <c r="H128" s="127"/>
      <c r="I128" s="127"/>
      <c r="J128" s="127"/>
      <c r="K128" s="127"/>
      <c r="N128" s="130"/>
      <c r="O128" s="130"/>
      <c r="P128" s="130"/>
      <c r="Q128" s="130"/>
      <c r="R128" s="130"/>
    </row>
    <row r="129" spans="1:18" x14ac:dyDescent="0.25">
      <c r="A129" s="127"/>
      <c r="B129" s="132" t="s">
        <v>258</v>
      </c>
      <c r="C129" s="127"/>
      <c r="D129" s="127"/>
      <c r="E129" s="127"/>
      <c r="F129" s="127"/>
      <c r="G129" s="127"/>
      <c r="H129" s="127"/>
      <c r="I129" s="127"/>
      <c r="J129" s="127"/>
      <c r="K129" s="127"/>
      <c r="N129" s="130"/>
      <c r="O129" s="130"/>
      <c r="P129" s="130"/>
      <c r="Q129" s="130"/>
      <c r="R129" s="130"/>
    </row>
    <row r="130" spans="1:18" x14ac:dyDescent="0.25">
      <c r="A130" s="127"/>
      <c r="D130" s="127"/>
      <c r="E130" s="158" t="s">
        <v>36</v>
      </c>
      <c r="F130" s="148" t="s">
        <v>260</v>
      </c>
      <c r="G130" s="124" t="s">
        <v>38</v>
      </c>
      <c r="H130" s="127"/>
      <c r="I130" s="132" t="s">
        <v>252</v>
      </c>
      <c r="J130" s="127" t="s">
        <v>39</v>
      </c>
      <c r="K130" s="127"/>
      <c r="N130" s="130"/>
      <c r="O130" s="130"/>
      <c r="P130" s="130"/>
      <c r="Q130" s="130"/>
      <c r="R130" s="130"/>
    </row>
    <row r="131" spans="1:18" x14ac:dyDescent="0.25">
      <c r="A131" s="127"/>
      <c r="B131" s="297" t="s">
        <v>64</v>
      </c>
      <c r="C131" s="297"/>
      <c r="D131" s="297"/>
      <c r="E131" s="158" t="s">
        <v>15</v>
      </c>
      <c r="F131" s="27" t="s">
        <v>375</v>
      </c>
      <c r="G131" s="119">
        <f>E32/D32</f>
        <v>3.889131902941338</v>
      </c>
      <c r="H131" s="127"/>
      <c r="I131" s="27" t="s">
        <v>373</v>
      </c>
      <c r="J131" s="119">
        <f>C43</f>
        <v>3.8760128333494097</v>
      </c>
      <c r="K131" s="127"/>
      <c r="N131" s="130"/>
      <c r="O131" s="130"/>
      <c r="P131" s="130"/>
      <c r="Q131" s="130"/>
      <c r="R131" s="130"/>
    </row>
    <row r="132" spans="1:18" x14ac:dyDescent="0.25">
      <c r="A132" s="127"/>
      <c r="B132" s="132" t="s">
        <v>37</v>
      </c>
      <c r="C132" s="14" t="s">
        <v>36</v>
      </c>
      <c r="F132" s="279" t="s">
        <v>376</v>
      </c>
      <c r="G132" s="258">
        <f t="shared" ref="G132:G133" si="17">E33/D33</f>
        <v>3.8243553374714114</v>
      </c>
      <c r="I132" s="27" t="s">
        <v>374</v>
      </c>
      <c r="J132" s="119">
        <f>D43</f>
        <v>-1.1290280043641632E-2</v>
      </c>
      <c r="N132" s="130"/>
      <c r="O132" s="130"/>
      <c r="P132" s="130"/>
      <c r="Q132" s="130"/>
      <c r="R132" s="130"/>
    </row>
    <row r="133" spans="1:18" x14ac:dyDescent="0.25">
      <c r="A133" s="129"/>
      <c r="B133" s="128"/>
      <c r="C133" s="129"/>
      <c r="D133" s="129"/>
      <c r="E133" s="129"/>
      <c r="F133" s="279" t="s">
        <v>377</v>
      </c>
      <c r="G133" s="258">
        <f t="shared" si="17"/>
        <v>3.8336051122675654</v>
      </c>
      <c r="H133" s="129"/>
      <c r="I133" s="129"/>
      <c r="J133" s="129"/>
      <c r="K133" s="129"/>
      <c r="L133" s="130"/>
      <c r="N133" s="130"/>
      <c r="O133" s="130"/>
      <c r="P133" s="130"/>
      <c r="Q133" s="130"/>
      <c r="R133" s="130"/>
    </row>
    <row r="134" spans="1:18" x14ac:dyDescent="0.25">
      <c r="A134" s="129"/>
      <c r="N134" s="130"/>
      <c r="O134" s="130"/>
      <c r="P134" s="130"/>
      <c r="Q134" s="130"/>
      <c r="R134" s="130"/>
    </row>
    <row r="135" spans="1:18" x14ac:dyDescent="0.25">
      <c r="A135" s="129"/>
      <c r="B135" s="16" t="s">
        <v>266</v>
      </c>
      <c r="C135" s="159"/>
      <c r="D135" s="123"/>
      <c r="E135" s="123"/>
      <c r="F135" s="123"/>
      <c r="G135" s="123"/>
      <c r="H135" s="123"/>
      <c r="I135" s="123"/>
      <c r="J135" s="123"/>
      <c r="K135" s="123"/>
      <c r="L135" s="123"/>
      <c r="N135" s="130"/>
      <c r="O135" s="130"/>
      <c r="P135" s="130"/>
      <c r="Q135" s="130"/>
      <c r="R135" s="130"/>
    </row>
    <row r="136" spans="1:18" x14ac:dyDescent="0.25">
      <c r="A136" s="129"/>
      <c r="N136" s="130"/>
      <c r="O136" s="130"/>
      <c r="P136" s="130"/>
      <c r="Q136" s="130"/>
      <c r="R136" s="130"/>
    </row>
    <row r="137" spans="1:18" x14ac:dyDescent="0.25">
      <c r="A137" s="129"/>
      <c r="N137" s="130"/>
      <c r="O137" s="130"/>
      <c r="P137" s="130"/>
      <c r="Q137" s="130"/>
      <c r="R137" s="130"/>
    </row>
    <row r="138" spans="1:18" x14ac:dyDescent="0.25">
      <c r="A138" s="129"/>
      <c r="N138" s="130"/>
      <c r="O138" s="130"/>
      <c r="P138" s="130"/>
      <c r="Q138" s="130"/>
      <c r="R138" s="130"/>
    </row>
    <row r="139" spans="1:18" x14ac:dyDescent="0.25">
      <c r="A139" s="129"/>
      <c r="N139" s="130"/>
      <c r="O139" s="130"/>
      <c r="P139" s="130"/>
      <c r="Q139" s="130"/>
      <c r="R139" s="130"/>
    </row>
    <row r="140" spans="1:18" x14ac:dyDescent="0.25">
      <c r="A140" s="129"/>
      <c r="N140" s="130"/>
      <c r="O140" s="130"/>
      <c r="P140" s="130"/>
      <c r="Q140" s="130"/>
      <c r="R140" s="130"/>
    </row>
    <row r="141" spans="1:18" x14ac:dyDescent="0.25">
      <c r="A141" s="129"/>
      <c r="N141" s="130"/>
      <c r="O141" s="130"/>
      <c r="P141" s="130"/>
      <c r="Q141" s="130"/>
      <c r="R141" s="130"/>
    </row>
    <row r="142" spans="1:18" x14ac:dyDescent="0.25">
      <c r="A142" s="129"/>
      <c r="N142" s="130"/>
      <c r="O142" s="130"/>
      <c r="P142" s="130"/>
      <c r="Q142" s="130"/>
      <c r="R142" s="130"/>
    </row>
    <row r="143" spans="1:18" x14ac:dyDescent="0.25">
      <c r="A143" s="129"/>
      <c r="N143" s="130"/>
      <c r="O143" s="130"/>
      <c r="P143" s="130"/>
      <c r="Q143" s="130"/>
      <c r="R143" s="130"/>
    </row>
    <row r="144" spans="1:18" x14ac:dyDescent="0.25">
      <c r="A144" s="129"/>
      <c r="N144" s="130"/>
      <c r="O144" s="130"/>
      <c r="P144" s="130"/>
      <c r="Q144" s="130"/>
      <c r="R144" s="130"/>
    </row>
    <row r="145" spans="1:18" x14ac:dyDescent="0.25">
      <c r="A145" s="129"/>
      <c r="N145" s="130"/>
      <c r="O145" s="130"/>
      <c r="P145" s="130"/>
      <c r="Q145" s="130"/>
      <c r="R145" s="130"/>
    </row>
    <row r="146" spans="1:18" x14ac:dyDescent="0.25">
      <c r="A146" s="129"/>
      <c r="N146" s="130"/>
      <c r="O146" s="130"/>
      <c r="P146" s="130"/>
      <c r="Q146" s="130"/>
      <c r="R146" s="130"/>
    </row>
    <row r="147" spans="1:18" x14ac:dyDescent="0.25">
      <c r="A147" s="129"/>
      <c r="N147" s="130"/>
      <c r="O147" s="130"/>
      <c r="P147" s="130"/>
      <c r="Q147" s="130"/>
      <c r="R147" s="130"/>
    </row>
    <row r="148" spans="1:18" x14ac:dyDescent="0.25">
      <c r="A148" s="129"/>
      <c r="N148" s="130"/>
      <c r="O148" s="130"/>
      <c r="P148" s="130"/>
      <c r="Q148" s="130"/>
      <c r="R148" s="130"/>
    </row>
    <row r="149" spans="1:18" x14ac:dyDescent="0.25">
      <c r="A149" s="129"/>
      <c r="N149" s="130"/>
      <c r="O149" s="130"/>
      <c r="P149" s="130"/>
      <c r="Q149" s="130"/>
      <c r="R149" s="130"/>
    </row>
    <row r="150" spans="1:18" x14ac:dyDescent="0.25">
      <c r="A150" s="129"/>
      <c r="N150" s="130"/>
      <c r="O150" s="130"/>
      <c r="P150" s="130"/>
      <c r="Q150" s="130"/>
      <c r="R150" s="130"/>
    </row>
    <row r="151" spans="1:18" x14ac:dyDescent="0.25">
      <c r="A151" s="129"/>
      <c r="N151" s="130"/>
      <c r="O151" s="130"/>
      <c r="P151" s="130"/>
      <c r="Q151" s="130"/>
      <c r="R151" s="130"/>
    </row>
    <row r="152" spans="1:18" x14ac:dyDescent="0.25">
      <c r="A152" s="129"/>
      <c r="N152" s="130"/>
      <c r="O152" s="130"/>
      <c r="P152" s="130"/>
      <c r="Q152" s="130"/>
      <c r="R152" s="130"/>
    </row>
    <row r="153" spans="1:18" x14ac:dyDescent="0.25">
      <c r="A153" s="129"/>
      <c r="N153" s="130"/>
      <c r="O153" s="130"/>
      <c r="P153" s="130"/>
      <c r="Q153" s="130"/>
      <c r="R153" s="130"/>
    </row>
    <row r="154" spans="1:18" x14ac:dyDescent="0.25">
      <c r="A154" s="129"/>
      <c r="M154" s="127"/>
      <c r="N154" s="130"/>
      <c r="O154" s="130"/>
      <c r="P154" s="130"/>
      <c r="Q154" s="160"/>
      <c r="R154" s="160"/>
    </row>
    <row r="155" spans="1:18" x14ac:dyDescent="0.25">
      <c r="A155" s="129"/>
      <c r="M155" s="127"/>
      <c r="N155" s="130"/>
      <c r="O155" s="130"/>
      <c r="P155" s="130"/>
      <c r="Q155" s="160"/>
      <c r="R155" s="160"/>
    </row>
    <row r="156" spans="1:18" x14ac:dyDescent="0.25">
      <c r="A156" s="127"/>
      <c r="M156" s="127"/>
      <c r="N156" s="130"/>
      <c r="O156" s="130"/>
      <c r="P156" s="130"/>
      <c r="Q156" s="160"/>
      <c r="R156" s="160"/>
    </row>
    <row r="157" spans="1:18" x14ac:dyDescent="0.25">
      <c r="M157" s="127"/>
    </row>
    <row r="158" spans="1:18" ht="15.95" customHeight="1" x14ac:dyDescent="0.25">
      <c r="M158" s="127"/>
    </row>
    <row r="159" spans="1:18" x14ac:dyDescent="0.25">
      <c r="A159" s="129"/>
      <c r="M159" s="127"/>
    </row>
    <row r="160" spans="1:18" x14ac:dyDescent="0.25">
      <c r="A160" s="129"/>
      <c r="M160" s="127"/>
    </row>
    <row r="161" spans="1:13" x14ac:dyDescent="0.25">
      <c r="A161" s="129"/>
      <c r="M161" s="127"/>
    </row>
    <row r="162" spans="1:13" x14ac:dyDescent="0.25">
      <c r="A162" s="129"/>
      <c r="M162" s="127"/>
    </row>
    <row r="163" spans="1:13" x14ac:dyDescent="0.25">
      <c r="A163" s="129"/>
      <c r="M163" s="127"/>
    </row>
    <row r="164" spans="1:13" x14ac:dyDescent="0.25">
      <c r="A164" s="129"/>
      <c r="M164" s="127"/>
    </row>
    <row r="165" spans="1:13" x14ac:dyDescent="0.25">
      <c r="A165" s="129"/>
      <c r="M165" s="127"/>
    </row>
    <row r="166" spans="1:13" x14ac:dyDescent="0.25">
      <c r="A166" s="129"/>
      <c r="M166" s="127"/>
    </row>
    <row r="167" spans="1:13" x14ac:dyDescent="0.25">
      <c r="A167" s="129"/>
      <c r="M167" s="127"/>
    </row>
    <row r="168" spans="1:13" x14ac:dyDescent="0.25">
      <c r="A168" s="129"/>
      <c r="M168" s="127"/>
    </row>
    <row r="169" spans="1:13" x14ac:dyDescent="0.25">
      <c r="A169" s="129"/>
      <c r="M169" s="127"/>
    </row>
    <row r="170" spans="1:13" x14ac:dyDescent="0.25">
      <c r="A170" s="129"/>
      <c r="M170" s="127"/>
    </row>
    <row r="171" spans="1:13" x14ac:dyDescent="0.25">
      <c r="A171" s="129"/>
      <c r="M171" s="127"/>
    </row>
    <row r="172" spans="1:13" x14ac:dyDescent="0.25">
      <c r="A172" s="129"/>
      <c r="M172" s="127"/>
    </row>
    <row r="173" spans="1:13" x14ac:dyDescent="0.25">
      <c r="A173" s="129"/>
      <c r="M173" s="127"/>
    </row>
    <row r="174" spans="1:13" x14ac:dyDescent="0.25">
      <c r="A174" s="129"/>
      <c r="B174" s="161"/>
      <c r="C174" s="13"/>
      <c r="D174" s="129"/>
      <c r="E174" s="133"/>
      <c r="F174" s="13"/>
      <c r="G174" s="162"/>
      <c r="H174" s="129"/>
      <c r="I174" s="129"/>
      <c r="J174" s="163"/>
      <c r="K174" s="163"/>
      <c r="L174" s="127"/>
      <c r="M174" s="127"/>
    </row>
    <row r="175" spans="1:13" x14ac:dyDescent="0.25">
      <c r="A175" s="129"/>
      <c r="M175" s="127"/>
    </row>
    <row r="176" spans="1:13" x14ac:dyDescent="0.25">
      <c r="A176" s="129"/>
      <c r="M176" s="127"/>
    </row>
  </sheetData>
  <mergeCells count="47">
    <mergeCell ref="H26:H28"/>
    <mergeCell ref="H29:H31"/>
    <mergeCell ref="H32:H34"/>
    <mergeCell ref="H35:H37"/>
    <mergeCell ref="H38:H40"/>
    <mergeCell ref="L35:L37"/>
    <mergeCell ref="L38:L40"/>
    <mergeCell ref="L26:L28"/>
    <mergeCell ref="L29:L31"/>
    <mergeCell ref="L32:L34"/>
    <mergeCell ref="F38:F40"/>
    <mergeCell ref="B35:B37"/>
    <mergeCell ref="B38:B40"/>
    <mergeCell ref="F29:F31"/>
    <mergeCell ref="F32:F34"/>
    <mergeCell ref="E111:E112"/>
    <mergeCell ref="H111:H112"/>
    <mergeCell ref="E117:E118"/>
    <mergeCell ref="B6:B8"/>
    <mergeCell ref="B9:B11"/>
    <mergeCell ref="B12:B14"/>
    <mergeCell ref="B15:B17"/>
    <mergeCell ref="B18:B20"/>
    <mergeCell ref="H6:H8"/>
    <mergeCell ref="H9:H11"/>
    <mergeCell ref="H12:H14"/>
    <mergeCell ref="H15:H17"/>
    <mergeCell ref="H18:H20"/>
    <mergeCell ref="B29:B31"/>
    <mergeCell ref="B32:B34"/>
    <mergeCell ref="F35:F37"/>
    <mergeCell ref="G106:G107"/>
    <mergeCell ref="B131:D131"/>
    <mergeCell ref="F111:F112"/>
    <mergeCell ref="B26:B28"/>
    <mergeCell ref="C117:C118"/>
    <mergeCell ref="D117:D118"/>
    <mergeCell ref="D123:D124"/>
    <mergeCell ref="G111:G112"/>
    <mergeCell ref="B82:E82"/>
    <mergeCell ref="F82:K82"/>
    <mergeCell ref="B92:E92"/>
    <mergeCell ref="F92:K92"/>
    <mergeCell ref="E106:E107"/>
    <mergeCell ref="F106:F107"/>
    <mergeCell ref="C111:C112"/>
    <mergeCell ref="F26:F28"/>
  </mergeCells>
  <phoneticPr fontId="25" type="noConversion"/>
  <conditionalFormatting sqref="C117:C118">
    <cfRule type="cellIs" dxfId="104" priority="6" operator="between">
      <formula>-$D$117</formula>
      <formula>$D$117</formula>
    </cfRule>
    <cfRule type="cellIs" dxfId="103" priority="24" operator="lessThan">
      <formula>$D$117</formula>
    </cfRule>
    <cfRule type="cellIs" dxfId="102" priority="25" operator="greaterThan">
      <formula>0</formula>
    </cfRule>
    <cfRule type="cellIs" dxfId="101" priority="26" operator="greaterThan">
      <formula>$D$117</formula>
    </cfRule>
  </conditionalFormatting>
  <conditionalFormatting sqref="C123:C124">
    <cfRule type="cellIs" dxfId="100" priority="5" operator="between">
      <formula>-$D$123</formula>
      <formula>$D$123</formula>
    </cfRule>
    <cfRule type="cellIs" dxfId="99" priority="22" operator="lessThan">
      <formula>$D$123</formula>
    </cfRule>
    <cfRule type="cellIs" dxfId="98" priority="23" operator="greaterThan">
      <formula>$D$123</formula>
    </cfRule>
  </conditionalFormatting>
  <conditionalFormatting sqref="D71">
    <cfRule type="cellIs" dxfId="97" priority="40" operator="lessThan">
      <formula>$G$70</formula>
    </cfRule>
    <cfRule type="cellIs" dxfId="96" priority="41" operator="greaterThan">
      <formula>$G$71</formula>
    </cfRule>
    <cfRule type="cellIs" dxfId="95" priority="42" operator="greaterThan">
      <formula>$G$70</formula>
    </cfRule>
  </conditionalFormatting>
  <conditionalFormatting sqref="E106:E107">
    <cfRule type="cellIs" dxfId="94" priority="29" operator="greaterThan">
      <formula>$F$106</formula>
    </cfRule>
    <cfRule type="cellIs" dxfId="93" priority="30" operator="lessThan">
      <formula>$F$106</formula>
    </cfRule>
  </conditionalFormatting>
  <conditionalFormatting sqref="F111:F112">
    <cfRule type="cellIs" dxfId="92" priority="1" operator="greaterThan">
      <formula>$G$111</formula>
    </cfRule>
    <cfRule type="cellIs" dxfId="91" priority="2" operator="lessThan">
      <formula>-$G$111</formula>
    </cfRule>
    <cfRule type="cellIs" dxfId="90" priority="3" operator="between">
      <formula>-$G$111</formula>
      <formula>$G$111</formula>
    </cfRule>
  </conditionalFormatting>
  <conditionalFormatting sqref="I89">
    <cfRule type="cellIs" dxfId="89" priority="32" operator="lessThan">
      <formula>$J$89</formula>
    </cfRule>
    <cfRule type="cellIs" dxfId="88" priority="34" operator="greaterThan">
      <formula>$J$89</formula>
    </cfRule>
    <cfRule type="cellIs" dxfId="87" priority="35" operator="lessThan">
      <formula>$J$89</formula>
    </cfRule>
  </conditionalFormatting>
  <conditionalFormatting sqref="I99">
    <cfRule type="cellIs" dxfId="86" priority="31" operator="lessThan">
      <formula>$J$99</formula>
    </cfRule>
    <cfRule type="cellIs" dxfId="85" priority="33" operator="greaterThan">
      <formula>$J$99</formula>
    </cfRule>
  </conditionalFormatting>
  <conditionalFormatting sqref="J71">
    <cfRule type="cellIs" dxfId="84" priority="37" operator="greaterThan">
      <formula>$G$71</formula>
    </cfRule>
    <cfRule type="cellIs" dxfId="83" priority="38" operator="greaterThan">
      <formula>$G$70</formula>
    </cfRule>
    <cfRule type="cellIs" dxfId="82" priority="39" operator="lessThan">
      <formula>$G$70</formula>
    </cfRule>
  </conditionalFormatting>
  <dataValidations count="1">
    <dataValidation type="list" allowBlank="1" showInputMessage="1" showErrorMessage="1" sqref="C132" xr:uid="{00000000-0002-0000-0300-000000000000}">
      <formula1>$E$130:$E$131</formula1>
    </dataValidation>
  </dataValidations>
  <pageMargins left="0.19685039370078741" right="0.19685039370078741" top="0.39370078740157483" bottom="0.39370078740157483" header="0.19685039370078741" footer="0.19685039370078741"/>
  <pageSetup paperSize="9" scale="90" fitToHeight="4" orientation="portrait" horizontalDpi="300" verticalDpi="300" r:id="rId1"/>
  <headerFooter>
    <oddHeader>&amp;F</oddHeader>
    <oddFooter>Page &amp;P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B2:L41"/>
  <sheetViews>
    <sheetView showGridLines="0" zoomScale="85" zoomScaleNormal="85" workbookViewId="0">
      <selection activeCell="K26" sqref="K26"/>
    </sheetView>
  </sheetViews>
  <sheetFormatPr baseColWidth="10" defaultColWidth="11.42578125" defaultRowHeight="15" x14ac:dyDescent="0.25"/>
  <cols>
    <col min="1" max="1" width="11.42578125" style="124"/>
    <col min="2" max="2" width="12.140625" style="124" customWidth="1"/>
    <col min="3" max="4" width="7.85546875" style="124" customWidth="1"/>
    <col min="5" max="5" width="8" style="124" customWidth="1"/>
    <col min="6" max="6" width="8.28515625" style="124" customWidth="1"/>
    <col min="7" max="7" width="9.85546875" style="124" customWidth="1"/>
    <col min="8" max="8" width="8.42578125" style="124" customWidth="1"/>
    <col min="9" max="9" width="9" style="124" customWidth="1"/>
    <col min="10" max="10" width="7.140625" style="124" customWidth="1"/>
    <col min="11" max="11" width="12.85546875" style="124" customWidth="1"/>
    <col min="12" max="16384" width="11.42578125" style="124"/>
  </cols>
  <sheetData>
    <row r="2" spans="2:11" x14ac:dyDescent="0.25">
      <c r="B2" s="131" t="s">
        <v>262</v>
      </c>
      <c r="C2" s="126"/>
      <c r="D2" s="126"/>
      <c r="E2" s="126"/>
      <c r="F2" s="126"/>
      <c r="G2" s="126"/>
      <c r="H2" s="126"/>
      <c r="I2" s="126"/>
      <c r="J2" s="126"/>
      <c r="K2" s="126"/>
    </row>
    <row r="3" spans="2:11" x14ac:dyDescent="0.25">
      <c r="B3" s="128"/>
      <c r="C3" s="129"/>
      <c r="D3" s="129"/>
      <c r="E3" s="129"/>
      <c r="F3" s="129"/>
      <c r="G3" s="129"/>
      <c r="H3" s="129"/>
      <c r="I3" s="129"/>
      <c r="J3" s="129"/>
      <c r="K3" s="129"/>
    </row>
    <row r="4" spans="2:11" x14ac:dyDescent="0.25">
      <c r="B4" s="27" t="s">
        <v>253</v>
      </c>
      <c r="C4" s="27" t="s">
        <v>261</v>
      </c>
      <c r="D4" s="27" t="s">
        <v>17</v>
      </c>
      <c r="E4" s="27" t="s">
        <v>19</v>
      </c>
      <c r="F4" s="27" t="s">
        <v>40</v>
      </c>
      <c r="G4" s="27" t="s">
        <v>41</v>
      </c>
      <c r="H4" s="27" t="s">
        <v>362</v>
      </c>
      <c r="I4" s="27" t="s">
        <v>21</v>
      </c>
      <c r="J4" s="129"/>
      <c r="K4" s="129"/>
    </row>
    <row r="5" spans="2:11" x14ac:dyDescent="0.25">
      <c r="B5" s="300">
        <v>0.8</v>
      </c>
      <c r="C5" s="118">
        <v>1</v>
      </c>
      <c r="D5" s="26">
        <f>linéarité!J26</f>
        <v>0.24170736000000001</v>
      </c>
      <c r="E5" s="25">
        <f>linéarité!K26</f>
        <v>0.95226966287839487</v>
      </c>
      <c r="F5" s="117">
        <f>IF(linéarité!C$132="étalon 100%",E5/linéarité!G$131,(E5-linéarité!$J$132)/linéarité!$J$131)</f>
        <v>0.24485404111858391</v>
      </c>
      <c r="G5" s="164">
        <f>F5/D5</f>
        <v>1.0130185573107244</v>
      </c>
      <c r="H5" s="318">
        <f>AVERAGE(G5:G7)</f>
        <v>1.0558535961464317</v>
      </c>
      <c r="I5" s="318">
        <f>VAR(G5:G7)</f>
        <v>1.8481582217340733E-3</v>
      </c>
      <c r="J5" s="129"/>
      <c r="K5" s="129"/>
    </row>
    <row r="6" spans="2:11" x14ac:dyDescent="0.25">
      <c r="B6" s="301"/>
      <c r="C6" s="118">
        <v>2</v>
      </c>
      <c r="D6" s="26">
        <f>linéarité!J27</f>
        <v>0.24170736000000001</v>
      </c>
      <c r="E6" s="25">
        <f>linéarité!K27</f>
        <v>1.0158854601747584</v>
      </c>
      <c r="F6" s="117">
        <f>IF(linéarité!C$132="étalon 100%",E6/linéarité!G$132,(E6-linéarité!$J$132)/linéarité!$J$131)</f>
        <v>0.2656357400215959</v>
      </c>
      <c r="G6" s="164">
        <f t="shared" ref="G6:G19" si="0">F6/D6</f>
        <v>1.0989973165136382</v>
      </c>
      <c r="H6" s="319"/>
      <c r="I6" s="319"/>
      <c r="J6" s="270"/>
      <c r="K6" s="129"/>
    </row>
    <row r="7" spans="2:11" x14ac:dyDescent="0.25">
      <c r="B7" s="302"/>
      <c r="C7" s="118">
        <v>3</v>
      </c>
      <c r="D7" s="26">
        <f>linéarité!J28</f>
        <v>0.24170736000000001</v>
      </c>
      <c r="E7" s="25">
        <f>linéarité!K28</f>
        <v>0.97807907601444732</v>
      </c>
      <c r="F7" s="117">
        <f>IF(linéarité!C$132="étalon 100%",E7/linéarité!G$133,(E7-linéarité!$J$132)/linéarité!$J$131)</f>
        <v>0.25513297467300083</v>
      </c>
      <c r="G7" s="164">
        <f t="shared" si="0"/>
        <v>1.0555449146149327</v>
      </c>
      <c r="H7" s="320"/>
      <c r="I7" s="320"/>
      <c r="J7" s="270"/>
      <c r="K7" s="129"/>
    </row>
    <row r="8" spans="2:11" x14ac:dyDescent="0.25">
      <c r="B8" s="310">
        <v>0.9</v>
      </c>
      <c r="C8" s="121">
        <v>1</v>
      </c>
      <c r="D8" s="21">
        <f>linéarité!J29</f>
        <v>0.27015719999999999</v>
      </c>
      <c r="E8" s="106">
        <f>linéarité!K29</f>
        <v>1.0626904704608744</v>
      </c>
      <c r="F8" s="23">
        <f>IF(linéarité!C$132="étalon 100%",E8/linéarité!G$131,(E8-linéarité!$J$132)/linéarité!$J$131)</f>
        <v>0.27324618886213786</v>
      </c>
      <c r="G8" s="164">
        <f t="shared" si="0"/>
        <v>1.0114340423358619</v>
      </c>
      <c r="H8" s="321">
        <f>AVERAGE(G8:G10)</f>
        <v>1.0169986244053584</v>
      </c>
      <c r="I8" s="321">
        <f t="shared" ref="I8" si="1">VAR(G8:G10)</f>
        <v>1.1175590113082684E-4</v>
      </c>
      <c r="J8" s="129"/>
      <c r="K8" s="129"/>
    </row>
    <row r="9" spans="2:11" x14ac:dyDescent="0.25">
      <c r="B9" s="311"/>
      <c r="C9" s="121">
        <v>2</v>
      </c>
      <c r="D9" s="21">
        <f>linéarité!J30</f>
        <v>0.27015719999999999</v>
      </c>
      <c r="E9" s="106">
        <f>linéarité!K30</f>
        <v>1.04389298046405</v>
      </c>
      <c r="F9" s="23">
        <f>IF(linéarité!C$132="étalon 100%",E9/linéarité!G$132,(E9-linéarité!$J$132)/linéarité!$J$131)</f>
        <v>0.27295920183877359</v>
      </c>
      <c r="G9" s="164">
        <f t="shared" si="0"/>
        <v>1.0103717459270884</v>
      </c>
      <c r="H9" s="322"/>
      <c r="I9" s="322"/>
      <c r="J9" s="129"/>
      <c r="K9" s="129"/>
    </row>
    <row r="10" spans="2:11" x14ac:dyDescent="0.25">
      <c r="B10" s="312"/>
      <c r="C10" s="121">
        <v>3</v>
      </c>
      <c r="D10" s="21">
        <f>linéarité!J31</f>
        <v>0.27015719999999999</v>
      </c>
      <c r="E10" s="106">
        <f>linéarité!K31</f>
        <v>1.0659074941322229</v>
      </c>
      <c r="F10" s="23">
        <f>IF(linéarité!C$132="étalon 100%",E10/linéarité!G$133,(E10-linéarité!$J$132)/linéarité!$J$131)</f>
        <v>0.27804311161869821</v>
      </c>
      <c r="G10" s="164">
        <f t="shared" si="0"/>
        <v>1.0291900849531244</v>
      </c>
      <c r="H10" s="323"/>
      <c r="I10" s="323"/>
      <c r="J10" s="129"/>
      <c r="K10" s="129"/>
    </row>
    <row r="11" spans="2:11" x14ac:dyDescent="0.25">
      <c r="B11" s="300">
        <v>1</v>
      </c>
      <c r="C11" s="118">
        <v>1</v>
      </c>
      <c r="D11" s="26">
        <f>linéarité!J32</f>
        <v>0.30546756000000003</v>
      </c>
      <c r="E11" s="25">
        <f>linéarité!K32</f>
        <v>1.20224081880025</v>
      </c>
      <c r="F11" s="117">
        <f>IF(linéarité!C$132="étalon 100%",E11/linéarité!G$131,(E11-linéarité!$J$132)/linéarité!$J$131)</f>
        <v>0.30912832189903333</v>
      </c>
      <c r="G11" s="164">
        <f t="shared" si="0"/>
        <v>1.011984126560062</v>
      </c>
      <c r="H11" s="318">
        <f t="shared" ref="H11" si="2">AVERAGE(G11:G13)</f>
        <v>1.017053984985923</v>
      </c>
      <c r="I11" s="318">
        <f t="shared" ref="I11" si="3">VAR(G11:G13)</f>
        <v>2.3652565866526657E-5</v>
      </c>
      <c r="J11" s="129"/>
      <c r="K11" s="129"/>
    </row>
    <row r="12" spans="2:11" x14ac:dyDescent="0.25">
      <c r="B12" s="301"/>
      <c r="C12" s="118">
        <v>2</v>
      </c>
      <c r="D12" s="26">
        <f>linéarité!J33</f>
        <v>0.30546756000000003</v>
      </c>
      <c r="E12" s="25">
        <f>linéarité!K33</f>
        <v>1.188657095130786</v>
      </c>
      <c r="F12" s="117">
        <f>IF(linéarité!C$132="étalon 100%",E12/linéarité!G$132,(E12-linéarité!$J$132)/linéarité!$J$131)</f>
        <v>0.31081240895274725</v>
      </c>
      <c r="G12" s="164">
        <f t="shared" si="0"/>
        <v>1.017497271896064</v>
      </c>
      <c r="H12" s="319"/>
      <c r="I12" s="319"/>
      <c r="J12" s="129"/>
      <c r="K12" s="129"/>
    </row>
    <row r="13" spans="2:11" x14ac:dyDescent="0.25">
      <c r="B13" s="302"/>
      <c r="C13" s="118">
        <v>3</v>
      </c>
      <c r="D13" s="26">
        <f>linéarité!J34</f>
        <v>0.30546756000000003</v>
      </c>
      <c r="E13" s="25">
        <f>linéarité!K34</f>
        <v>1.1964308418870633</v>
      </c>
      <c r="F13" s="117">
        <f>IF(linéarité!C$132="étalon 100%",E13/linéarité!G$133,(E13-linéarité!$J$132)/linéarité!$J$131)</f>
        <v>0.3120902666939992</v>
      </c>
      <c r="G13" s="164">
        <f t="shared" si="0"/>
        <v>1.0216805565016436</v>
      </c>
      <c r="H13" s="320"/>
      <c r="I13" s="320"/>
      <c r="J13" s="129"/>
      <c r="K13" s="129"/>
    </row>
    <row r="14" spans="2:11" x14ac:dyDescent="0.25">
      <c r="B14" s="310">
        <v>1.1000000000000001</v>
      </c>
      <c r="C14" s="121">
        <v>1</v>
      </c>
      <c r="D14" s="21">
        <f>linéarité!J35</f>
        <v>0.33119451000000005</v>
      </c>
      <c r="E14" s="106">
        <f>linéarité!K35</f>
        <v>1.3062505432553109</v>
      </c>
      <c r="F14" s="23">
        <f>IF(linéarité!C$132="étalon 100%",E14/linéarité!G$131,(E14-linéarité!$J$132)/linéarité!$J$131)</f>
        <v>0.33587200842105608</v>
      </c>
      <c r="G14" s="164">
        <f t="shared" si="0"/>
        <v>1.0141231158120829</v>
      </c>
      <c r="H14" s="321">
        <f t="shared" ref="H14" si="4">AVERAGE(G14:G16)</f>
        <v>1.0168620119918224</v>
      </c>
      <c r="I14" s="321">
        <f t="shared" ref="I14" si="5">VAR(G14:G16)</f>
        <v>2.1756766748946717E-5</v>
      </c>
      <c r="J14" s="129"/>
      <c r="K14" s="129"/>
    </row>
    <row r="15" spans="2:11" x14ac:dyDescent="0.25">
      <c r="B15" s="311"/>
      <c r="C15" s="121">
        <v>2</v>
      </c>
      <c r="D15" s="21">
        <f>linéarité!J36</f>
        <v>0.33119451000000005</v>
      </c>
      <c r="E15" s="106">
        <f>linéarité!K36</f>
        <v>1.2947846172069608</v>
      </c>
      <c r="F15" s="23">
        <f>IF(linéarité!C$132="étalon 100%",E15/linéarité!G$132,(E15-linéarité!$J$132)/linéarité!$J$131)</f>
        <v>0.33856284339494641</v>
      </c>
      <c r="G15" s="164">
        <f t="shared" si="0"/>
        <v>1.022247752219523</v>
      </c>
      <c r="H15" s="322"/>
      <c r="I15" s="322"/>
      <c r="J15" s="129"/>
      <c r="K15" s="129"/>
    </row>
    <row r="16" spans="2:11" x14ac:dyDescent="0.25">
      <c r="B16" s="312"/>
      <c r="C16" s="121">
        <v>3</v>
      </c>
      <c r="D16" s="21">
        <f>linéarité!J37</f>
        <v>0.33119451000000005</v>
      </c>
      <c r="E16" s="106">
        <f>linéarité!K37</f>
        <v>1.2877175242855716</v>
      </c>
      <c r="F16" s="23">
        <f>IF(linéarité!C$132="étalon 100%",E16/linéarité!G$133,(E16-linéarité!$J$132)/linéarité!$J$131)</f>
        <v>0.33590249558173474</v>
      </c>
      <c r="G16" s="164">
        <f t="shared" si="0"/>
        <v>1.0142151679438609</v>
      </c>
      <c r="H16" s="323"/>
      <c r="I16" s="323"/>
      <c r="J16" s="129"/>
      <c r="K16" s="129"/>
    </row>
    <row r="17" spans="2:11" x14ac:dyDescent="0.25">
      <c r="B17" s="300">
        <v>1.2</v>
      </c>
      <c r="C17" s="118">
        <v>1</v>
      </c>
      <c r="D17" s="26">
        <f>linéarité!J38</f>
        <v>0.36177615000000002</v>
      </c>
      <c r="E17" s="25">
        <f>linéarité!K38</f>
        <v>1.4303994739715435</v>
      </c>
      <c r="F17" s="117">
        <f>IF(linéarité!C$132="étalon 100%",E17/linéarité!G$131,(E17-linéarité!$J$132)/linéarité!$J$131)</f>
        <v>0.36779402439133962</v>
      </c>
      <c r="G17" s="164">
        <f t="shared" si="0"/>
        <v>1.0166342485300361</v>
      </c>
      <c r="H17" s="318">
        <f t="shared" ref="H17" si="6">AVERAGE(G17:G19)</f>
        <v>1.0214174324620877</v>
      </c>
      <c r="I17" s="318">
        <f t="shared" ref="I17" si="7">VAR(G17:G19)</f>
        <v>2.6941681277647234E-5</v>
      </c>
      <c r="J17" s="129"/>
      <c r="K17" s="129"/>
    </row>
    <row r="18" spans="2:11" x14ac:dyDescent="0.25">
      <c r="B18" s="301"/>
      <c r="C18" s="118">
        <v>2</v>
      </c>
      <c r="D18" s="26">
        <f>linéarité!J39</f>
        <v>0.36177615000000002</v>
      </c>
      <c r="E18" s="25">
        <f>linéarité!K39</f>
        <v>1.4121744065129587</v>
      </c>
      <c r="F18" s="117">
        <f>IF(linéarité!C$132="étalon 100%",E18/linéarité!G$132,(E18-linéarité!$J$132)/linéarité!$J$131)</f>
        <v>0.36925815775441534</v>
      </c>
      <c r="G18" s="164">
        <f t="shared" si="0"/>
        <v>1.0206813184186281</v>
      </c>
      <c r="H18" s="319"/>
      <c r="I18" s="319"/>
      <c r="J18" s="129"/>
      <c r="K18" s="129"/>
    </row>
    <row r="19" spans="2:11" x14ac:dyDescent="0.25">
      <c r="B19" s="302"/>
      <c r="C19" s="118">
        <v>3</v>
      </c>
      <c r="D19" s="117">
        <f>linéarité!J40</f>
        <v>0.36177615000000002</v>
      </c>
      <c r="E19" s="25">
        <f>linéarité!K40</f>
        <v>1.4242656353936263</v>
      </c>
      <c r="F19" s="117">
        <f>IF(linéarité!C$132="étalon 100%",E19/linéarité!G$133,(E19-linéarité!$J$132)/linéarité!$J$131)</f>
        <v>0.37152121663130233</v>
      </c>
      <c r="G19" s="164">
        <f t="shared" si="0"/>
        <v>1.0269367304375987</v>
      </c>
      <c r="H19" s="320"/>
      <c r="I19" s="320"/>
      <c r="J19" s="129"/>
      <c r="K19" s="129"/>
    </row>
    <row r="20" spans="2:11" x14ac:dyDescent="0.25">
      <c r="B20" s="128"/>
      <c r="C20" s="129"/>
      <c r="D20" s="129"/>
      <c r="E20" s="129"/>
      <c r="F20" s="129"/>
      <c r="G20" s="129"/>
      <c r="H20" s="129"/>
      <c r="I20" s="129"/>
      <c r="J20" s="129"/>
      <c r="K20" s="129"/>
    </row>
    <row r="21" spans="2:11" x14ac:dyDescent="0.25">
      <c r="B21" s="131" t="s">
        <v>263</v>
      </c>
      <c r="C21" s="126"/>
      <c r="D21" s="126"/>
      <c r="E21" s="126"/>
      <c r="F21" s="126"/>
      <c r="G21" s="126"/>
      <c r="H21" s="126"/>
      <c r="I21" s="126"/>
      <c r="J21" s="126"/>
      <c r="K21" s="126"/>
    </row>
    <row r="22" spans="2:11" x14ac:dyDescent="0.25">
      <c r="B22" s="128" t="s">
        <v>264</v>
      </c>
      <c r="H22" s="129"/>
      <c r="I22" s="129"/>
      <c r="J22" s="129"/>
      <c r="K22" s="129"/>
    </row>
    <row r="23" spans="2:11" x14ac:dyDescent="0.25">
      <c r="B23" s="27" t="s">
        <v>23</v>
      </c>
      <c r="C23" s="23">
        <f>MAX(I5:I19)/SUM(I5:I19)</f>
        <v>0.90940802373963625</v>
      </c>
      <c r="H23" s="127"/>
      <c r="I23" s="127"/>
      <c r="J23" s="127"/>
      <c r="K23" s="127"/>
    </row>
    <row r="24" spans="2:11" x14ac:dyDescent="0.25">
      <c r="B24" s="27" t="s">
        <v>42</v>
      </c>
      <c r="C24" s="2">
        <f>linéarité!G70</f>
        <v>0.683772233983162</v>
      </c>
    </row>
    <row r="25" spans="2:11" x14ac:dyDescent="0.25">
      <c r="B25" s="27" t="s">
        <v>43</v>
      </c>
      <c r="C25" s="2">
        <f>linéarité!G71</f>
        <v>0.78852574731188707</v>
      </c>
    </row>
    <row r="26" spans="2:11" x14ac:dyDescent="0.25">
      <c r="B26" s="129"/>
      <c r="C26" s="129"/>
      <c r="D26" s="129"/>
      <c r="E26" s="129"/>
      <c r="F26" s="129"/>
      <c r="G26" s="129"/>
      <c r="H26" s="129"/>
      <c r="I26" s="129"/>
      <c r="J26" s="129"/>
      <c r="K26" s="129"/>
    </row>
    <row r="27" spans="2:11" x14ac:dyDescent="0.25">
      <c r="B27" s="128" t="s">
        <v>365</v>
      </c>
      <c r="C27" s="129"/>
      <c r="D27" s="129"/>
      <c r="E27" s="15"/>
      <c r="F27" s="15"/>
      <c r="G27" s="15"/>
      <c r="H27" s="13"/>
      <c r="I27" s="13"/>
      <c r="J27" s="129"/>
      <c r="K27" s="129"/>
    </row>
    <row r="28" spans="2:11" x14ac:dyDescent="0.25">
      <c r="B28" s="27" t="s">
        <v>362</v>
      </c>
      <c r="C28" s="120">
        <f>AVERAGE(H5:H19)</f>
        <v>1.0256371299983247</v>
      </c>
      <c r="D28" s="127"/>
      <c r="E28" s="15"/>
      <c r="F28" s="268"/>
      <c r="G28" s="15"/>
      <c r="H28" s="13"/>
      <c r="I28" s="13"/>
      <c r="J28" s="129"/>
      <c r="K28" s="129"/>
    </row>
    <row r="29" spans="2:11" x14ac:dyDescent="0.25">
      <c r="B29" s="27" t="s">
        <v>363</v>
      </c>
      <c r="C29" s="2">
        <f>STDEV(G5:G19)</f>
        <v>2.3196278726311328E-2</v>
      </c>
      <c r="E29" s="129"/>
      <c r="F29" s="129"/>
      <c r="G29" s="129"/>
      <c r="H29" s="129"/>
      <c r="I29" s="129"/>
      <c r="J29" s="129"/>
      <c r="K29" s="129"/>
    </row>
    <row r="30" spans="2:11" x14ac:dyDescent="0.25">
      <c r="B30" s="27" t="s">
        <v>364</v>
      </c>
      <c r="C30" s="2">
        <f>TINV(0.05,14)</f>
        <v>2.1447866879178044</v>
      </c>
      <c r="E30" s="133"/>
      <c r="F30" s="133"/>
      <c r="G30" s="129"/>
      <c r="H30" s="129"/>
      <c r="I30" s="129"/>
      <c r="J30" s="166"/>
      <c r="K30" s="129"/>
    </row>
    <row r="31" spans="2:11" x14ac:dyDescent="0.25">
      <c r="B31" s="27" t="s">
        <v>223</v>
      </c>
      <c r="C31" s="120">
        <f>C28-C30*C29/SQRT(15)</f>
        <v>1.0127914590066995</v>
      </c>
      <c r="E31" s="167"/>
      <c r="F31" s="133"/>
      <c r="G31" s="155"/>
      <c r="H31" s="129"/>
      <c r="I31" s="129"/>
      <c r="J31" s="166"/>
      <c r="K31" s="129"/>
    </row>
    <row r="32" spans="2:11" x14ac:dyDescent="0.25">
      <c r="B32" s="27" t="s">
        <v>224</v>
      </c>
      <c r="C32" s="165">
        <f>C28+C30*C29/SQRT(15)</f>
        <v>1.0384828009899498</v>
      </c>
      <c r="D32" s="148" t="s">
        <v>267</v>
      </c>
      <c r="E32" s="129"/>
      <c r="F32" s="129"/>
      <c r="G32" s="162"/>
      <c r="H32" s="129"/>
      <c r="I32" s="129"/>
      <c r="J32" s="129"/>
      <c r="K32" s="129"/>
    </row>
    <row r="34" spans="2:12" x14ac:dyDescent="0.25">
      <c r="B34" s="16" t="s">
        <v>266</v>
      </c>
      <c r="C34" s="159"/>
      <c r="D34" s="123"/>
      <c r="E34" s="123"/>
      <c r="F34" s="123"/>
      <c r="G34" s="123"/>
      <c r="H34" s="123"/>
      <c r="I34" s="123"/>
      <c r="J34" s="123"/>
      <c r="K34" s="123"/>
    </row>
    <row r="36" spans="2:12" x14ac:dyDescent="0.25">
      <c r="B36" s="314" t="s">
        <v>27</v>
      </c>
      <c r="C36" s="314"/>
      <c r="D36" s="314"/>
      <c r="E36" s="314"/>
      <c r="F36" s="315" t="s">
        <v>6</v>
      </c>
      <c r="G36" s="316"/>
      <c r="H36" s="316"/>
      <c r="I36" s="316"/>
      <c r="J36" s="316"/>
      <c r="K36" s="317"/>
    </row>
    <row r="37" spans="2:12" x14ac:dyDescent="0.25">
      <c r="B37" s="27" t="s">
        <v>28</v>
      </c>
      <c r="C37" s="27" t="s">
        <v>0</v>
      </c>
      <c r="D37" s="27" t="s">
        <v>255</v>
      </c>
      <c r="E37" s="27" t="s">
        <v>366</v>
      </c>
      <c r="F37" s="27" t="s">
        <v>7</v>
      </c>
      <c r="G37" s="27" t="s">
        <v>8</v>
      </c>
      <c r="H37" s="27" t="s">
        <v>9</v>
      </c>
      <c r="I37" s="27" t="s">
        <v>10</v>
      </c>
      <c r="J37" s="27" t="s">
        <v>24</v>
      </c>
      <c r="K37" s="149" t="s">
        <v>45</v>
      </c>
    </row>
    <row r="38" spans="2:12" x14ac:dyDescent="0.25">
      <c r="B38" s="151" t="s">
        <v>55</v>
      </c>
      <c r="C38" s="122">
        <f>COUNT(G5:G19)</f>
        <v>15</v>
      </c>
      <c r="D38" s="6">
        <f>SUM(G5:G19)^2</f>
        <v>236.68459254702003</v>
      </c>
      <c r="E38" s="6">
        <f>D38/C38</f>
        <v>15.778972836468002</v>
      </c>
      <c r="F38" s="1">
        <f>DEVSQ(G5:G19)</f>
        <v>7.5329428544821274E-3</v>
      </c>
      <c r="G38" s="6">
        <f>C38-1</f>
        <v>14</v>
      </c>
      <c r="H38" s="1">
        <f>F38/G38</f>
        <v>5.3806734674872341E-4</v>
      </c>
      <c r="I38" s="122" t="s">
        <v>16</v>
      </c>
      <c r="J38" s="122" t="s">
        <v>16</v>
      </c>
      <c r="K38" s="150">
        <f>SUM(K39:K40)</f>
        <v>1</v>
      </c>
    </row>
    <row r="39" spans="2:12" x14ac:dyDescent="0.25">
      <c r="B39" s="27" t="s">
        <v>0</v>
      </c>
      <c r="C39" s="122">
        <v>5</v>
      </c>
      <c r="D39" s="6">
        <f>SUM(G5:G7)^2+SUM(G8:G10)^2+SUM(G11:G13)^2+SUM(G14:G16)^2+SUM(G17:G19)^2</f>
        <v>47.347323747146909</v>
      </c>
      <c r="E39" s="6">
        <f>D39*C39/C38</f>
        <v>15.782441249048969</v>
      </c>
      <c r="F39" s="1">
        <f>E39-E38</f>
        <v>3.4684125809665289E-3</v>
      </c>
      <c r="G39" s="6">
        <v>4</v>
      </c>
      <c r="H39" s="1">
        <f>F39/G39</f>
        <v>8.6710314524163223E-4</v>
      </c>
      <c r="I39" s="1">
        <f>H39/H40</f>
        <v>2.1333415841226717</v>
      </c>
      <c r="J39" s="1">
        <f>FINV(0.05,G39,G40)</f>
        <v>3.4780496907652281</v>
      </c>
      <c r="K39" s="150">
        <f>F39/F38</f>
        <v>0.46043261550866688</v>
      </c>
      <c r="L39" s="132" t="str">
        <f>IF(ABS(I39)&lt;J39,"pas d'effet niveau","effet de niveau")</f>
        <v>pas d'effet niveau</v>
      </c>
    </row>
    <row r="40" spans="2:12" x14ac:dyDescent="0.25">
      <c r="B40" s="151" t="s">
        <v>29</v>
      </c>
      <c r="C40" s="122" t="s">
        <v>16</v>
      </c>
      <c r="D40" s="6" t="s">
        <v>16</v>
      </c>
      <c r="E40" s="6" t="s">
        <v>16</v>
      </c>
      <c r="F40" s="1">
        <f>F38-F39</f>
        <v>4.0645302735155984E-3</v>
      </c>
      <c r="G40" s="6">
        <f>G38-G39</f>
        <v>10</v>
      </c>
      <c r="H40" s="1">
        <f>F40/G40</f>
        <v>4.0645302735155985E-4</v>
      </c>
      <c r="I40" s="1" t="s">
        <v>16</v>
      </c>
      <c r="J40" s="122" t="s">
        <v>16</v>
      </c>
      <c r="K40" s="150">
        <f>F40/F38</f>
        <v>0.53956738449133312</v>
      </c>
    </row>
    <row r="41" spans="2:12" x14ac:dyDescent="0.25">
      <c r="B41" s="168" t="s">
        <v>44</v>
      </c>
    </row>
  </sheetData>
  <mergeCells count="17">
    <mergeCell ref="F36:K36"/>
    <mergeCell ref="I5:I7"/>
    <mergeCell ref="I8:I10"/>
    <mergeCell ref="I11:I13"/>
    <mergeCell ref="I14:I16"/>
    <mergeCell ref="I17:I19"/>
    <mergeCell ref="H5:H7"/>
    <mergeCell ref="H8:H10"/>
    <mergeCell ref="H11:H13"/>
    <mergeCell ref="H14:H16"/>
    <mergeCell ref="H17:H19"/>
    <mergeCell ref="B8:B10"/>
    <mergeCell ref="B11:B13"/>
    <mergeCell ref="B14:B16"/>
    <mergeCell ref="B5:B7"/>
    <mergeCell ref="B36:E36"/>
    <mergeCell ref="B17:B19"/>
  </mergeCells>
  <conditionalFormatting sqref="C23">
    <cfRule type="cellIs" dxfId="81" priority="4" operator="greaterThan">
      <formula>$C$25</formula>
    </cfRule>
    <cfRule type="cellIs" dxfId="80" priority="5" operator="lessThan">
      <formula>$C$24</formula>
    </cfRule>
    <cfRule type="cellIs" dxfId="79" priority="6" operator="greaterThan">
      <formula>$C$24</formula>
    </cfRule>
  </conditionalFormatting>
  <conditionalFormatting sqref="C31">
    <cfRule type="cellIs" dxfId="78" priority="11" operator="greaterThan">
      <formula>1</formula>
    </cfRule>
    <cfRule type="cellIs" dxfId="77" priority="12" operator="lessThan">
      <formula>1</formula>
    </cfRule>
  </conditionalFormatting>
  <conditionalFormatting sqref="C32">
    <cfRule type="cellIs" dxfId="76" priority="9" operator="lessThan">
      <formula>1</formula>
    </cfRule>
    <cfRule type="cellIs" dxfId="75" priority="10" operator="greaterThan">
      <formula>1</formula>
    </cfRule>
  </conditionalFormatting>
  <conditionalFormatting sqref="H5:H19">
    <cfRule type="cellIs" dxfId="74" priority="1" operator="between">
      <formula>0.95</formula>
      <formula>1.05</formula>
    </cfRule>
  </conditionalFormatting>
  <conditionalFormatting sqref="I39">
    <cfRule type="cellIs" dxfId="73" priority="2" operator="lessThan">
      <formula>$J$39</formula>
    </cfRule>
    <cfRule type="cellIs" dxfId="72" priority="3" operator="greaterThan">
      <formula>$J$39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B2:I45"/>
  <sheetViews>
    <sheetView showGridLines="0" tabSelected="1" topLeftCell="A10" zoomScale="85" zoomScaleNormal="85" workbookViewId="0">
      <selection activeCell="F43" sqref="F43"/>
    </sheetView>
  </sheetViews>
  <sheetFormatPr baseColWidth="10" defaultColWidth="11.42578125" defaultRowHeight="15" x14ac:dyDescent="0.25"/>
  <cols>
    <col min="1" max="1" width="11.42578125" style="124"/>
    <col min="2" max="2" width="18.5703125" style="124" customWidth="1"/>
    <col min="3" max="4" width="11.42578125" style="124"/>
    <col min="5" max="5" width="10.85546875" style="124" customWidth="1"/>
    <col min="6" max="6" width="11.140625" style="124" customWidth="1"/>
    <col min="7" max="16384" width="11.42578125" style="124"/>
  </cols>
  <sheetData>
    <row r="2" spans="2:9" x14ac:dyDescent="0.25">
      <c r="B2" s="131" t="s">
        <v>268</v>
      </c>
      <c r="C2" s="126"/>
      <c r="D2" s="126"/>
      <c r="E2" s="126"/>
      <c r="F2" s="126"/>
      <c r="G2" s="126"/>
      <c r="H2" s="126"/>
      <c r="I2" s="126"/>
    </row>
    <row r="3" spans="2:9" x14ac:dyDescent="0.25">
      <c r="B3" s="161"/>
      <c r="C3" s="13"/>
      <c r="D3" s="129"/>
      <c r="E3" s="129"/>
      <c r="F3" s="129"/>
      <c r="G3" s="162"/>
      <c r="H3" s="129"/>
      <c r="I3" s="129"/>
    </row>
    <row r="4" spans="2:9" x14ac:dyDescent="0.25">
      <c r="B4" s="76" t="s">
        <v>261</v>
      </c>
      <c r="C4" s="169" t="s">
        <v>17</v>
      </c>
      <c r="D4" s="170" t="s">
        <v>18</v>
      </c>
      <c r="E4" s="170" t="s">
        <v>21</v>
      </c>
      <c r="F4" s="170" t="s">
        <v>5</v>
      </c>
      <c r="G4" s="162"/>
      <c r="H4" s="129"/>
      <c r="I4" s="129"/>
    </row>
    <row r="5" spans="2:9" x14ac:dyDescent="0.25">
      <c r="B5" s="327">
        <v>1</v>
      </c>
      <c r="C5" s="1">
        <f>linéarité!J32</f>
        <v>0.30546756000000003</v>
      </c>
      <c r="D5" s="22">
        <f>linéarité!K32</f>
        <v>1.20224081880025</v>
      </c>
      <c r="E5" s="328">
        <f>VAR(D5:D10)</f>
        <v>2.8668134589587207E-6</v>
      </c>
      <c r="F5" s="324">
        <f>AVERAGE(D5:D10)</f>
        <v>1.1994452582366542</v>
      </c>
      <c r="G5" s="162"/>
      <c r="H5" s="129"/>
      <c r="I5" s="129"/>
    </row>
    <row r="6" spans="2:9" x14ac:dyDescent="0.25">
      <c r="B6" s="327"/>
      <c r="C6" s="1">
        <f t="shared" ref="C6:C22" si="0">C5</f>
        <v>0.30546756000000003</v>
      </c>
      <c r="D6" s="22">
        <f>linéarité!M32</f>
        <v>1.1970534077136805</v>
      </c>
      <c r="E6" s="329"/>
      <c r="F6" s="325"/>
      <c r="G6" s="162"/>
      <c r="H6" s="129"/>
      <c r="I6" s="129"/>
    </row>
    <row r="7" spans="2:9" x14ac:dyDescent="0.25">
      <c r="B7" s="327"/>
      <c r="C7" s="1">
        <f t="shared" si="0"/>
        <v>0.30546756000000003</v>
      </c>
      <c r="D7" s="22">
        <f>linéarité!N32</f>
        <v>1.1997764962729565</v>
      </c>
      <c r="E7" s="329"/>
      <c r="F7" s="325"/>
      <c r="G7" s="162"/>
      <c r="H7" s="129"/>
      <c r="I7" s="129"/>
    </row>
    <row r="8" spans="2:9" x14ac:dyDescent="0.25">
      <c r="B8" s="327"/>
      <c r="C8" s="1">
        <f t="shared" si="0"/>
        <v>0.30546756000000003</v>
      </c>
      <c r="D8" s="22">
        <f>linéarité!O32</f>
        <v>1.1995980217824478</v>
      </c>
      <c r="E8" s="329"/>
      <c r="F8" s="325"/>
      <c r="G8" s="162"/>
      <c r="H8" s="129"/>
      <c r="I8" s="129"/>
    </row>
    <row r="9" spans="2:9" x14ac:dyDescent="0.25">
      <c r="B9" s="327"/>
      <c r="C9" s="1">
        <f t="shared" si="0"/>
        <v>0.30546756000000003</v>
      </c>
      <c r="D9" s="22">
        <f>linéarité!P32</f>
        <v>1.1993694297378963</v>
      </c>
      <c r="E9" s="329"/>
      <c r="F9" s="325"/>
      <c r="G9" s="162"/>
      <c r="H9" s="129"/>
      <c r="I9" s="129"/>
    </row>
    <row r="10" spans="2:9" x14ac:dyDescent="0.25">
      <c r="B10" s="327"/>
      <c r="C10" s="1">
        <f t="shared" si="0"/>
        <v>0.30546756000000003</v>
      </c>
      <c r="D10" s="22">
        <f>linéarité!Q32</f>
        <v>1.1986333751126941</v>
      </c>
      <c r="E10" s="330"/>
      <c r="F10" s="326"/>
      <c r="G10" s="162"/>
      <c r="H10" s="129"/>
      <c r="I10" s="129"/>
    </row>
    <row r="11" spans="2:9" x14ac:dyDescent="0.25">
      <c r="B11" s="327">
        <v>2</v>
      </c>
      <c r="C11" s="1">
        <f t="shared" si="0"/>
        <v>0.30546756000000003</v>
      </c>
      <c r="D11" s="22">
        <f>linéarité!K33</f>
        <v>1.188657095130786</v>
      </c>
      <c r="E11" s="328">
        <f t="shared" ref="E11" si="1">VAR(D11:D16)</f>
        <v>2.0528438022374478E-6</v>
      </c>
      <c r="F11" s="324">
        <f t="shared" ref="F11" si="2">AVERAGE(D11:D16)</f>
        <v>1.1889151353095035</v>
      </c>
      <c r="G11" s="162"/>
      <c r="H11" s="129"/>
      <c r="I11" s="129"/>
    </row>
    <row r="12" spans="2:9" x14ac:dyDescent="0.25">
      <c r="B12" s="327"/>
      <c r="C12" s="1">
        <f t="shared" si="0"/>
        <v>0.30546756000000003</v>
      </c>
      <c r="D12" s="22">
        <f>linéarité!M33</f>
        <v>1.1899264672773235</v>
      </c>
      <c r="E12" s="329"/>
      <c r="F12" s="325"/>
      <c r="G12" s="162"/>
      <c r="H12" s="129"/>
      <c r="I12" s="129"/>
    </row>
    <row r="13" spans="2:9" x14ac:dyDescent="0.25">
      <c r="B13" s="327"/>
      <c r="C13" s="1">
        <f t="shared" si="0"/>
        <v>0.30546756000000003</v>
      </c>
      <c r="D13" s="22">
        <f>linéarité!N33</f>
        <v>1.1876313486428571</v>
      </c>
      <c r="E13" s="329"/>
      <c r="F13" s="325"/>
      <c r="G13" s="162"/>
      <c r="H13" s="129"/>
      <c r="I13" s="129"/>
    </row>
    <row r="14" spans="2:9" x14ac:dyDescent="0.25">
      <c r="B14" s="327"/>
      <c r="C14" s="1">
        <f t="shared" si="0"/>
        <v>0.30546756000000003</v>
      </c>
      <c r="D14" s="22">
        <f>linéarité!O33</f>
        <v>1.1909556507037715</v>
      </c>
      <c r="E14" s="329"/>
      <c r="F14" s="325"/>
      <c r="G14" s="162"/>
      <c r="H14" s="129"/>
      <c r="I14" s="129"/>
    </row>
    <row r="15" spans="2:9" x14ac:dyDescent="0.25">
      <c r="B15" s="327"/>
      <c r="C15" s="1">
        <f t="shared" si="0"/>
        <v>0.30546756000000003</v>
      </c>
      <c r="D15" s="22">
        <f>linéarité!P33</f>
        <v>1.1871058599829418</v>
      </c>
      <c r="E15" s="329"/>
      <c r="F15" s="325"/>
    </row>
    <row r="16" spans="2:9" x14ac:dyDescent="0.25">
      <c r="B16" s="327"/>
      <c r="C16" s="1">
        <f t="shared" si="0"/>
        <v>0.30546756000000003</v>
      </c>
      <c r="D16" s="22">
        <f>linéarité!Q33</f>
        <v>1.1892143901193417</v>
      </c>
      <c r="E16" s="330"/>
      <c r="F16" s="326"/>
    </row>
    <row r="17" spans="2:9" x14ac:dyDescent="0.25">
      <c r="B17" s="327">
        <v>3</v>
      </c>
      <c r="C17" s="125">
        <f t="shared" si="0"/>
        <v>0.30546756000000003</v>
      </c>
      <c r="D17" s="269">
        <f>linéarité!K34</f>
        <v>1.1964308418870633</v>
      </c>
      <c r="E17" s="328">
        <f>VAR(D17:D22)</f>
        <v>7.9494834993071552E-7</v>
      </c>
      <c r="F17" s="324">
        <f>AVERAGE(D17:D22)</f>
        <v>1.1959829841661294</v>
      </c>
    </row>
    <row r="18" spans="2:9" x14ac:dyDescent="0.25">
      <c r="B18" s="327"/>
      <c r="C18" s="125">
        <f t="shared" si="0"/>
        <v>0.30546756000000003</v>
      </c>
      <c r="D18" s="269">
        <f>linéarité!M34</f>
        <v>1.1962933800393694</v>
      </c>
      <c r="E18" s="329"/>
      <c r="F18" s="325"/>
    </row>
    <row r="19" spans="2:9" x14ac:dyDescent="0.25">
      <c r="B19" s="327"/>
      <c r="C19" s="125">
        <f t="shared" si="0"/>
        <v>0.30546756000000003</v>
      </c>
      <c r="D19" s="269">
        <f>linéarité!N34</f>
        <v>1.1969670454366945</v>
      </c>
      <c r="E19" s="329"/>
      <c r="F19" s="325"/>
    </row>
    <row r="20" spans="2:9" x14ac:dyDescent="0.25">
      <c r="B20" s="327"/>
      <c r="C20" s="125">
        <f t="shared" si="0"/>
        <v>0.30546756000000003</v>
      </c>
      <c r="D20" s="269">
        <f>linéarité!O34</f>
        <v>1.1960600689517484</v>
      </c>
      <c r="E20" s="329"/>
      <c r="F20" s="325"/>
    </row>
    <row r="21" spans="2:9" x14ac:dyDescent="0.25">
      <c r="B21" s="327"/>
      <c r="C21" s="125">
        <f t="shared" si="0"/>
        <v>0.30546756000000003</v>
      </c>
      <c r="D21" s="269">
        <f>linéarité!P34</f>
        <v>1.1957972986436629</v>
      </c>
      <c r="E21" s="329"/>
      <c r="F21" s="325"/>
    </row>
    <row r="22" spans="2:9" x14ac:dyDescent="0.25">
      <c r="B22" s="327"/>
      <c r="C22" s="125">
        <f t="shared" si="0"/>
        <v>0.30546756000000003</v>
      </c>
      <c r="D22" s="269">
        <f>linéarité!Q34</f>
        <v>1.194349270038237</v>
      </c>
      <c r="E22" s="330"/>
      <c r="F22" s="326"/>
    </row>
    <row r="24" spans="2:9" x14ac:dyDescent="0.25">
      <c r="B24" s="131" t="s">
        <v>269</v>
      </c>
      <c r="C24" s="126"/>
      <c r="D24" s="126"/>
      <c r="E24" s="126"/>
      <c r="F24" s="126"/>
      <c r="G24" s="126"/>
      <c r="H24" s="126"/>
      <c r="I24" s="126"/>
    </row>
    <row r="26" spans="2:9" x14ac:dyDescent="0.25">
      <c r="B26" s="128" t="s">
        <v>264</v>
      </c>
    </row>
    <row r="27" spans="2:9" x14ac:dyDescent="0.25">
      <c r="B27" s="27" t="s">
        <v>23</v>
      </c>
      <c r="C27" s="23">
        <f>MAX(E5:E22)/SUM(E5:E22)</f>
        <v>0.50166427117503265</v>
      </c>
    </row>
    <row r="28" spans="2:9" x14ac:dyDescent="0.25">
      <c r="B28" s="27" t="s">
        <v>42</v>
      </c>
      <c r="C28" s="2">
        <f>1/((1+(COUNT(B5:B22)-1)/FINV(0.05/COUNT(B5:B22),COUNT(C5:C10)-1,(COUNT(B5:B22)-1)*(COUNT(C5:C10)-1))))</f>
        <v>0.70698868599840059</v>
      </c>
    </row>
    <row r="29" spans="2:9" x14ac:dyDescent="0.25">
      <c r="B29" s="27" t="s">
        <v>43</v>
      </c>
      <c r="C29" s="2">
        <f>1/((1+(COUNT(B5:B22)-1)/FINV(0.01/COUNT(B5:B22),COUNT(C5:C10)-1,(COUNT(B5:B22)-1)*(COUNT(C5:C10)-1))))</f>
        <v>0.79331907188923612</v>
      </c>
    </row>
    <row r="30" spans="2:9" x14ac:dyDescent="0.25">
      <c r="B30" s="155" t="s">
        <v>270</v>
      </c>
    </row>
    <row r="31" spans="2:9" x14ac:dyDescent="0.25">
      <c r="B31" s="155"/>
    </row>
    <row r="32" spans="2:9" x14ac:dyDescent="0.25">
      <c r="B32" s="16" t="s">
        <v>271</v>
      </c>
      <c r="C32" s="159"/>
      <c r="D32" s="123"/>
      <c r="E32" s="123"/>
      <c r="F32" s="123"/>
      <c r="G32" s="123"/>
      <c r="H32" s="123"/>
      <c r="I32" s="123"/>
    </row>
    <row r="34" spans="2:9" x14ac:dyDescent="0.25">
      <c r="C34" s="27" t="s">
        <v>21</v>
      </c>
      <c r="D34" s="27" t="s">
        <v>369</v>
      </c>
    </row>
    <row r="35" spans="2:9" x14ac:dyDescent="0.25">
      <c r="B35" s="151" t="s">
        <v>367</v>
      </c>
      <c r="C35" s="281">
        <f>AVERAGE(E5:E22)</f>
        <v>1.9048685370422948E-6</v>
      </c>
      <c r="D35" s="120">
        <f>SQRT(C35)/AVERAGE(F5:F22)</f>
        <v>1.1551653432032515E-3</v>
      </c>
    </row>
    <row r="36" spans="2:9" x14ac:dyDescent="0.25">
      <c r="B36" s="151" t="s">
        <v>273</v>
      </c>
      <c r="C36" s="281">
        <f>IF(VAR(F5:F22)-C35/6&lt;0,0,VAR(F5:F22)-C35/6)</f>
        <v>2.8486741587232626E-5</v>
      </c>
      <c r="D36" s="171" t="s">
        <v>46</v>
      </c>
    </row>
    <row r="37" spans="2:9" x14ac:dyDescent="0.25">
      <c r="B37" s="151" t="s">
        <v>368</v>
      </c>
      <c r="C37" s="281">
        <f>C36+C35</f>
        <v>3.0391610124274922E-5</v>
      </c>
      <c r="D37" s="120">
        <f>SQRT(C37)/AVERAGE(F5:F22)</f>
        <v>4.6141159220402213E-3</v>
      </c>
    </row>
    <row r="39" spans="2:9" x14ac:dyDescent="0.25">
      <c r="B39" s="16" t="s">
        <v>266</v>
      </c>
      <c r="C39" s="159"/>
      <c r="D39" s="123"/>
      <c r="E39" s="123"/>
      <c r="F39" s="123"/>
      <c r="G39" s="123"/>
      <c r="H39" s="123"/>
      <c r="I39" s="123"/>
    </row>
    <row r="41" spans="2:9" x14ac:dyDescent="0.25">
      <c r="D41" s="155" t="s">
        <v>222</v>
      </c>
    </row>
    <row r="42" spans="2:9" x14ac:dyDescent="0.25">
      <c r="B42" s="27" t="s">
        <v>49</v>
      </c>
      <c r="E42" s="172">
        <v>0.95</v>
      </c>
      <c r="F42" s="172">
        <v>0.99</v>
      </c>
    </row>
    <row r="43" spans="2:9" x14ac:dyDescent="0.25">
      <c r="B43" s="120">
        <f>D35*SQRT(CHIINV(0.05,17)/17)</f>
        <v>1.4715424891646378E-3</v>
      </c>
      <c r="D43" s="151" t="s">
        <v>220</v>
      </c>
      <c r="E43" s="2">
        <f>2.8*SQRT(C35)</f>
        <v>3.8644752982017611E-3</v>
      </c>
      <c r="F43" s="2">
        <f>4.2*SQRT(C35)</f>
        <v>5.7967129473026425E-3</v>
      </c>
    </row>
    <row r="44" spans="2:9" x14ac:dyDescent="0.25">
      <c r="B44" s="120">
        <f>D37*SQRT(CHIINV(0.05,17)/17)</f>
        <v>5.8778318352116429E-3</v>
      </c>
      <c r="D44" s="151" t="s">
        <v>221</v>
      </c>
      <c r="E44" s="2">
        <f>2.8*SQRT(C37)</f>
        <v>1.5436004125884244E-2</v>
      </c>
      <c r="F44" s="2">
        <f>4.2*SQRT(C37)</f>
        <v>2.3154006188826369E-2</v>
      </c>
    </row>
    <row r="45" spans="2:9" x14ac:dyDescent="0.25">
      <c r="B45" s="155" t="s">
        <v>50</v>
      </c>
    </row>
  </sheetData>
  <mergeCells count="9">
    <mergeCell ref="F5:F10"/>
    <mergeCell ref="F11:F16"/>
    <mergeCell ref="F17:F22"/>
    <mergeCell ref="B5:B10"/>
    <mergeCell ref="B11:B16"/>
    <mergeCell ref="B17:B22"/>
    <mergeCell ref="E5:E10"/>
    <mergeCell ref="E11:E16"/>
    <mergeCell ref="E17:E22"/>
  </mergeCells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ellIs" priority="1" operator="lessThan" id="{AF2DA085-DA9B-4A37-B532-0814B052C57E}">
            <xm:f>justesse!$C$24</xm:f>
            <x14:dxf>
              <font>
                <color rgb="FF006100"/>
              </font>
              <fill>
                <patternFill>
                  <bgColor rgb="FFC6EFCE"/>
                </patternFill>
              </fill>
            </x14:dxf>
          </x14:cfRule>
          <x14:cfRule type="cellIs" priority="2" operator="greaterThan" id="{87AAF4B5-2086-47DF-8A48-A07B11C525E5}">
            <xm:f>justesse!$C$24</xm:f>
            <x14:dxf>
              <font>
                <color rgb="FF9C6500"/>
              </font>
              <fill>
                <patternFill>
                  <bgColor rgb="FFFFEB9C"/>
                </patternFill>
              </fill>
            </x14:dxf>
          </x14:cfRule>
          <x14:cfRule type="cellIs" priority="3" operator="greaterThan" id="{FA177EF1-D300-4189-BC28-5D2F7AA5CF0F}">
            <xm:f>justesse!$C$25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C27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2:AB129"/>
  <sheetViews>
    <sheetView showGridLines="0" topLeftCell="A78" zoomScale="70" zoomScaleNormal="70" workbookViewId="0">
      <selection activeCell="M39" sqref="M39"/>
    </sheetView>
  </sheetViews>
  <sheetFormatPr baseColWidth="10" defaultColWidth="11.42578125" defaultRowHeight="15" x14ac:dyDescent="0.25"/>
  <cols>
    <col min="1" max="1" width="11.42578125" style="173"/>
    <col min="2" max="2" width="14.42578125" style="173" customWidth="1"/>
    <col min="3" max="3" width="13.7109375" style="173" customWidth="1"/>
    <col min="4" max="4" width="13.85546875" style="173" customWidth="1"/>
    <col min="5" max="9" width="13.7109375" style="173" customWidth="1"/>
    <col min="10" max="15" width="11.42578125" style="173" customWidth="1"/>
    <col min="16" max="16" width="11.140625" style="173" customWidth="1"/>
    <col min="17" max="17" width="11.42578125" style="173" customWidth="1"/>
    <col min="18" max="18" width="12.42578125" style="173" bestFit="1" customWidth="1"/>
    <col min="19" max="19" width="12.28515625" style="173" bestFit="1" customWidth="1"/>
    <col min="20" max="20" width="13" style="173" bestFit="1" customWidth="1"/>
    <col min="21" max="16384" width="11.42578125" style="173"/>
  </cols>
  <sheetData>
    <row r="2" spans="1:20" x14ac:dyDescent="0.25">
      <c r="B2" s="17" t="s">
        <v>51</v>
      </c>
      <c r="C2" s="159"/>
      <c r="D2" s="123"/>
      <c r="E2" s="123"/>
      <c r="F2" s="123"/>
      <c r="G2" s="123"/>
      <c r="H2" s="123"/>
      <c r="I2" s="123"/>
      <c r="J2" s="123"/>
      <c r="K2" s="123"/>
      <c r="L2" s="123"/>
      <c r="M2" s="123"/>
      <c r="N2" s="123"/>
      <c r="O2" s="123"/>
      <c r="P2" s="123"/>
      <c r="Q2" s="123"/>
      <c r="R2" s="123"/>
      <c r="S2" s="123"/>
      <c r="T2" s="123"/>
    </row>
    <row r="3" spans="1:20" x14ac:dyDescent="0.25">
      <c r="B3" s="338" t="s">
        <v>274</v>
      </c>
      <c r="C3" s="338"/>
      <c r="D3" s="338"/>
      <c r="E3" s="338"/>
      <c r="F3" s="338"/>
      <c r="G3" s="338"/>
      <c r="H3" s="338"/>
      <c r="I3" s="338"/>
      <c r="J3" s="338"/>
      <c r="K3" s="338"/>
      <c r="L3" s="338"/>
      <c r="M3" s="338"/>
      <c r="N3" s="338"/>
      <c r="O3" s="338"/>
      <c r="P3" s="338"/>
      <c r="Q3" s="338"/>
      <c r="R3" s="338"/>
      <c r="S3" s="338"/>
      <c r="T3" s="338"/>
    </row>
    <row r="4" spans="1:20" x14ac:dyDescent="0.25">
      <c r="A4" s="174"/>
      <c r="B4" s="175" t="s">
        <v>275</v>
      </c>
      <c r="C4" s="176"/>
      <c r="D4" s="174"/>
      <c r="E4" s="174"/>
      <c r="F4" s="174"/>
      <c r="G4" s="174"/>
      <c r="H4" s="174"/>
      <c r="I4" s="174"/>
      <c r="J4" s="174"/>
      <c r="K4" s="177"/>
    </row>
    <row r="5" spans="1:20" x14ac:dyDescent="0.25">
      <c r="A5" s="174"/>
      <c r="B5" s="175"/>
      <c r="C5" s="176"/>
      <c r="D5" s="174"/>
      <c r="E5" s="174"/>
      <c r="F5" s="174"/>
      <c r="G5" s="174"/>
      <c r="H5" s="174"/>
      <c r="I5" s="174"/>
      <c r="J5" s="174"/>
      <c r="K5" s="177"/>
    </row>
    <row r="6" spans="1:20" x14ac:dyDescent="0.25">
      <c r="A6" s="174"/>
      <c r="B6" s="16" t="s">
        <v>276</v>
      </c>
      <c r="C6" s="159"/>
      <c r="D6" s="123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</row>
    <row r="7" spans="1:20" x14ac:dyDescent="0.25">
      <c r="A7" s="174"/>
      <c r="K7" s="177"/>
      <c r="L7" s="178"/>
      <c r="M7" s="178"/>
      <c r="N7" s="178"/>
    </row>
    <row r="8" spans="1:20" x14ac:dyDescent="0.25">
      <c r="A8" s="174"/>
      <c r="B8" s="179" t="s">
        <v>277</v>
      </c>
      <c r="C8" s="174"/>
      <c r="D8" s="174"/>
      <c r="E8" s="174"/>
      <c r="F8" s="174"/>
      <c r="G8" s="174"/>
      <c r="H8" s="174"/>
      <c r="I8" s="174"/>
      <c r="K8" s="180"/>
      <c r="L8" s="24"/>
      <c r="M8" s="181"/>
      <c r="N8" s="181"/>
      <c r="O8" s="182"/>
      <c r="P8" s="182"/>
    </row>
    <row r="9" spans="1:20" x14ac:dyDescent="0.25">
      <c r="A9" s="174"/>
      <c r="C9" s="340" t="s">
        <v>279</v>
      </c>
      <c r="D9" s="340"/>
      <c r="E9" s="340"/>
      <c r="F9" s="340"/>
      <c r="G9" s="340" t="s">
        <v>278</v>
      </c>
      <c r="H9" s="340"/>
      <c r="I9" s="340"/>
      <c r="K9" s="24"/>
      <c r="L9" s="181"/>
      <c r="M9" s="181"/>
      <c r="N9" s="181"/>
      <c r="O9" s="182"/>
      <c r="P9" s="182"/>
    </row>
    <row r="10" spans="1:20" x14ac:dyDescent="0.25">
      <c r="A10" s="174"/>
      <c r="B10" s="183" t="s">
        <v>280</v>
      </c>
      <c r="C10" s="184" t="s">
        <v>339</v>
      </c>
      <c r="D10" s="184" t="s">
        <v>340</v>
      </c>
      <c r="E10" s="184" t="s">
        <v>341</v>
      </c>
      <c r="F10" s="184" t="s">
        <v>342</v>
      </c>
      <c r="G10" s="184" t="s">
        <v>343</v>
      </c>
      <c r="H10" s="184" t="s">
        <v>344</v>
      </c>
      <c r="I10" s="184" t="s">
        <v>345</v>
      </c>
      <c r="K10" s="24"/>
      <c r="L10" s="181"/>
      <c r="M10" s="181"/>
      <c r="N10" s="181"/>
      <c r="O10" s="182"/>
      <c r="P10" s="182"/>
    </row>
    <row r="11" spans="1:20" x14ac:dyDescent="0.25">
      <c r="A11" s="174"/>
      <c r="B11" s="183" t="s">
        <v>281</v>
      </c>
      <c r="C11" s="52">
        <v>1</v>
      </c>
      <c r="D11" s="185">
        <v>7</v>
      </c>
      <c r="E11" s="185">
        <v>10</v>
      </c>
      <c r="F11" s="185">
        <v>30</v>
      </c>
      <c r="G11" s="185">
        <v>1</v>
      </c>
      <c r="H11" s="185">
        <v>20</v>
      </c>
      <c r="I11" s="185" t="s">
        <v>85</v>
      </c>
      <c r="K11" s="24"/>
      <c r="L11" s="181"/>
      <c r="M11" s="181"/>
      <c r="N11" s="181"/>
      <c r="O11" s="182"/>
      <c r="P11" s="182"/>
    </row>
    <row r="12" spans="1:20" x14ac:dyDescent="0.25">
      <c r="A12" s="174"/>
      <c r="B12" s="183" t="s">
        <v>282</v>
      </c>
      <c r="C12" s="52">
        <v>0.9</v>
      </c>
      <c r="D12" s="185">
        <v>6</v>
      </c>
      <c r="E12" s="185">
        <v>9</v>
      </c>
      <c r="F12" s="185">
        <v>29</v>
      </c>
      <c r="G12" s="185">
        <v>1</v>
      </c>
      <c r="H12" s="185">
        <v>16</v>
      </c>
      <c r="I12" s="185" t="s">
        <v>86</v>
      </c>
      <c r="J12" s="181"/>
      <c r="K12" s="24"/>
      <c r="L12" s="181"/>
      <c r="M12" s="181"/>
      <c r="N12" s="181"/>
      <c r="O12" s="182"/>
      <c r="P12" s="182"/>
    </row>
    <row r="13" spans="1:20" x14ac:dyDescent="0.25">
      <c r="A13" s="174"/>
      <c r="B13" s="183" t="s">
        <v>283</v>
      </c>
      <c r="C13" s="52">
        <v>1.1000000000000001</v>
      </c>
      <c r="D13" s="185">
        <v>8</v>
      </c>
      <c r="E13" s="185">
        <v>11</v>
      </c>
      <c r="F13" s="185">
        <v>31</v>
      </c>
      <c r="G13" s="185">
        <v>2</v>
      </c>
      <c r="H13" s="185">
        <v>24</v>
      </c>
      <c r="I13" s="185" t="s">
        <v>85</v>
      </c>
      <c r="J13" s="181"/>
      <c r="K13" s="182"/>
      <c r="L13" s="24"/>
      <c r="M13" s="24"/>
      <c r="N13" s="24"/>
      <c r="O13" s="182"/>
      <c r="P13" s="182"/>
    </row>
    <row r="14" spans="1:20" x14ac:dyDescent="0.25">
      <c r="A14" s="174"/>
      <c r="F14" s="181"/>
      <c r="G14" s="181"/>
      <c r="H14" s="181"/>
      <c r="I14" s="181"/>
      <c r="J14" s="181"/>
      <c r="K14" s="174"/>
      <c r="L14" s="178"/>
      <c r="M14" s="178"/>
      <c r="N14" s="178"/>
    </row>
    <row r="15" spans="1:20" x14ac:dyDescent="0.25">
      <c r="A15" s="174"/>
      <c r="B15" s="16" t="s">
        <v>284</v>
      </c>
      <c r="C15" s="159"/>
      <c r="D15" s="123"/>
      <c r="E15" s="123"/>
      <c r="F15" s="123"/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</row>
    <row r="16" spans="1:20" x14ac:dyDescent="0.25">
      <c r="A16" s="174"/>
      <c r="B16" s="186" t="s">
        <v>285</v>
      </c>
      <c r="F16" s="181"/>
      <c r="G16" s="181"/>
      <c r="H16" s="181"/>
      <c r="I16" s="181"/>
      <c r="J16" s="181"/>
      <c r="K16" s="174"/>
    </row>
    <row r="17" spans="1:28" x14ac:dyDescent="0.25">
      <c r="A17" s="174"/>
      <c r="B17" s="186" t="s">
        <v>286</v>
      </c>
      <c r="S17" s="187"/>
    </row>
    <row r="18" spans="1:28" x14ac:dyDescent="0.25">
      <c r="A18" s="174"/>
      <c r="B18" s="186"/>
      <c r="L18" s="182"/>
      <c r="M18" s="188"/>
      <c r="N18" s="182"/>
      <c r="O18" s="182"/>
      <c r="P18" s="182"/>
      <c r="Q18" s="182"/>
      <c r="S18" s="187"/>
      <c r="T18" s="182"/>
      <c r="U18" s="182"/>
      <c r="V18" s="188"/>
    </row>
    <row r="19" spans="1:28" x14ac:dyDescent="0.25">
      <c r="A19" s="174"/>
      <c r="B19" s="186"/>
      <c r="T19" s="189"/>
      <c r="U19" s="189"/>
      <c r="V19" s="189"/>
      <c r="W19" s="190"/>
      <c r="X19" s="190"/>
      <c r="Y19" s="190"/>
      <c r="Z19" s="190"/>
      <c r="AA19" s="190"/>
    </row>
    <row r="20" spans="1:28" ht="14.45" customHeight="1" x14ac:dyDescent="0.25">
      <c r="B20" s="174"/>
      <c r="C20" s="331" t="s">
        <v>287</v>
      </c>
      <c r="D20" s="332"/>
      <c r="E20" s="332"/>
      <c r="F20" s="332"/>
      <c r="G20" s="332"/>
      <c r="H20" s="332"/>
      <c r="I20" s="333"/>
      <c r="J20" s="336" t="s">
        <v>289</v>
      </c>
      <c r="K20" s="337"/>
      <c r="L20" s="278"/>
      <c r="M20" s="278"/>
      <c r="N20" s="278"/>
      <c r="O20" s="278"/>
      <c r="P20" s="278"/>
      <c r="Q20" s="278"/>
      <c r="R20" s="278"/>
      <c r="S20" s="278"/>
      <c r="T20" s="189"/>
      <c r="U20" s="189"/>
      <c r="V20" s="189"/>
      <c r="W20" s="190"/>
      <c r="X20" s="190"/>
      <c r="Y20" s="190"/>
      <c r="Z20" s="190"/>
      <c r="AA20" s="190"/>
      <c r="AB20" s="191"/>
    </row>
    <row r="21" spans="1:28" ht="14.45" customHeight="1" x14ac:dyDescent="0.25">
      <c r="B21" s="75" t="s">
        <v>288</v>
      </c>
      <c r="C21" s="192" t="str">
        <f t="shared" ref="C21:F22" si="0">C10</f>
        <v>débit</v>
      </c>
      <c r="D21" s="192" t="str">
        <f t="shared" si="0"/>
        <v>pH</v>
      </c>
      <c r="E21" s="192" t="str">
        <f t="shared" si="0"/>
        <v>volume</v>
      </c>
      <c r="F21" s="192" t="str">
        <f t="shared" si="0"/>
        <v>T°C</v>
      </c>
      <c r="G21" s="192" t="str">
        <f>IF(G10="","NA",G10)</f>
        <v>colonne</v>
      </c>
      <c r="H21" s="192" t="str">
        <f>IF(H10="","NA",H10)</f>
        <v>gaz</v>
      </c>
      <c r="I21" s="192" t="str">
        <f>IF(I10="","NA",I10)</f>
        <v>éthanol</v>
      </c>
      <c r="J21" s="334" t="s">
        <v>201</v>
      </c>
      <c r="K21" s="335"/>
      <c r="L21" s="272"/>
      <c r="M21" s="273"/>
      <c r="N21" s="274"/>
      <c r="O21" s="275"/>
      <c r="P21" s="276"/>
      <c r="Q21" s="277"/>
      <c r="R21" s="274"/>
      <c r="S21" s="275"/>
      <c r="T21" s="188"/>
      <c r="U21" s="188"/>
      <c r="V21" s="188"/>
      <c r="W21" s="193"/>
      <c r="X21" s="193"/>
      <c r="Y21" s="193"/>
      <c r="Z21" s="193"/>
      <c r="AA21" s="193"/>
      <c r="AB21" s="194"/>
    </row>
    <row r="22" spans="1:28" x14ac:dyDescent="0.25">
      <c r="B22" s="195" t="s">
        <v>90</v>
      </c>
      <c r="C22" s="195">
        <f t="shared" si="0"/>
        <v>1</v>
      </c>
      <c r="D22" s="195">
        <f t="shared" si="0"/>
        <v>7</v>
      </c>
      <c r="E22" s="195">
        <f t="shared" si="0"/>
        <v>10</v>
      </c>
      <c r="F22" s="195">
        <f t="shared" si="0"/>
        <v>30</v>
      </c>
      <c r="G22" s="195">
        <f>G11</f>
        <v>1</v>
      </c>
      <c r="H22" s="195">
        <f>H11</f>
        <v>20</v>
      </c>
      <c r="I22" s="195" t="str">
        <f>I11</f>
        <v>oui</v>
      </c>
      <c r="J22" s="196"/>
      <c r="K22" s="99">
        <v>469</v>
      </c>
      <c r="L22" s="196"/>
      <c r="M22" s="99"/>
      <c r="N22" s="196"/>
      <c r="O22" s="99"/>
      <c r="P22" s="197"/>
      <c r="Q22" s="52"/>
      <c r="R22" s="197"/>
      <c r="S22" s="99"/>
      <c r="T22" s="198"/>
      <c r="U22" s="199" t="str">
        <f t="shared" ref="U22:AA22" si="1">C10</f>
        <v>débit</v>
      </c>
      <c r="V22" s="199" t="str">
        <f t="shared" si="1"/>
        <v>pH</v>
      </c>
      <c r="W22" s="199" t="str">
        <f t="shared" si="1"/>
        <v>volume</v>
      </c>
      <c r="X22" s="199" t="str">
        <f t="shared" si="1"/>
        <v>T°C</v>
      </c>
      <c r="Y22" s="199" t="str">
        <f t="shared" si="1"/>
        <v>colonne</v>
      </c>
      <c r="Z22" s="199" t="str">
        <f t="shared" si="1"/>
        <v>gaz</v>
      </c>
      <c r="AA22" s="199" t="str">
        <f t="shared" si="1"/>
        <v>éthanol</v>
      </c>
      <c r="AB22" s="200"/>
    </row>
    <row r="23" spans="1:28" x14ac:dyDescent="0.25">
      <c r="B23" s="192">
        <v>1</v>
      </c>
      <c r="C23" s="201">
        <f>C13</f>
        <v>1.1000000000000001</v>
      </c>
      <c r="D23" s="201">
        <f>D13</f>
        <v>8</v>
      </c>
      <c r="E23" s="201">
        <f>E13</f>
        <v>11</v>
      </c>
      <c r="F23" s="201">
        <f>F12</f>
        <v>29</v>
      </c>
      <c r="G23" s="201">
        <f>G13</f>
        <v>2</v>
      </c>
      <c r="H23" s="201">
        <f>H12</f>
        <v>16</v>
      </c>
      <c r="I23" s="201" t="str">
        <f>I12</f>
        <v>non</v>
      </c>
      <c r="J23" s="99">
        <v>479</v>
      </c>
      <c r="K23" s="202"/>
      <c r="L23" s="99"/>
      <c r="M23" s="202"/>
      <c r="N23" s="99"/>
      <c r="O23" s="202"/>
      <c r="P23" s="52"/>
      <c r="Q23" s="203"/>
      <c r="R23" s="204"/>
      <c r="S23" s="202"/>
      <c r="T23" s="198">
        <v>1</v>
      </c>
      <c r="U23" s="199">
        <v>1</v>
      </c>
      <c r="V23" s="199">
        <v>1</v>
      </c>
      <c r="W23" s="199">
        <v>1</v>
      </c>
      <c r="X23" s="199">
        <v>-1</v>
      </c>
      <c r="Y23" s="199">
        <v>1</v>
      </c>
      <c r="Z23" s="199">
        <v>-1</v>
      </c>
      <c r="AA23" s="199">
        <v>-1</v>
      </c>
      <c r="AB23" s="200"/>
    </row>
    <row r="24" spans="1:28" x14ac:dyDescent="0.25">
      <c r="B24" s="192">
        <v>2</v>
      </c>
      <c r="C24" s="205">
        <f>C12</f>
        <v>0.9</v>
      </c>
      <c r="D24" s="205">
        <f>D13</f>
        <v>8</v>
      </c>
      <c r="E24" s="205">
        <f>E13</f>
        <v>11</v>
      </c>
      <c r="F24" s="205">
        <f>F13</f>
        <v>31</v>
      </c>
      <c r="G24" s="205">
        <f>G12</f>
        <v>1</v>
      </c>
      <c r="H24" s="205">
        <f>H13</f>
        <v>24</v>
      </c>
      <c r="I24" s="205" t="str">
        <f>I12</f>
        <v>non</v>
      </c>
      <c r="J24" s="99">
        <v>484.5</v>
      </c>
      <c r="K24" s="202"/>
      <c r="L24" s="99"/>
      <c r="M24" s="202"/>
      <c r="N24" s="99"/>
      <c r="O24" s="202"/>
      <c r="P24" s="52"/>
      <c r="Q24" s="203"/>
      <c r="R24" s="204"/>
      <c r="S24" s="202"/>
      <c r="T24" s="198">
        <v>1</v>
      </c>
      <c r="U24" s="199">
        <v>-1</v>
      </c>
      <c r="V24" s="199">
        <v>1</v>
      </c>
      <c r="W24" s="199">
        <v>1</v>
      </c>
      <c r="X24" s="199">
        <v>1</v>
      </c>
      <c r="Y24" s="199">
        <v>-1</v>
      </c>
      <c r="Z24" s="199">
        <v>1</v>
      </c>
      <c r="AA24" s="199">
        <v>-1</v>
      </c>
      <c r="AB24" s="200"/>
    </row>
    <row r="25" spans="1:28" x14ac:dyDescent="0.25">
      <c r="B25" s="192">
        <v>3</v>
      </c>
      <c r="C25" s="201">
        <f>C12</f>
        <v>0.9</v>
      </c>
      <c r="D25" s="201">
        <f>D12</f>
        <v>6</v>
      </c>
      <c r="E25" s="201">
        <f>E13</f>
        <v>11</v>
      </c>
      <c r="F25" s="201">
        <f>F13</f>
        <v>31</v>
      </c>
      <c r="G25" s="201">
        <f>G13</f>
        <v>2</v>
      </c>
      <c r="H25" s="201">
        <f>H12</f>
        <v>16</v>
      </c>
      <c r="I25" s="201" t="str">
        <f>I13</f>
        <v>oui</v>
      </c>
      <c r="J25" s="99">
        <v>498.4</v>
      </c>
      <c r="K25" s="202"/>
      <c r="L25" s="99"/>
      <c r="M25" s="202"/>
      <c r="N25" s="99"/>
      <c r="O25" s="202"/>
      <c r="P25" s="52"/>
      <c r="Q25" s="203"/>
      <c r="R25" s="204"/>
      <c r="S25" s="202"/>
      <c r="T25" s="198">
        <v>1</v>
      </c>
      <c r="U25" s="199">
        <v>-1</v>
      </c>
      <c r="V25" s="199">
        <v>-1</v>
      </c>
      <c r="W25" s="199">
        <v>1</v>
      </c>
      <c r="X25" s="199">
        <v>1</v>
      </c>
      <c r="Y25" s="199">
        <v>1</v>
      </c>
      <c r="Z25" s="199">
        <v>-1</v>
      </c>
      <c r="AA25" s="199">
        <v>1</v>
      </c>
      <c r="AB25" s="200"/>
    </row>
    <row r="26" spans="1:28" x14ac:dyDescent="0.25">
      <c r="B26" s="192">
        <v>4</v>
      </c>
      <c r="C26" s="205">
        <f>C13</f>
        <v>1.1000000000000001</v>
      </c>
      <c r="D26" s="205">
        <f>D12</f>
        <v>6</v>
      </c>
      <c r="E26" s="205">
        <f>E12</f>
        <v>9</v>
      </c>
      <c r="F26" s="205">
        <f>F13</f>
        <v>31</v>
      </c>
      <c r="G26" s="205">
        <f>G13</f>
        <v>2</v>
      </c>
      <c r="H26" s="205">
        <f>H13</f>
        <v>24</v>
      </c>
      <c r="I26" s="205" t="str">
        <f>I12</f>
        <v>non</v>
      </c>
      <c r="J26" s="99">
        <v>465.2</v>
      </c>
      <c r="K26" s="202"/>
      <c r="L26" s="99"/>
      <c r="M26" s="202"/>
      <c r="N26" s="99"/>
      <c r="O26" s="202"/>
      <c r="P26" s="52"/>
      <c r="Q26" s="203"/>
      <c r="R26" s="204"/>
      <c r="S26" s="202"/>
      <c r="T26" s="198">
        <v>1</v>
      </c>
      <c r="U26" s="199">
        <v>1</v>
      </c>
      <c r="V26" s="199">
        <v>-1</v>
      </c>
      <c r="W26" s="199">
        <v>-1</v>
      </c>
      <c r="X26" s="199">
        <v>1</v>
      </c>
      <c r="Y26" s="199">
        <v>1</v>
      </c>
      <c r="Z26" s="199">
        <v>1</v>
      </c>
      <c r="AA26" s="199">
        <v>-1</v>
      </c>
      <c r="AB26" s="200"/>
    </row>
    <row r="27" spans="1:28" x14ac:dyDescent="0.25">
      <c r="B27" s="195" t="s">
        <v>91</v>
      </c>
      <c r="C27" s="195">
        <f t="shared" ref="C27:I27" si="2">C22</f>
        <v>1</v>
      </c>
      <c r="D27" s="195">
        <f t="shared" si="2"/>
        <v>7</v>
      </c>
      <c r="E27" s="195">
        <f t="shared" si="2"/>
        <v>10</v>
      </c>
      <c r="F27" s="195">
        <f t="shared" si="2"/>
        <v>30</v>
      </c>
      <c r="G27" s="195">
        <f t="shared" si="2"/>
        <v>1</v>
      </c>
      <c r="H27" s="195">
        <f t="shared" si="2"/>
        <v>20</v>
      </c>
      <c r="I27" s="195" t="str">
        <f t="shared" si="2"/>
        <v>oui</v>
      </c>
      <c r="J27" s="206"/>
      <c r="K27" s="99">
        <v>469</v>
      </c>
      <c r="L27" s="206"/>
      <c r="M27" s="99"/>
      <c r="N27" s="206"/>
      <c r="O27" s="99"/>
      <c r="P27" s="207"/>
      <c r="Q27" s="52"/>
      <c r="R27" s="208"/>
      <c r="S27" s="99"/>
      <c r="T27" s="198"/>
      <c r="U27" s="199"/>
      <c r="V27" s="199"/>
      <c r="W27" s="199"/>
      <c r="X27" s="199"/>
      <c r="Y27" s="199"/>
      <c r="Z27" s="199"/>
      <c r="AA27" s="199"/>
      <c r="AB27" s="200"/>
    </row>
    <row r="28" spans="1:28" x14ac:dyDescent="0.25">
      <c r="B28" s="192">
        <v>5</v>
      </c>
      <c r="C28" s="201">
        <f>C12</f>
        <v>0.9</v>
      </c>
      <c r="D28" s="201">
        <f>D13</f>
        <v>8</v>
      </c>
      <c r="E28" s="201">
        <f>E12</f>
        <v>9</v>
      </c>
      <c r="F28" s="201">
        <f>F12</f>
        <v>29</v>
      </c>
      <c r="G28" s="201">
        <f>G13</f>
        <v>2</v>
      </c>
      <c r="H28" s="201">
        <f>H13</f>
        <v>24</v>
      </c>
      <c r="I28" s="201" t="str">
        <f>I13</f>
        <v>oui</v>
      </c>
      <c r="J28" s="99">
        <v>461.7</v>
      </c>
      <c r="K28" s="202"/>
      <c r="L28" s="99"/>
      <c r="M28" s="202"/>
      <c r="N28" s="99"/>
      <c r="O28" s="202"/>
      <c r="P28" s="52"/>
      <c r="Q28" s="203"/>
      <c r="R28" s="204"/>
      <c r="S28" s="202"/>
      <c r="T28" s="198">
        <v>1</v>
      </c>
      <c r="U28" s="199">
        <v>-1</v>
      </c>
      <c r="V28" s="199">
        <v>1</v>
      </c>
      <c r="W28" s="199">
        <v>-1</v>
      </c>
      <c r="X28" s="199">
        <v>-1</v>
      </c>
      <c r="Y28" s="199">
        <v>1</v>
      </c>
      <c r="Z28" s="199">
        <v>1</v>
      </c>
      <c r="AA28" s="199">
        <v>1</v>
      </c>
      <c r="AB28" s="200"/>
    </row>
    <row r="29" spans="1:28" x14ac:dyDescent="0.25">
      <c r="B29" s="192">
        <v>6</v>
      </c>
      <c r="C29" s="205">
        <f>C13</f>
        <v>1.1000000000000001</v>
      </c>
      <c r="D29" s="205">
        <f>D12</f>
        <v>6</v>
      </c>
      <c r="E29" s="205">
        <f>E13</f>
        <v>11</v>
      </c>
      <c r="F29" s="205">
        <f>F12</f>
        <v>29</v>
      </c>
      <c r="G29" s="205">
        <f>G12</f>
        <v>1</v>
      </c>
      <c r="H29" s="205">
        <f>H13</f>
        <v>24</v>
      </c>
      <c r="I29" s="205" t="str">
        <f>I13</f>
        <v>oui</v>
      </c>
      <c r="J29" s="99">
        <v>482.7</v>
      </c>
      <c r="K29" s="202"/>
      <c r="L29" s="99"/>
      <c r="M29" s="202"/>
      <c r="N29" s="99"/>
      <c r="O29" s="202"/>
      <c r="P29" s="52"/>
      <c r="Q29" s="203"/>
      <c r="R29" s="204"/>
      <c r="S29" s="202"/>
      <c r="T29" s="198">
        <v>1</v>
      </c>
      <c r="U29" s="199">
        <v>1</v>
      </c>
      <c r="V29" s="199">
        <v>-1</v>
      </c>
      <c r="W29" s="199">
        <v>1</v>
      </c>
      <c r="X29" s="199">
        <v>-1</v>
      </c>
      <c r="Y29" s="199">
        <v>-1</v>
      </c>
      <c r="Z29" s="199">
        <v>1</v>
      </c>
      <c r="AA29" s="199">
        <v>1</v>
      </c>
      <c r="AB29" s="200"/>
    </row>
    <row r="30" spans="1:28" ht="15" customHeight="1" x14ac:dyDescent="0.25">
      <c r="A30" s="174"/>
      <c r="B30" s="192">
        <v>7</v>
      </c>
      <c r="C30" s="201">
        <f>C13</f>
        <v>1.1000000000000001</v>
      </c>
      <c r="D30" s="201">
        <f>D13</f>
        <v>8</v>
      </c>
      <c r="E30" s="201">
        <f>E12</f>
        <v>9</v>
      </c>
      <c r="F30" s="201">
        <f>F13</f>
        <v>31</v>
      </c>
      <c r="G30" s="201">
        <f>G12</f>
        <v>1</v>
      </c>
      <c r="H30" s="201">
        <f>H12</f>
        <v>16</v>
      </c>
      <c r="I30" s="201" t="str">
        <f>I13</f>
        <v>oui</v>
      </c>
      <c r="J30" s="99">
        <v>456.8</v>
      </c>
      <c r="K30" s="202"/>
      <c r="L30" s="99"/>
      <c r="M30" s="202"/>
      <c r="N30" s="99"/>
      <c r="O30" s="202"/>
      <c r="P30" s="52"/>
      <c r="Q30" s="203"/>
      <c r="R30" s="204"/>
      <c r="S30" s="202"/>
      <c r="T30" s="198">
        <v>1</v>
      </c>
      <c r="U30" s="199">
        <v>1</v>
      </c>
      <c r="V30" s="199">
        <v>1</v>
      </c>
      <c r="W30" s="199">
        <v>-1</v>
      </c>
      <c r="X30" s="199">
        <v>1</v>
      </c>
      <c r="Y30" s="199">
        <v>-1</v>
      </c>
      <c r="Z30" s="199">
        <v>-1</v>
      </c>
      <c r="AA30" s="199">
        <v>1</v>
      </c>
      <c r="AB30" s="200"/>
    </row>
    <row r="31" spans="1:28" ht="15" customHeight="1" x14ac:dyDescent="0.25">
      <c r="A31" s="174"/>
      <c r="B31" s="192">
        <v>8</v>
      </c>
      <c r="C31" s="205">
        <f t="shared" ref="C31:I31" si="3">C12</f>
        <v>0.9</v>
      </c>
      <c r="D31" s="205">
        <f t="shared" si="3"/>
        <v>6</v>
      </c>
      <c r="E31" s="205">
        <f t="shared" si="3"/>
        <v>9</v>
      </c>
      <c r="F31" s="205">
        <f t="shared" si="3"/>
        <v>29</v>
      </c>
      <c r="G31" s="205">
        <f t="shared" si="3"/>
        <v>1</v>
      </c>
      <c r="H31" s="205">
        <f t="shared" si="3"/>
        <v>16</v>
      </c>
      <c r="I31" s="205" t="str">
        <f t="shared" si="3"/>
        <v>non</v>
      </c>
      <c r="J31" s="99">
        <v>477.6</v>
      </c>
      <c r="K31" s="202"/>
      <c r="L31" s="99"/>
      <c r="M31" s="202"/>
      <c r="N31" s="99"/>
      <c r="O31" s="202"/>
      <c r="P31" s="52"/>
      <c r="Q31" s="203"/>
      <c r="R31" s="204"/>
      <c r="S31" s="202"/>
      <c r="T31" s="198">
        <v>1</v>
      </c>
      <c r="U31" s="199">
        <v>-1</v>
      </c>
      <c r="V31" s="199">
        <v>-1</v>
      </c>
      <c r="W31" s="199">
        <v>-1</v>
      </c>
      <c r="X31" s="199">
        <v>-1</v>
      </c>
      <c r="Y31" s="199">
        <v>-1</v>
      </c>
      <c r="Z31" s="199">
        <v>-1</v>
      </c>
      <c r="AA31" s="199">
        <v>-1</v>
      </c>
      <c r="AB31" s="200"/>
    </row>
    <row r="32" spans="1:28" ht="15" customHeight="1" x14ac:dyDescent="0.25">
      <c r="A32" s="174"/>
      <c r="B32" s="195" t="s">
        <v>92</v>
      </c>
      <c r="C32" s="195">
        <f t="shared" ref="C32:I32" si="4">C27</f>
        <v>1</v>
      </c>
      <c r="D32" s="195">
        <f t="shared" si="4"/>
        <v>7</v>
      </c>
      <c r="E32" s="195">
        <f t="shared" si="4"/>
        <v>10</v>
      </c>
      <c r="F32" s="195">
        <f t="shared" si="4"/>
        <v>30</v>
      </c>
      <c r="G32" s="195">
        <f t="shared" si="4"/>
        <v>1</v>
      </c>
      <c r="H32" s="195">
        <f t="shared" si="4"/>
        <v>20</v>
      </c>
      <c r="I32" s="195" t="str">
        <f t="shared" si="4"/>
        <v>oui</v>
      </c>
      <c r="J32" s="209"/>
      <c r="K32" s="99">
        <v>471</v>
      </c>
      <c r="L32" s="210"/>
      <c r="M32" s="99"/>
      <c r="N32" s="210"/>
      <c r="O32" s="99"/>
      <c r="P32" s="209"/>
      <c r="Q32" s="52"/>
      <c r="R32" s="211"/>
      <c r="S32" s="99"/>
      <c r="T32" s="212"/>
      <c r="U32" s="212"/>
      <c r="V32" s="189"/>
      <c r="W32" s="190"/>
      <c r="X32" s="190"/>
      <c r="Y32" s="190"/>
      <c r="Z32" s="190"/>
      <c r="AA32" s="190"/>
      <c r="AB32" s="191"/>
    </row>
    <row r="33" spans="1:28" ht="12.75" customHeight="1" x14ac:dyDescent="0.25">
      <c r="A33" s="174"/>
      <c r="B33" s="18"/>
      <c r="C33" s="18"/>
      <c r="D33" s="18"/>
      <c r="E33" s="18"/>
      <c r="F33" s="18"/>
      <c r="G33" s="18"/>
      <c r="H33" s="18"/>
      <c r="I33" s="18"/>
      <c r="J33" s="18"/>
      <c r="K33" s="19"/>
      <c r="L33" s="213"/>
      <c r="M33" s="187"/>
      <c r="N33" s="191"/>
      <c r="O33" s="191"/>
      <c r="P33" s="191"/>
      <c r="Q33" s="191"/>
      <c r="R33" s="191"/>
      <c r="S33" s="190"/>
      <c r="T33" s="190"/>
      <c r="U33" s="190"/>
      <c r="V33" s="190"/>
      <c r="W33" s="190"/>
      <c r="X33" s="190"/>
      <c r="Y33" s="190"/>
      <c r="Z33" s="190"/>
      <c r="AA33" s="190"/>
      <c r="AB33" s="191"/>
    </row>
    <row r="34" spans="1:28" ht="12.75" customHeight="1" x14ac:dyDescent="0.25">
      <c r="A34" s="174"/>
      <c r="B34" s="16" t="s">
        <v>290</v>
      </c>
      <c r="C34" s="159"/>
      <c r="D34" s="123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91"/>
      <c r="V34" s="191"/>
      <c r="W34" s="191"/>
      <c r="X34" s="191"/>
      <c r="Y34" s="191"/>
      <c r="Z34" s="191"/>
      <c r="AA34" s="191"/>
      <c r="AB34" s="191"/>
    </row>
    <row r="35" spans="1:28" ht="12.75" customHeight="1" x14ac:dyDescent="0.25">
      <c r="A35" s="174"/>
      <c r="B35" s="186"/>
      <c r="C35" s="18"/>
      <c r="D35" s="18"/>
      <c r="E35" s="18"/>
      <c r="F35" s="18"/>
      <c r="G35" s="18"/>
      <c r="H35" s="18"/>
      <c r="I35" s="18"/>
      <c r="J35" s="18"/>
      <c r="K35" s="19"/>
      <c r="L35" s="213"/>
      <c r="M35" s="187"/>
      <c r="R35" s="191"/>
      <c r="S35" s="191"/>
      <c r="T35" s="191"/>
      <c r="U35" s="191"/>
      <c r="V35" s="191"/>
      <c r="W35" s="191"/>
      <c r="X35" s="191"/>
      <c r="Y35" s="191"/>
      <c r="Z35" s="191"/>
      <c r="AA35" s="191"/>
      <c r="AB35" s="191"/>
    </row>
    <row r="36" spans="1:28" ht="12.75" customHeight="1" x14ac:dyDescent="0.25">
      <c r="A36" s="174"/>
      <c r="B36" s="214"/>
      <c r="D36" s="215"/>
      <c r="E36" s="215"/>
      <c r="F36" s="215"/>
      <c r="G36" s="215"/>
      <c r="H36" s="215"/>
      <c r="I36" s="215"/>
      <c r="M36" s="216"/>
      <c r="N36" s="216"/>
      <c r="O36" s="216"/>
      <c r="P36" s="216"/>
      <c r="Q36" s="216"/>
      <c r="R36" s="216"/>
      <c r="S36" s="216"/>
      <c r="T36" s="191"/>
      <c r="U36" s="191"/>
      <c r="V36" s="191"/>
      <c r="W36" s="191"/>
      <c r="X36" s="191"/>
      <c r="Y36" s="191"/>
      <c r="Z36" s="191"/>
      <c r="AA36" s="191"/>
      <c r="AB36" s="191"/>
    </row>
    <row r="37" spans="1:28" ht="12.75" customHeight="1" x14ac:dyDescent="0.25">
      <c r="A37" s="174"/>
      <c r="B37" s="192" t="s">
        <v>189</v>
      </c>
      <c r="C37" s="28" t="s">
        <v>5</v>
      </c>
      <c r="D37" s="28" t="str">
        <f t="shared" ref="D37:J37" si="5">C21</f>
        <v>débit</v>
      </c>
      <c r="E37" s="28" t="str">
        <f t="shared" si="5"/>
        <v>pH</v>
      </c>
      <c r="F37" s="28" t="str">
        <f t="shared" si="5"/>
        <v>volume</v>
      </c>
      <c r="G37" s="28" t="str">
        <f t="shared" si="5"/>
        <v>T°C</v>
      </c>
      <c r="H37" s="28" t="str">
        <f t="shared" si="5"/>
        <v>colonne</v>
      </c>
      <c r="I37" s="28" t="str">
        <f t="shared" si="5"/>
        <v>gaz</v>
      </c>
      <c r="J37" s="28" t="str">
        <f t="shared" si="5"/>
        <v>éthanol</v>
      </c>
      <c r="K37" s="192" t="s">
        <v>346</v>
      </c>
      <c r="M37" s="191"/>
      <c r="N37" s="191"/>
      <c r="O37" s="191"/>
      <c r="P37" s="191"/>
      <c r="Q37" s="191"/>
      <c r="R37" s="191"/>
      <c r="S37" s="191"/>
      <c r="T37" s="191"/>
      <c r="U37" s="191"/>
      <c r="V37" s="191"/>
      <c r="W37" s="191"/>
      <c r="X37" s="191"/>
      <c r="Y37" s="191"/>
      <c r="Z37" s="191"/>
      <c r="AA37" s="191"/>
      <c r="AB37" s="191"/>
    </row>
    <row r="38" spans="1:28" ht="12.75" customHeight="1" x14ac:dyDescent="0.25">
      <c r="A38" s="174"/>
      <c r="B38" s="192" t="str">
        <f>J21</f>
        <v>Aire</v>
      </c>
      <c r="C38" s="217">
        <f>SUMPRODUCT(T23:T31,$J$23:$J$31)/8</f>
        <v>475.73750000000001</v>
      </c>
      <c r="D38" s="217">
        <f>SUMPRODUCT(U23:U31,$J$23:$J$31)/8</f>
        <v>-4.8125</v>
      </c>
      <c r="E38" s="217">
        <f t="shared" ref="E38:I38" si="6">SUMPRODUCT(V23:V31,$J$23:$J$31)/8</f>
        <v>-5.2374999999999972</v>
      </c>
      <c r="F38" s="217">
        <f t="shared" si="6"/>
        <v>10.412500000000009</v>
      </c>
      <c r="G38" s="217">
        <f t="shared" si="6"/>
        <v>0.48749999999999005</v>
      </c>
      <c r="H38" s="217">
        <f t="shared" si="6"/>
        <v>0.33749999999998437</v>
      </c>
      <c r="I38" s="217">
        <f t="shared" si="6"/>
        <v>-2.2124999999999986</v>
      </c>
      <c r="J38" s="217">
        <f>IF(I10="","",SUMPRODUCT(AA23:AA31,$J$23:$J$31)/8)</f>
        <v>-0.83749999999999858</v>
      </c>
      <c r="K38" s="218">
        <f>(K22-K32)/K32</f>
        <v>-4.246284501061571E-3</v>
      </c>
      <c r="M38" s="191"/>
      <c r="N38" s="191"/>
      <c r="O38" s="191"/>
      <c r="P38" s="191"/>
      <c r="Q38" s="191"/>
      <c r="R38" s="191"/>
      <c r="S38" s="191"/>
      <c r="T38" s="191"/>
      <c r="U38" s="191"/>
      <c r="V38" s="191"/>
      <c r="W38" s="191"/>
      <c r="X38" s="191"/>
      <c r="Y38" s="191"/>
      <c r="Z38" s="191"/>
      <c r="AA38" s="191"/>
      <c r="AB38" s="191"/>
    </row>
    <row r="39" spans="1:28" ht="12.75" customHeight="1" x14ac:dyDescent="0.25">
      <c r="A39" s="174"/>
      <c r="B39" s="219" t="s">
        <v>188</v>
      </c>
      <c r="C39" s="220">
        <f>SUMPRODUCT(T23:T31,$L$23:$L$31)/8</f>
        <v>0</v>
      </c>
      <c r="D39" s="220">
        <f>SUMPRODUCT(U23:U31,$L$23:$L$31)/8</f>
        <v>0</v>
      </c>
      <c r="E39" s="220">
        <f>SUMPRODUCT(V23:V31,$L$23:$L$31)/8</f>
        <v>0</v>
      </c>
      <c r="F39" s="220">
        <f>SUMPRODUCT(W23:W31,$L$23:$L$31)/8</f>
        <v>0</v>
      </c>
      <c r="G39" s="220">
        <f>SUMPRODUCT(X23:X31,$L$23:$L$31)/8</f>
        <v>0</v>
      </c>
      <c r="H39" s="220">
        <f>IF(G10="","",SUMPRODUCT(Y23:Y31,$L$23:$L$31)/8)</f>
        <v>0</v>
      </c>
      <c r="I39" s="220">
        <f>IF(H10="","",SUMPRODUCT(Z23:Z31,$L$23:$L$31)/8)</f>
        <v>0</v>
      </c>
      <c r="J39" s="220">
        <f>IF(I10="","",SUMPRODUCT(AA23:AA31,$L$23:$L$31)/8)</f>
        <v>0</v>
      </c>
      <c r="K39" s="221" t="e">
        <f>(M22-M32)/M32</f>
        <v>#DIV/0!</v>
      </c>
      <c r="M39" s="191"/>
      <c r="N39" s="191"/>
      <c r="O39" s="191"/>
      <c r="P39" s="191"/>
      <c r="Q39" s="191"/>
      <c r="R39" s="191"/>
      <c r="S39" s="191"/>
      <c r="T39" s="191"/>
      <c r="U39" s="191"/>
      <c r="V39" s="191"/>
      <c r="W39" s="191"/>
      <c r="X39" s="191"/>
      <c r="Y39" s="191"/>
      <c r="Z39" s="191"/>
      <c r="AA39" s="191"/>
      <c r="AB39" s="191"/>
    </row>
    <row r="40" spans="1:28" ht="12.75" customHeight="1" x14ac:dyDescent="0.25">
      <c r="A40" s="174"/>
      <c r="B40" s="219" t="s">
        <v>202</v>
      </c>
      <c r="C40" s="217">
        <f>SUMPRODUCT(T23:T31,$N$23:$N$31)/8</f>
        <v>0</v>
      </c>
      <c r="D40" s="217">
        <f>SUMPRODUCT(U23:U31,$N$23:$N$31)/8</f>
        <v>0</v>
      </c>
      <c r="E40" s="217">
        <f>SUMPRODUCT(V23:V31,$N$23:$N$31)/8</f>
        <v>0</v>
      </c>
      <c r="F40" s="217">
        <f>SUMPRODUCT(W23:W31,$N$23:$N$31)/8</f>
        <v>0</v>
      </c>
      <c r="G40" s="217">
        <f>SUMPRODUCT(X23:X31,$N$23:$N$31)/8</f>
        <v>0</v>
      </c>
      <c r="H40" s="217">
        <f>IF(G10="","",SUMPRODUCT(Y23:Y31,$N$23:$N$31)/8)</f>
        <v>0</v>
      </c>
      <c r="I40" s="217">
        <f>IF(H10="","",SUMPRODUCT(Z23:Z31,$N$23:$N$31)/8)</f>
        <v>0</v>
      </c>
      <c r="J40" s="217">
        <f>IF(I10="","",SUMPRODUCT(AA23:AA31,$N$23:$N$31)/8)</f>
        <v>0</v>
      </c>
      <c r="K40" s="218" t="e">
        <f>(O22-O32)/O32</f>
        <v>#DIV/0!</v>
      </c>
      <c r="M40" s="191"/>
      <c r="N40" s="191"/>
      <c r="O40" s="191"/>
      <c r="P40" s="191"/>
      <c r="Q40" s="191"/>
      <c r="R40" s="191"/>
      <c r="S40" s="191"/>
      <c r="T40" s="191"/>
      <c r="U40" s="191"/>
      <c r="V40" s="191"/>
      <c r="W40" s="191"/>
      <c r="X40" s="191"/>
      <c r="Y40" s="191"/>
      <c r="Z40" s="191"/>
      <c r="AA40" s="191"/>
      <c r="AB40" s="191"/>
    </row>
    <row r="41" spans="1:28" ht="12.75" customHeight="1" x14ac:dyDescent="0.25">
      <c r="A41" s="174"/>
      <c r="B41" s="219" t="s">
        <v>203</v>
      </c>
      <c r="C41" s="220"/>
      <c r="D41" s="220">
        <f>SUMPRODUCT(U23:U31,$P$23:$P$31)/8</f>
        <v>0</v>
      </c>
      <c r="E41" s="220">
        <f>SUMPRODUCT(V23:V31,$P$23:$P$31)/8</f>
        <v>0</v>
      </c>
      <c r="F41" s="220">
        <f>SUMPRODUCT(W23:W31,$P$23:$P$31)/8</f>
        <v>0</v>
      </c>
      <c r="G41" s="220">
        <f>SUMPRODUCT(X23:X31,$P$23:$P$31)/8</f>
        <v>0</v>
      </c>
      <c r="H41" s="220">
        <f>IF(G10="","",SUMPRODUCT(Y23:Y31,$P$23:$P$31)/8)</f>
        <v>0</v>
      </c>
      <c r="I41" s="220">
        <f>IF(H10="","",SUMPRODUCT(Z23:Z31,$P$23:$P$31)/8)</f>
        <v>0</v>
      </c>
      <c r="J41" s="220">
        <f>IF(I10="","",SUMPRODUCT(AA23:AA31,$P$23:$P$31)/8)</f>
        <v>0</v>
      </c>
      <c r="K41" s="221" t="e">
        <f>(Q22-Q32)/Q32</f>
        <v>#DIV/0!</v>
      </c>
      <c r="M41" s="191"/>
      <c r="N41" s="191"/>
      <c r="O41" s="191"/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</row>
    <row r="42" spans="1:28" ht="12.75" customHeight="1" x14ac:dyDescent="0.25">
      <c r="A42" s="174"/>
      <c r="B42" s="219" t="s">
        <v>201</v>
      </c>
      <c r="C42" s="222">
        <f>SUMPRODUCT(T23:T31,$R$23:$R$31)/8</f>
        <v>0</v>
      </c>
      <c r="D42" s="222">
        <f>SUMPRODUCT(U23:U31,$R$23:$R$31)/8</f>
        <v>0</v>
      </c>
      <c r="E42" s="222">
        <f>SUMPRODUCT(V23:V31,$R$23:$R$31)/8</f>
        <v>0</v>
      </c>
      <c r="F42" s="222">
        <f>SUMPRODUCT(W23:W31,$R$23:$R$31)/8</f>
        <v>0</v>
      </c>
      <c r="G42" s="222">
        <f>SUMPRODUCT(X23:X31,$R$23:$R$31)/8</f>
        <v>0</v>
      </c>
      <c r="H42" s="222">
        <f>IF(G11="","",SUMPRODUCT(Y23:Y31,$R$23:$R$31)/8)</f>
        <v>0</v>
      </c>
      <c r="I42" s="222">
        <f>IF(H11="","",SUMPRODUCT(Z23:Z31,$R$23:$R$31)/8)</f>
        <v>0</v>
      </c>
      <c r="J42" s="222">
        <f>IF(I11="","",SUMPRODUCT(AA23:AA31,$R$23:$R$31)/8)</f>
        <v>0</v>
      </c>
      <c r="K42" s="223" t="e">
        <f>(S22-S32)/S32</f>
        <v>#DIV/0!</v>
      </c>
      <c r="M42" s="191"/>
      <c r="N42" s="191"/>
      <c r="O42" s="191"/>
      <c r="P42" s="191"/>
      <c r="Q42" s="191"/>
      <c r="R42" s="191"/>
      <c r="S42" s="191"/>
      <c r="T42" s="191"/>
      <c r="U42" s="191"/>
      <c r="V42" s="191"/>
      <c r="W42" s="191"/>
      <c r="X42" s="191"/>
      <c r="Y42" s="191"/>
      <c r="Z42" s="191"/>
      <c r="AA42" s="191"/>
      <c r="AB42" s="191"/>
    </row>
    <row r="43" spans="1:28" ht="12.75" customHeight="1" x14ac:dyDescent="0.25">
      <c r="A43" s="174"/>
      <c r="F43" s="181"/>
      <c r="G43" s="181"/>
      <c r="H43" s="19"/>
      <c r="I43" s="182"/>
      <c r="J43" s="20"/>
      <c r="K43" s="19"/>
      <c r="L43" s="213"/>
      <c r="M43" s="191"/>
      <c r="N43" s="191"/>
      <c r="O43" s="191"/>
      <c r="P43" s="191"/>
      <c r="Q43" s="191"/>
      <c r="R43" s="191"/>
      <c r="S43" s="191"/>
      <c r="T43" s="191"/>
      <c r="U43" s="191"/>
      <c r="V43" s="191"/>
      <c r="W43" s="191"/>
      <c r="X43" s="191"/>
      <c r="Y43" s="191"/>
      <c r="Z43" s="191"/>
      <c r="AA43" s="191"/>
      <c r="AB43" s="191"/>
    </row>
    <row r="44" spans="1:28" ht="12.75" customHeight="1" x14ac:dyDescent="0.25">
      <c r="A44" s="174"/>
      <c r="B44" s="16" t="s">
        <v>315</v>
      </c>
      <c r="C44" s="159"/>
      <c r="D44" s="123"/>
      <c r="E44" s="123"/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V44" s="191"/>
      <c r="W44" s="224"/>
      <c r="X44" s="194"/>
    </row>
    <row r="45" spans="1:28" x14ac:dyDescent="0.25">
      <c r="B45" s="182"/>
      <c r="C45" s="24"/>
      <c r="D45" s="19"/>
      <c r="E45" s="24"/>
      <c r="F45" s="24"/>
      <c r="G45" s="182"/>
      <c r="H45" s="174"/>
      <c r="I45" s="174"/>
      <c r="J45" s="174"/>
      <c r="K45" s="174"/>
      <c r="W45" s="174"/>
      <c r="X45" s="174"/>
      <c r="Y45" s="174"/>
      <c r="Z45" s="174"/>
      <c r="AA45" s="174"/>
    </row>
    <row r="46" spans="1:28" x14ac:dyDescent="0.25">
      <c r="B46" s="182"/>
      <c r="C46" s="24"/>
      <c r="D46" s="19"/>
      <c r="E46" s="24"/>
      <c r="F46" s="19"/>
      <c r="G46" s="24"/>
      <c r="H46" s="182"/>
      <c r="I46" s="182"/>
      <c r="J46" s="182"/>
      <c r="K46" s="182"/>
      <c r="W46" s="174"/>
      <c r="X46" s="174"/>
      <c r="Y46" s="174"/>
      <c r="Z46" s="174"/>
      <c r="AA46" s="174"/>
    </row>
    <row r="47" spans="1:28" x14ac:dyDescent="0.25">
      <c r="B47" s="182"/>
      <c r="C47" s="24"/>
      <c r="D47" s="19"/>
      <c r="E47" s="24"/>
      <c r="F47" s="19"/>
      <c r="G47" s="19"/>
      <c r="H47" s="182"/>
      <c r="I47" s="182"/>
      <c r="J47" s="182"/>
      <c r="K47" s="182"/>
      <c r="W47" s="174"/>
      <c r="X47" s="174"/>
      <c r="Y47" s="174"/>
      <c r="Z47" s="174"/>
      <c r="AA47" s="174"/>
    </row>
    <row r="48" spans="1:28" x14ac:dyDescent="0.25">
      <c r="M48" s="182"/>
      <c r="W48" s="174"/>
      <c r="X48" s="174"/>
      <c r="Y48" s="174"/>
      <c r="Z48" s="174"/>
      <c r="AA48" s="174"/>
    </row>
    <row r="49" spans="2:27" x14ac:dyDescent="0.25">
      <c r="M49" s="182"/>
      <c r="W49" s="174"/>
      <c r="X49" s="225"/>
      <c r="Y49" s="174"/>
      <c r="Z49" s="226"/>
      <c r="AA49" s="174"/>
    </row>
    <row r="50" spans="2:27" x14ac:dyDescent="0.25">
      <c r="M50" s="182"/>
      <c r="W50" s="174"/>
      <c r="X50" s="227"/>
      <c r="Y50" s="228"/>
      <c r="Z50" s="226"/>
      <c r="AA50" s="174"/>
    </row>
    <row r="51" spans="2:27" x14ac:dyDescent="0.25">
      <c r="W51" s="174"/>
      <c r="X51" s="227"/>
      <c r="Y51" s="226"/>
      <c r="Z51" s="226"/>
      <c r="AA51" s="174"/>
    </row>
    <row r="52" spans="2:27" x14ac:dyDescent="0.25">
      <c r="W52" s="174"/>
      <c r="X52" s="227"/>
      <c r="Y52" s="226"/>
      <c r="Z52" s="226"/>
      <c r="AA52" s="174"/>
    </row>
    <row r="53" spans="2:27" x14ac:dyDescent="0.25">
      <c r="W53" s="174"/>
      <c r="X53" s="227"/>
      <c r="Y53" s="225"/>
      <c r="Z53" s="226"/>
      <c r="AA53" s="174"/>
    </row>
    <row r="54" spans="2:27" x14ac:dyDescent="0.25">
      <c r="W54" s="174"/>
      <c r="X54" s="227"/>
      <c r="Y54" s="226"/>
      <c r="Z54" s="226"/>
      <c r="AA54" s="174"/>
    </row>
    <row r="55" spans="2:27" x14ac:dyDescent="0.25">
      <c r="N55" s="174"/>
      <c r="W55" s="174"/>
      <c r="X55" s="227"/>
      <c r="Y55" s="226"/>
      <c r="Z55" s="226"/>
      <c r="AA55" s="174"/>
    </row>
    <row r="56" spans="2:27" x14ac:dyDescent="0.25">
      <c r="W56" s="174"/>
      <c r="X56" s="174"/>
      <c r="Y56" s="174"/>
      <c r="Z56" s="174"/>
      <c r="AA56" s="174"/>
    </row>
    <row r="57" spans="2:27" x14ac:dyDescent="0.25">
      <c r="W57" s="174"/>
      <c r="X57" s="229"/>
      <c r="Y57" s="229"/>
      <c r="Z57" s="229"/>
      <c r="AA57" s="174"/>
    </row>
    <row r="58" spans="2:27" x14ac:dyDescent="0.25">
      <c r="W58" s="174"/>
      <c r="X58" s="174"/>
      <c r="Y58" s="174"/>
      <c r="Z58" s="174"/>
      <c r="AA58" s="174"/>
    </row>
    <row r="59" spans="2:27" x14ac:dyDescent="0.25">
      <c r="B59" s="230"/>
    </row>
    <row r="60" spans="2:27" x14ac:dyDescent="0.25">
      <c r="B60" s="16" t="s">
        <v>266</v>
      </c>
      <c r="C60" s="159"/>
      <c r="D60" s="123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</row>
    <row r="61" spans="2:27" x14ac:dyDescent="0.25">
      <c r="B61" s="186"/>
    </row>
    <row r="62" spans="2:27" x14ac:dyDescent="0.25">
      <c r="B62" s="16" t="s">
        <v>190</v>
      </c>
      <c r="C62" s="159"/>
      <c r="D62" s="123"/>
      <c r="E62" s="123"/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</row>
    <row r="63" spans="2:27" x14ac:dyDescent="0.25">
      <c r="B63" s="182"/>
      <c r="C63" s="24"/>
      <c r="D63" s="19"/>
      <c r="E63" s="24"/>
      <c r="F63" s="24"/>
      <c r="G63" s="182"/>
      <c r="H63" s="174"/>
      <c r="I63" s="174"/>
      <c r="J63" s="174"/>
      <c r="K63" s="174"/>
    </row>
    <row r="68" spans="2:19" x14ac:dyDescent="0.25">
      <c r="N68" s="174"/>
    </row>
    <row r="69" spans="2:19" x14ac:dyDescent="0.25">
      <c r="N69" s="174"/>
    </row>
    <row r="70" spans="2:19" x14ac:dyDescent="0.25">
      <c r="N70" s="174"/>
    </row>
    <row r="72" spans="2:19" s="174" customFormat="1" x14ac:dyDescent="0.25"/>
    <row r="73" spans="2:19" s="174" customFormat="1" x14ac:dyDescent="0.25"/>
    <row r="74" spans="2:19" s="174" customFormat="1" x14ac:dyDescent="0.25"/>
    <row r="75" spans="2:19" s="174" customFormat="1" x14ac:dyDescent="0.25"/>
    <row r="76" spans="2:19" s="174" customFormat="1" x14ac:dyDescent="0.25">
      <c r="C76" s="192" t="s">
        <v>11</v>
      </c>
      <c r="D76" s="231">
        <f>J85</f>
        <v>0.94077545054153255</v>
      </c>
      <c r="F76" s="192" t="s">
        <v>11</v>
      </c>
      <c r="G76" s="231" t="e">
        <f>S85</f>
        <v>#NUM!</v>
      </c>
      <c r="J76" s="192" t="s">
        <v>11</v>
      </c>
      <c r="K76" s="231" t="e">
        <f>J101</f>
        <v>#NUM!</v>
      </c>
      <c r="N76" s="192" t="s">
        <v>11</v>
      </c>
      <c r="O76" s="231" t="e">
        <f>S101</f>
        <v>#NUM!</v>
      </c>
      <c r="R76" s="192" t="s">
        <v>11</v>
      </c>
      <c r="S76" s="231" t="e">
        <f>J117</f>
        <v>#NUM!</v>
      </c>
    </row>
    <row r="77" spans="2:19" s="174" customFormat="1" x14ac:dyDescent="0.25">
      <c r="B77" s="175" t="s">
        <v>291</v>
      </c>
    </row>
    <row r="78" spans="2:19" s="174" customFormat="1" x14ac:dyDescent="0.25">
      <c r="B78" s="175"/>
    </row>
    <row r="79" spans="2:19" s="174" customFormat="1" x14ac:dyDescent="0.25"/>
    <row r="80" spans="2:19" s="174" customFormat="1" x14ac:dyDescent="0.25"/>
    <row r="81" spans="2:19" x14ac:dyDescent="0.25">
      <c r="B81" s="339" t="s">
        <v>186</v>
      </c>
      <c r="C81" s="339"/>
      <c r="D81" s="339"/>
      <c r="E81" s="339"/>
      <c r="F81" s="339"/>
      <c r="G81" s="339"/>
      <c r="H81" s="339"/>
      <c r="I81" s="339"/>
      <c r="J81" s="339"/>
      <c r="K81" s="339" t="s">
        <v>187</v>
      </c>
      <c r="L81" s="339"/>
      <c r="M81" s="339"/>
      <c r="N81" s="339"/>
      <c r="O81" s="339"/>
      <c r="P81" s="339"/>
      <c r="Q81" s="339"/>
      <c r="R81" s="339"/>
      <c r="S81" s="339"/>
    </row>
    <row r="82" spans="2:19" x14ac:dyDescent="0.25">
      <c r="B82" s="305" t="s">
        <v>27</v>
      </c>
      <c r="C82" s="305"/>
      <c r="D82" s="305"/>
      <c r="E82" s="305" t="s">
        <v>6</v>
      </c>
      <c r="F82" s="305"/>
      <c r="G82" s="305"/>
      <c r="H82" s="305"/>
      <c r="I82" s="305"/>
      <c r="J82" s="305"/>
      <c r="K82" s="305" t="s">
        <v>27</v>
      </c>
      <c r="L82" s="305"/>
      <c r="M82" s="305"/>
      <c r="N82" s="305" t="s">
        <v>6</v>
      </c>
      <c r="O82" s="305"/>
      <c r="P82" s="305"/>
      <c r="Q82" s="305"/>
      <c r="R82" s="305"/>
      <c r="S82" s="305"/>
    </row>
    <row r="83" spans="2:19" x14ac:dyDescent="0.25">
      <c r="B83" s="232" t="s">
        <v>28</v>
      </c>
      <c r="C83" s="232" t="s">
        <v>0</v>
      </c>
      <c r="D83" s="232" t="s">
        <v>47</v>
      </c>
      <c r="E83" s="232" t="s">
        <v>7</v>
      </c>
      <c r="F83" s="232" t="s">
        <v>8</v>
      </c>
      <c r="G83" s="232" t="s">
        <v>9</v>
      </c>
      <c r="H83" s="232" t="s">
        <v>10</v>
      </c>
      <c r="I83" s="232" t="s">
        <v>24</v>
      </c>
      <c r="J83" s="232" t="s">
        <v>25</v>
      </c>
      <c r="K83" s="232" t="s">
        <v>28</v>
      </c>
      <c r="L83" s="232" t="s">
        <v>0</v>
      </c>
      <c r="M83" s="232" t="s">
        <v>47</v>
      </c>
      <c r="N83" s="232" t="s">
        <v>7</v>
      </c>
      <c r="O83" s="232" t="s">
        <v>8</v>
      </c>
      <c r="P83" s="232" t="s">
        <v>9</v>
      </c>
      <c r="Q83" s="232" t="s">
        <v>10</v>
      </c>
      <c r="R83" s="232" t="s">
        <v>24</v>
      </c>
      <c r="S83" s="232" t="s">
        <v>25</v>
      </c>
    </row>
    <row r="84" spans="2:19" x14ac:dyDescent="0.25">
      <c r="B84" s="232" t="s">
        <v>48</v>
      </c>
      <c r="C84" s="233">
        <f>COUNT(J22:K32)</f>
        <v>11</v>
      </c>
      <c r="D84" s="234" t="s">
        <v>16</v>
      </c>
      <c r="E84" s="29">
        <f>DEVSQ(J22:K32)</f>
        <v>1402.7563636363625</v>
      </c>
      <c r="F84" s="233">
        <f>C84-1</f>
        <v>10</v>
      </c>
      <c r="G84" s="29">
        <f t="shared" ref="G84:G90" si="7">E84/F84</f>
        <v>140.27563636363624</v>
      </c>
      <c r="H84" s="235" t="s">
        <v>16</v>
      </c>
      <c r="I84" s="235" t="s">
        <v>16</v>
      </c>
      <c r="J84" s="236">
        <f>SUM(J86:J93,J95)</f>
        <v>1</v>
      </c>
      <c r="K84" s="232" t="s">
        <v>48</v>
      </c>
      <c r="L84" s="233">
        <f>C84</f>
        <v>11</v>
      </c>
      <c r="M84" s="234" t="s">
        <v>16</v>
      </c>
      <c r="N84" s="29" t="e">
        <f>DEVSQ(L22:M32)</f>
        <v>#NUM!</v>
      </c>
      <c r="O84" s="233">
        <f>L84-1</f>
        <v>10</v>
      </c>
      <c r="P84" s="29" t="e">
        <f t="shared" ref="P84:P90" si="8">N84/O84</f>
        <v>#NUM!</v>
      </c>
      <c r="Q84" s="235" t="s">
        <v>16</v>
      </c>
      <c r="R84" s="235" t="s">
        <v>16</v>
      </c>
      <c r="S84" s="236" t="e">
        <f>SUM(S86:S93,S95)</f>
        <v>#NUM!</v>
      </c>
    </row>
    <row r="85" spans="2:19" x14ac:dyDescent="0.25">
      <c r="B85" s="232" t="s">
        <v>26</v>
      </c>
      <c r="C85" s="233">
        <f>COUNT(J23:J31)</f>
        <v>8</v>
      </c>
      <c r="D85" s="234" t="s">
        <v>16</v>
      </c>
      <c r="E85" s="29">
        <f>SUM(E87:E93)</f>
        <v>1319.6787500000007</v>
      </c>
      <c r="F85" s="233">
        <f>SUM(F87:F93)</f>
        <v>7</v>
      </c>
      <c r="G85" s="29">
        <f t="shared" si="7"/>
        <v>188.52553571428581</v>
      </c>
      <c r="H85" s="29">
        <f>G85/G86</f>
        <v>212.09122767870338</v>
      </c>
      <c r="I85" s="29">
        <f>FINV(0.05,F85,F86)</f>
        <v>8.886742955634281</v>
      </c>
      <c r="J85" s="236">
        <f>SUM(J87:J93)</f>
        <v>0.94077545054153255</v>
      </c>
      <c r="K85" s="232" t="s">
        <v>26</v>
      </c>
      <c r="L85" s="233">
        <f>C85</f>
        <v>8</v>
      </c>
      <c r="M85" s="234" t="s">
        <v>16</v>
      </c>
      <c r="N85" s="29">
        <f>SUM(N87:N93)</f>
        <v>0</v>
      </c>
      <c r="O85" s="233">
        <f>SUM(O87:O93)</f>
        <v>7</v>
      </c>
      <c r="P85" s="29">
        <f t="shared" si="8"/>
        <v>0</v>
      </c>
      <c r="Q85" s="29" t="e">
        <f>P85/P86</f>
        <v>#NUM!</v>
      </c>
      <c r="R85" s="29">
        <f>FINV(0.05,O85,O86)</f>
        <v>8.886742955634281</v>
      </c>
      <c r="S85" s="236" t="e">
        <f>SUM(S87:S93)</f>
        <v>#NUM!</v>
      </c>
    </row>
    <row r="86" spans="2:19" x14ac:dyDescent="0.25">
      <c r="B86" s="232" t="s">
        <v>29</v>
      </c>
      <c r="C86" s="233" t="s">
        <v>16</v>
      </c>
      <c r="D86" s="234" t="s">
        <v>16</v>
      </c>
      <c r="E86" s="29">
        <f>E84-E85-E95</f>
        <v>2.6666666666650087</v>
      </c>
      <c r="F86" s="233">
        <f>F84-F85</f>
        <v>3</v>
      </c>
      <c r="G86" s="29">
        <f t="shared" si="7"/>
        <v>0.88888888888833628</v>
      </c>
      <c r="H86" s="235" t="s">
        <v>16</v>
      </c>
      <c r="I86" s="235" t="s">
        <v>16</v>
      </c>
      <c r="J86" s="236">
        <f>E86/E84</f>
        <v>1.9010191190665599E-3</v>
      </c>
      <c r="K86" s="232" t="s">
        <v>29</v>
      </c>
      <c r="L86" s="233" t="s">
        <v>16</v>
      </c>
      <c r="M86" s="234" t="s">
        <v>16</v>
      </c>
      <c r="N86" s="29" t="e">
        <f>N84-N85-N95</f>
        <v>#NUM!</v>
      </c>
      <c r="O86" s="233">
        <f>O84-O85</f>
        <v>3</v>
      </c>
      <c r="P86" s="29" t="e">
        <f t="shared" si="8"/>
        <v>#NUM!</v>
      </c>
      <c r="Q86" s="235" t="s">
        <v>16</v>
      </c>
      <c r="R86" s="235" t="s">
        <v>16</v>
      </c>
      <c r="S86" s="236" t="e">
        <f>N86/N84</f>
        <v>#NUM!</v>
      </c>
    </row>
    <row r="87" spans="2:19" x14ac:dyDescent="0.25">
      <c r="B87" s="232" t="str">
        <f>C10</f>
        <v>débit</v>
      </c>
      <c r="C87" s="233">
        <v>2</v>
      </c>
      <c r="D87" s="234">
        <f>D38</f>
        <v>-4.8125</v>
      </c>
      <c r="E87" s="29">
        <f>D87^2*C$85</f>
        <v>185.28125</v>
      </c>
      <c r="F87" s="233">
        <f>C87-1</f>
        <v>1</v>
      </c>
      <c r="G87" s="29">
        <f t="shared" si="7"/>
        <v>185.28125</v>
      </c>
      <c r="H87" s="29">
        <f>G87/$G$86</f>
        <v>208.44140625012957</v>
      </c>
      <c r="I87" s="29">
        <f>FINV(0.05,F87,$F$86)</f>
        <v>10.127964486013932</v>
      </c>
      <c r="J87" s="236">
        <f>E87/$E$84</f>
        <v>0.13208369949553875</v>
      </c>
      <c r="K87" s="232" t="str">
        <f t="shared" ref="K87:L93" si="9">B87</f>
        <v>débit</v>
      </c>
      <c r="L87" s="233">
        <f t="shared" si="9"/>
        <v>2</v>
      </c>
      <c r="M87" s="234">
        <f>D39</f>
        <v>0</v>
      </c>
      <c r="N87" s="29">
        <f>M87^2*C$85</f>
        <v>0</v>
      </c>
      <c r="O87" s="233">
        <f>L87-1</f>
        <v>1</v>
      </c>
      <c r="P87" s="29">
        <f t="shared" si="8"/>
        <v>0</v>
      </c>
      <c r="Q87" s="29">
        <f>P87/$G$86</f>
        <v>0</v>
      </c>
      <c r="R87" s="29">
        <f>FINV(0.05,O87,$F$86)</f>
        <v>10.127964486013932</v>
      </c>
      <c r="S87" s="236" t="e">
        <f>N87/$N$84</f>
        <v>#NUM!</v>
      </c>
    </row>
    <row r="88" spans="2:19" x14ac:dyDescent="0.25">
      <c r="B88" s="232" t="str">
        <f>D10</f>
        <v>pH</v>
      </c>
      <c r="C88" s="233">
        <v>2</v>
      </c>
      <c r="D88" s="234">
        <f>E38</f>
        <v>-5.2374999999999972</v>
      </c>
      <c r="E88" s="29">
        <f>D88^2*C$85</f>
        <v>219.45124999999976</v>
      </c>
      <c r="F88" s="233">
        <f>C88-1</f>
        <v>1</v>
      </c>
      <c r="G88" s="29">
        <f t="shared" si="7"/>
        <v>219.45124999999976</v>
      </c>
      <c r="H88" s="29">
        <f>G88/$G$86</f>
        <v>246.88265625015322</v>
      </c>
      <c r="I88" s="29">
        <f>FINV(0.05,F88,$F$86)</f>
        <v>10.127964486013932</v>
      </c>
      <c r="J88" s="236">
        <f>E88/$E$84</f>
        <v>0.15644288323249286</v>
      </c>
      <c r="K88" s="232" t="str">
        <f t="shared" si="9"/>
        <v>pH</v>
      </c>
      <c r="L88" s="233">
        <f t="shared" si="9"/>
        <v>2</v>
      </c>
      <c r="M88" s="234">
        <f>E39</f>
        <v>0</v>
      </c>
      <c r="N88" s="29">
        <f>M88^2*C$85</f>
        <v>0</v>
      </c>
      <c r="O88" s="233">
        <f>L88-1</f>
        <v>1</v>
      </c>
      <c r="P88" s="29">
        <f t="shared" si="8"/>
        <v>0</v>
      </c>
      <c r="Q88" s="29">
        <f>P88/$G$86</f>
        <v>0</v>
      </c>
      <c r="R88" s="29">
        <f>FINV(0.05,O88,$F$86)</f>
        <v>10.127964486013932</v>
      </c>
      <c r="S88" s="236" t="e">
        <f>N88/$N$84</f>
        <v>#NUM!</v>
      </c>
    </row>
    <row r="89" spans="2:19" x14ac:dyDescent="0.25">
      <c r="B89" s="232" t="str">
        <f>E10</f>
        <v>volume</v>
      </c>
      <c r="C89" s="233">
        <v>2</v>
      </c>
      <c r="D89" s="29">
        <f>F38</f>
        <v>10.412500000000009</v>
      </c>
      <c r="E89" s="29">
        <f>D89^2*C$85</f>
        <v>867.36125000000141</v>
      </c>
      <c r="F89" s="233">
        <f>C89-1</f>
        <v>1</v>
      </c>
      <c r="G89" s="29">
        <f t="shared" si="7"/>
        <v>867.36125000000141</v>
      </c>
      <c r="H89" s="29">
        <f>G89/$G$86</f>
        <v>975.78140625060826</v>
      </c>
      <c r="I89" s="29">
        <f>FINV(0.05,F89,$F$86)</f>
        <v>10.127964486013932</v>
      </c>
      <c r="J89" s="236">
        <f>E89/$E$84</f>
        <v>0.61832636977068678</v>
      </c>
      <c r="K89" s="232" t="str">
        <f t="shared" si="9"/>
        <v>volume</v>
      </c>
      <c r="L89" s="233">
        <f t="shared" si="9"/>
        <v>2</v>
      </c>
      <c r="M89" s="29">
        <f>F39</f>
        <v>0</v>
      </c>
      <c r="N89" s="29">
        <f>M89^2*C$85</f>
        <v>0</v>
      </c>
      <c r="O89" s="233">
        <f>L89-1</f>
        <v>1</v>
      </c>
      <c r="P89" s="29">
        <f t="shared" si="8"/>
        <v>0</v>
      </c>
      <c r="Q89" s="29">
        <f>P89/$G$86</f>
        <v>0</v>
      </c>
      <c r="R89" s="29">
        <f>FINV(0.05,O89,$F$86)</f>
        <v>10.127964486013932</v>
      </c>
      <c r="S89" s="236" t="e">
        <f>N89/$N$84</f>
        <v>#NUM!</v>
      </c>
    </row>
    <row r="90" spans="2:19" x14ac:dyDescent="0.25">
      <c r="B90" s="232" t="str">
        <f>F10</f>
        <v>T°C</v>
      </c>
      <c r="C90" s="233">
        <v>2</v>
      </c>
      <c r="D90" s="29">
        <f>G38</f>
        <v>0.48749999999999005</v>
      </c>
      <c r="E90" s="29">
        <f>D90^2*C$85</f>
        <v>1.9012499999999224</v>
      </c>
      <c r="F90" s="233">
        <f>C90-1</f>
        <v>1</v>
      </c>
      <c r="G90" s="29">
        <f t="shared" si="7"/>
        <v>1.9012499999999224</v>
      </c>
      <c r="H90" s="29">
        <f>G90/$G$86</f>
        <v>2.1389062500012423</v>
      </c>
      <c r="I90" s="29">
        <f>FINV(0.05,F90,$F$86)</f>
        <v>10.127964486013932</v>
      </c>
      <c r="J90" s="236">
        <f>E90/$E$84</f>
        <v>1.3553672250477737E-3</v>
      </c>
      <c r="K90" s="232" t="str">
        <f t="shared" si="9"/>
        <v>T°C</v>
      </c>
      <c r="L90" s="233">
        <f t="shared" si="9"/>
        <v>2</v>
      </c>
      <c r="M90" s="29">
        <f>G39</f>
        <v>0</v>
      </c>
      <c r="N90" s="29">
        <f>M90^2*C$85</f>
        <v>0</v>
      </c>
      <c r="O90" s="233">
        <f>L90-1</f>
        <v>1</v>
      </c>
      <c r="P90" s="29">
        <f t="shared" si="8"/>
        <v>0</v>
      </c>
      <c r="Q90" s="29">
        <f>P90/$G$86</f>
        <v>0</v>
      </c>
      <c r="R90" s="29">
        <f>FINV(0.05,O90,$F$86)</f>
        <v>10.127964486013932</v>
      </c>
      <c r="S90" s="236" t="e">
        <f>N90/$N$84</f>
        <v>#NUM!</v>
      </c>
    </row>
    <row r="91" spans="2:19" x14ac:dyDescent="0.25">
      <c r="B91" s="232" t="str">
        <f>IF(G10="","",G10)</f>
        <v>colonne</v>
      </c>
      <c r="C91" s="233">
        <f t="shared" ref="C91:C92" si="10">IF(B91="","",2)</f>
        <v>2</v>
      </c>
      <c r="D91" s="29">
        <f>H38</f>
        <v>0.33749999999998437</v>
      </c>
      <c r="E91" s="29">
        <f>IF(B91="","",D91^2*C$85)</f>
        <v>0.91124999999991563</v>
      </c>
      <c r="F91" s="233">
        <f t="shared" ref="F91:F92" si="11">IF(B91="","",C91-1)</f>
        <v>1</v>
      </c>
      <c r="G91" s="29">
        <f t="shared" ref="G91:G92" si="12">IF(B91="","",E91/F91)</f>
        <v>0.91124999999991563</v>
      </c>
      <c r="H91" s="29">
        <f>IF(B91="","",G91/$G$86)</f>
        <v>1.0251562500005424</v>
      </c>
      <c r="I91" s="29">
        <f>IF(B91="","",FINV(0.05,F91,$F$86))</f>
        <v>10.127964486013932</v>
      </c>
      <c r="J91" s="236">
        <f>IF(B91="","",E91/$E$84)</f>
        <v>6.496138770938697E-4</v>
      </c>
      <c r="K91" s="232" t="str">
        <f t="shared" si="9"/>
        <v>colonne</v>
      </c>
      <c r="L91" s="233">
        <f t="shared" si="9"/>
        <v>2</v>
      </c>
      <c r="M91" s="29">
        <f>H39</f>
        <v>0</v>
      </c>
      <c r="N91" s="29">
        <f>IF(K91="","",M91^2*C$85)</f>
        <v>0</v>
      </c>
      <c r="O91" s="233">
        <f t="shared" ref="O91:O92" si="13">IF(K91="","",L91-1)</f>
        <v>1</v>
      </c>
      <c r="P91" s="29">
        <f t="shared" ref="P91:P92" si="14">IF(K91="","",N91/O91)</f>
        <v>0</v>
      </c>
      <c r="Q91" s="29">
        <f>IF(K91="","",P91/$G$86)</f>
        <v>0</v>
      </c>
      <c r="R91" s="29">
        <f>IF(K91="","",FINV(0.05,O91,$F$86))</f>
        <v>10.127964486013932</v>
      </c>
      <c r="S91" s="236" t="e">
        <f>IF(K91="","",N91/$N$84)</f>
        <v>#NUM!</v>
      </c>
    </row>
    <row r="92" spans="2:19" x14ac:dyDescent="0.25">
      <c r="B92" s="232" t="str">
        <f>IF(H10="","",H10)</f>
        <v>gaz</v>
      </c>
      <c r="C92" s="233">
        <f t="shared" si="10"/>
        <v>2</v>
      </c>
      <c r="D92" s="29">
        <f>I38</f>
        <v>-2.2124999999999986</v>
      </c>
      <c r="E92" s="29">
        <f>IF(B92="","",D92^2*C$85)</f>
        <v>39.161249999999953</v>
      </c>
      <c r="F92" s="233">
        <f t="shared" si="11"/>
        <v>1</v>
      </c>
      <c r="G92" s="29">
        <f t="shared" si="12"/>
        <v>39.161249999999953</v>
      </c>
      <c r="H92" s="29">
        <f>IF(B92="","",G92/$G$86)</f>
        <v>44.056406250027337</v>
      </c>
      <c r="I92" s="29">
        <f>IF(B92="","",FINV(0.05,F92,$F$86))</f>
        <v>10.127964486013932</v>
      </c>
      <c r="J92" s="236">
        <f>IF(B92="","",E92/$E$84)</f>
        <v>2.7917356866221817E-2</v>
      </c>
      <c r="K92" s="232" t="str">
        <f t="shared" si="9"/>
        <v>gaz</v>
      </c>
      <c r="L92" s="233">
        <f t="shared" si="9"/>
        <v>2</v>
      </c>
      <c r="M92" s="29">
        <f>I39</f>
        <v>0</v>
      </c>
      <c r="N92" s="29">
        <f>IF(K92="","",M92^2*C$85)</f>
        <v>0</v>
      </c>
      <c r="O92" s="233">
        <f t="shared" si="13"/>
        <v>1</v>
      </c>
      <c r="P92" s="29">
        <f t="shared" si="14"/>
        <v>0</v>
      </c>
      <c r="Q92" s="29">
        <f>IF(K92="","",P92/$G$86)</f>
        <v>0</v>
      </c>
      <c r="R92" s="29">
        <f>IF(K92="","",FINV(0.05,O92,$F$86))</f>
        <v>10.127964486013932</v>
      </c>
      <c r="S92" s="236" t="e">
        <f>IF(K92="","",N92/$N$84)</f>
        <v>#NUM!</v>
      </c>
    </row>
    <row r="93" spans="2:19" x14ac:dyDescent="0.25">
      <c r="B93" s="232" t="str">
        <f>IF(I10="","",I10)</f>
        <v>éthanol</v>
      </c>
      <c r="C93" s="233">
        <f>IF(B93="","",2)</f>
        <v>2</v>
      </c>
      <c r="D93" s="29">
        <f>J38</f>
        <v>-0.83749999999999858</v>
      </c>
      <c r="E93" s="29">
        <f>IF(B93="","",D93^2*C$85)</f>
        <v>5.6112499999999805</v>
      </c>
      <c r="F93" s="233">
        <f>IF(B93="","",C93-1)</f>
        <v>1</v>
      </c>
      <c r="G93" s="29">
        <f>IF(B93="","",E93/F93)</f>
        <v>5.6112499999999805</v>
      </c>
      <c r="H93" s="29">
        <f>IF(B93="","",G93/$G$86)</f>
        <v>6.3126562500039025</v>
      </c>
      <c r="I93" s="29">
        <f>IF(B93="","",FINV(0.05,F93,$F$86))</f>
        <v>10.127964486013932</v>
      </c>
      <c r="J93" s="236">
        <f>IF(B93="","",E93/$E$84)</f>
        <v>4.000160074450811E-3</v>
      </c>
      <c r="K93" s="232" t="str">
        <f t="shared" si="9"/>
        <v>éthanol</v>
      </c>
      <c r="L93" s="233">
        <f t="shared" si="9"/>
        <v>2</v>
      </c>
      <c r="M93" s="29">
        <f>J39</f>
        <v>0</v>
      </c>
      <c r="N93" s="29">
        <f>IF(K93="","",M93^2*C$85)</f>
        <v>0</v>
      </c>
      <c r="O93" s="233">
        <f>IF(K93="","",L93-1)</f>
        <v>1</v>
      </c>
      <c r="P93" s="29">
        <f>IF(K93="","",N93/O93)</f>
        <v>0</v>
      </c>
      <c r="Q93" s="29">
        <f>IF(K93="","",P93/$G$86)</f>
        <v>0</v>
      </c>
      <c r="R93" s="29">
        <f>IF(K93="","",FINV(0.05,O93,$F$86))</f>
        <v>10.127964486013932</v>
      </c>
      <c r="S93" s="236" t="e">
        <f>IF(K93="","",N93/$N$84)</f>
        <v>#NUM!</v>
      </c>
    </row>
    <row r="94" spans="2:19" x14ac:dyDescent="0.25">
      <c r="B94" s="232" t="s">
        <v>53</v>
      </c>
      <c r="C94" s="233">
        <f>COUNT(K22:K32)</f>
        <v>3</v>
      </c>
      <c r="D94" s="29" t="s">
        <v>16</v>
      </c>
      <c r="E94" s="29">
        <f>DEVSQ(K22:K32)</f>
        <v>2.666666666666667</v>
      </c>
      <c r="F94" s="233">
        <f>C94-1</f>
        <v>2</v>
      </c>
      <c r="G94" s="29">
        <f>E94/F94</f>
        <v>1.3333333333333335</v>
      </c>
      <c r="H94" s="29" t="s">
        <v>16</v>
      </c>
      <c r="I94" s="29" t="s">
        <v>16</v>
      </c>
      <c r="J94" s="236">
        <f>E94/E84</f>
        <v>1.9010191190677419E-3</v>
      </c>
      <c r="K94" s="232" t="s">
        <v>53</v>
      </c>
      <c r="L94" s="233">
        <f>C94</f>
        <v>3</v>
      </c>
      <c r="M94" s="29" t="s">
        <v>16</v>
      </c>
      <c r="N94" s="29" t="e">
        <f>DEVSQ(M22:M32)</f>
        <v>#NUM!</v>
      </c>
      <c r="O94" s="233">
        <f>L94-1</f>
        <v>2</v>
      </c>
      <c r="P94" s="29" t="e">
        <f>N94/O94</f>
        <v>#NUM!</v>
      </c>
      <c r="Q94" s="29" t="s">
        <v>16</v>
      </c>
      <c r="R94" s="29" t="s">
        <v>16</v>
      </c>
      <c r="S94" s="236" t="e">
        <f>N94/N84</f>
        <v>#NUM!</v>
      </c>
    </row>
    <row r="95" spans="2:19" x14ac:dyDescent="0.25">
      <c r="B95" s="232" t="s">
        <v>52</v>
      </c>
      <c r="C95" s="233" t="s">
        <v>16</v>
      </c>
      <c r="D95" s="29" t="s">
        <v>16</v>
      </c>
      <c r="E95" s="29">
        <f>C94*C85*(AVERAGE(J23:J31)-AVERAGE(K22:K32))^2/C84</f>
        <v>80.410946969696766</v>
      </c>
      <c r="F95" s="233">
        <v>1</v>
      </c>
      <c r="G95" s="29">
        <f t="shared" ref="G95" si="15">E95/F95</f>
        <v>80.410946969696766</v>
      </c>
      <c r="H95" s="29">
        <f>G95/G94</f>
        <v>60.308210227272568</v>
      </c>
      <c r="I95" s="29">
        <f>FINV(0.05,F95,F94)</f>
        <v>18.512820512820511</v>
      </c>
      <c r="J95" s="236">
        <f>E95/E84</f>
        <v>5.7323530339400942E-2</v>
      </c>
      <c r="K95" s="232" t="s">
        <v>52</v>
      </c>
      <c r="L95" s="233" t="str">
        <f>C95</f>
        <v>x</v>
      </c>
      <c r="M95" s="29" t="s">
        <v>16</v>
      </c>
      <c r="N95" s="29" t="e">
        <f>L94*L85*(AVERAGE(L23:L31)-AVERAGE(M22:M32))^2/L84</f>
        <v>#DIV/0!</v>
      </c>
      <c r="O95" s="233">
        <v>1</v>
      </c>
      <c r="P95" s="29" t="e">
        <f>N95/O95</f>
        <v>#DIV/0!</v>
      </c>
      <c r="Q95" s="29" t="e">
        <f>P95/P94</f>
        <v>#DIV/0!</v>
      </c>
      <c r="R95" s="29">
        <f>FINV(0.05,O95,O94)</f>
        <v>18.512820512820511</v>
      </c>
      <c r="S95" s="236" t="e">
        <f>N95/N84</f>
        <v>#DIV/0!</v>
      </c>
    </row>
    <row r="96" spans="2:19" x14ac:dyDescent="0.25">
      <c r="B96" s="237"/>
      <c r="C96" s="237"/>
      <c r="D96" s="237"/>
      <c r="E96" s="237"/>
      <c r="F96" s="237"/>
      <c r="G96" s="237"/>
      <c r="H96" s="237"/>
      <c r="I96" s="237"/>
      <c r="J96" s="237"/>
      <c r="K96" s="174"/>
      <c r="L96" s="238"/>
      <c r="M96" s="238"/>
    </row>
    <row r="97" spans="2:19" x14ac:dyDescent="0.25">
      <c r="B97" s="339" t="s">
        <v>184</v>
      </c>
      <c r="C97" s="339"/>
      <c r="D97" s="339"/>
      <c r="E97" s="339"/>
      <c r="F97" s="339"/>
      <c r="G97" s="339"/>
      <c r="H97" s="339"/>
      <c r="I97" s="339"/>
      <c r="J97" s="339"/>
      <c r="K97" s="339" t="s">
        <v>185</v>
      </c>
      <c r="L97" s="339"/>
      <c r="M97" s="339"/>
      <c r="N97" s="339"/>
      <c r="O97" s="339"/>
      <c r="P97" s="339"/>
      <c r="Q97" s="339"/>
      <c r="R97" s="339"/>
      <c r="S97" s="339"/>
    </row>
    <row r="98" spans="2:19" x14ac:dyDescent="0.25">
      <c r="B98" s="305" t="s">
        <v>27</v>
      </c>
      <c r="C98" s="305"/>
      <c r="D98" s="305"/>
      <c r="E98" s="305" t="s">
        <v>6</v>
      </c>
      <c r="F98" s="305"/>
      <c r="G98" s="305"/>
      <c r="H98" s="305"/>
      <c r="I98" s="305"/>
      <c r="J98" s="305"/>
      <c r="K98" s="305" t="s">
        <v>27</v>
      </c>
      <c r="L98" s="305"/>
      <c r="M98" s="305"/>
      <c r="N98" s="305" t="s">
        <v>6</v>
      </c>
      <c r="O98" s="305"/>
      <c r="P98" s="305"/>
      <c r="Q98" s="305"/>
      <c r="R98" s="305"/>
      <c r="S98" s="305"/>
    </row>
    <row r="99" spans="2:19" x14ac:dyDescent="0.25">
      <c r="B99" s="232" t="s">
        <v>28</v>
      </c>
      <c r="C99" s="232" t="s">
        <v>0</v>
      </c>
      <c r="D99" s="232" t="s">
        <v>47</v>
      </c>
      <c r="E99" s="232" t="s">
        <v>7</v>
      </c>
      <c r="F99" s="232" t="s">
        <v>8</v>
      </c>
      <c r="G99" s="232" t="s">
        <v>9</v>
      </c>
      <c r="H99" s="232" t="s">
        <v>10</v>
      </c>
      <c r="I99" s="232" t="s">
        <v>24</v>
      </c>
      <c r="J99" s="232" t="s">
        <v>25</v>
      </c>
      <c r="K99" s="232" t="s">
        <v>28</v>
      </c>
      <c r="L99" s="232" t="s">
        <v>0</v>
      </c>
      <c r="M99" s="232" t="s">
        <v>47</v>
      </c>
      <c r="N99" s="232" t="s">
        <v>7</v>
      </c>
      <c r="O99" s="232" t="s">
        <v>8</v>
      </c>
      <c r="P99" s="232" t="s">
        <v>9</v>
      </c>
      <c r="Q99" s="232" t="s">
        <v>10</v>
      </c>
      <c r="R99" s="232" t="s">
        <v>24</v>
      </c>
      <c r="S99" s="232" t="s">
        <v>25</v>
      </c>
    </row>
    <row r="100" spans="2:19" x14ac:dyDescent="0.25">
      <c r="B100" s="232" t="s">
        <v>48</v>
      </c>
      <c r="C100" s="233">
        <f t="shared" ref="C100:C111" si="16">C84</f>
        <v>11</v>
      </c>
      <c r="D100" s="234" t="s">
        <v>16</v>
      </c>
      <c r="E100" s="29" t="e">
        <f>DEVSQ(N22:O32)</f>
        <v>#NUM!</v>
      </c>
      <c r="F100" s="233">
        <f>C100-1</f>
        <v>10</v>
      </c>
      <c r="G100" s="29" t="e">
        <f t="shared" ref="G100:G106" si="17">E100/F100</f>
        <v>#NUM!</v>
      </c>
      <c r="H100" s="235" t="s">
        <v>16</v>
      </c>
      <c r="I100" s="235" t="s">
        <v>16</v>
      </c>
      <c r="J100" s="236" t="e">
        <f>SUM(J102:J109,J111)</f>
        <v>#NUM!</v>
      </c>
      <c r="K100" s="232" t="s">
        <v>48</v>
      </c>
      <c r="L100" s="233">
        <f t="shared" ref="L100:L111" si="18">C84</f>
        <v>11</v>
      </c>
      <c r="M100" s="234" t="s">
        <v>16</v>
      </c>
      <c r="N100" s="29" t="e">
        <f>DEVSQ(P22:Q32)</f>
        <v>#NUM!</v>
      </c>
      <c r="O100" s="233">
        <f>L100-1</f>
        <v>10</v>
      </c>
      <c r="P100" s="29" t="e">
        <f t="shared" ref="P100:P106" si="19">N100/O100</f>
        <v>#NUM!</v>
      </c>
      <c r="Q100" s="235" t="s">
        <v>16</v>
      </c>
      <c r="R100" s="235" t="s">
        <v>16</v>
      </c>
      <c r="S100" s="236" t="e">
        <f>SUM(S102:S109,S111)</f>
        <v>#NUM!</v>
      </c>
    </row>
    <row r="101" spans="2:19" x14ac:dyDescent="0.25">
      <c r="B101" s="232" t="s">
        <v>26</v>
      </c>
      <c r="C101" s="233">
        <f t="shared" si="16"/>
        <v>8</v>
      </c>
      <c r="D101" s="234" t="s">
        <v>16</v>
      </c>
      <c r="E101" s="29">
        <f>SUM(E103:E109)</f>
        <v>0</v>
      </c>
      <c r="F101" s="233">
        <f>SUM(F103:F109)</f>
        <v>7</v>
      </c>
      <c r="G101" s="29">
        <f t="shared" si="17"/>
        <v>0</v>
      </c>
      <c r="H101" s="29" t="e">
        <f>G101/G102</f>
        <v>#NUM!</v>
      </c>
      <c r="I101" s="29">
        <f>FINV(0.05,F101,F102)</f>
        <v>8.886742955634281</v>
      </c>
      <c r="J101" s="236" t="e">
        <f>SUM(J103:J109)</f>
        <v>#NUM!</v>
      </c>
      <c r="K101" s="232" t="s">
        <v>26</v>
      </c>
      <c r="L101" s="233">
        <f t="shared" si="18"/>
        <v>8</v>
      </c>
      <c r="M101" s="234" t="s">
        <v>16</v>
      </c>
      <c r="N101" s="29">
        <f>SUM(N103:N109)</f>
        <v>0</v>
      </c>
      <c r="O101" s="233">
        <f>SUM(O103:O109)</f>
        <v>7</v>
      </c>
      <c r="P101" s="29">
        <f t="shared" si="19"/>
        <v>0</v>
      </c>
      <c r="Q101" s="29" t="e">
        <f>P101/P102</f>
        <v>#NUM!</v>
      </c>
      <c r="R101" s="29">
        <f>FINV(0.05,O101,O102)</f>
        <v>8.886742955634281</v>
      </c>
      <c r="S101" s="236" t="e">
        <f>SUM(S103:S109)</f>
        <v>#NUM!</v>
      </c>
    </row>
    <row r="102" spans="2:19" x14ac:dyDescent="0.25">
      <c r="B102" s="232" t="s">
        <v>29</v>
      </c>
      <c r="C102" s="233" t="str">
        <f t="shared" si="16"/>
        <v>x</v>
      </c>
      <c r="D102" s="234" t="s">
        <v>16</v>
      </c>
      <c r="E102" s="29" t="e">
        <f>E100-E101-E111</f>
        <v>#NUM!</v>
      </c>
      <c r="F102" s="233">
        <f>F100-F101</f>
        <v>3</v>
      </c>
      <c r="G102" s="29" t="e">
        <f t="shared" si="17"/>
        <v>#NUM!</v>
      </c>
      <c r="H102" s="235" t="s">
        <v>16</v>
      </c>
      <c r="I102" s="235" t="s">
        <v>16</v>
      </c>
      <c r="J102" s="236" t="e">
        <f>E102/E100</f>
        <v>#NUM!</v>
      </c>
      <c r="K102" s="232" t="s">
        <v>29</v>
      </c>
      <c r="L102" s="233" t="str">
        <f t="shared" si="18"/>
        <v>x</v>
      </c>
      <c r="M102" s="234" t="s">
        <v>16</v>
      </c>
      <c r="N102" s="29" t="e">
        <f>N100-N101-N111</f>
        <v>#NUM!</v>
      </c>
      <c r="O102" s="233">
        <f>O100-O101</f>
        <v>3</v>
      </c>
      <c r="P102" s="29" t="e">
        <f t="shared" si="19"/>
        <v>#NUM!</v>
      </c>
      <c r="Q102" s="235" t="s">
        <v>16</v>
      </c>
      <c r="R102" s="235" t="s">
        <v>16</v>
      </c>
      <c r="S102" s="236" t="e">
        <f>N102/N100</f>
        <v>#NUM!</v>
      </c>
    </row>
    <row r="103" spans="2:19" x14ac:dyDescent="0.25">
      <c r="B103" s="232" t="str">
        <f t="shared" ref="B103:B109" si="20">B87</f>
        <v>débit</v>
      </c>
      <c r="C103" s="233">
        <f t="shared" si="16"/>
        <v>2</v>
      </c>
      <c r="D103" s="234">
        <f>D40</f>
        <v>0</v>
      </c>
      <c r="E103" s="29">
        <f>D103^2*C$85</f>
        <v>0</v>
      </c>
      <c r="F103" s="233">
        <f>C103-1</f>
        <v>1</v>
      </c>
      <c r="G103" s="29">
        <f t="shared" si="17"/>
        <v>0</v>
      </c>
      <c r="H103" s="29">
        <f>G103/$G$86</f>
        <v>0</v>
      </c>
      <c r="I103" s="29">
        <f>FINV(0.05,F103,$F$86)</f>
        <v>10.127964486013932</v>
      </c>
      <c r="J103" s="236" t="e">
        <f>E103/$E$100</f>
        <v>#NUM!</v>
      </c>
      <c r="K103" s="232" t="str">
        <f t="shared" ref="K103:K109" si="21">B87</f>
        <v>débit</v>
      </c>
      <c r="L103" s="233">
        <f t="shared" si="18"/>
        <v>2</v>
      </c>
      <c r="M103" s="234">
        <f>D41</f>
        <v>0</v>
      </c>
      <c r="N103" s="29">
        <f>M103^2*C$85</f>
        <v>0</v>
      </c>
      <c r="O103" s="233">
        <f>L103-1</f>
        <v>1</v>
      </c>
      <c r="P103" s="29">
        <f t="shared" si="19"/>
        <v>0</v>
      </c>
      <c r="Q103" s="29">
        <f>P103/$G$86</f>
        <v>0</v>
      </c>
      <c r="R103" s="29">
        <f>FINV(0.05,O103,$F$86)</f>
        <v>10.127964486013932</v>
      </c>
      <c r="S103" s="236" t="e">
        <f>N103/$N$100</f>
        <v>#NUM!</v>
      </c>
    </row>
    <row r="104" spans="2:19" x14ac:dyDescent="0.25">
      <c r="B104" s="232" t="str">
        <f t="shared" si="20"/>
        <v>pH</v>
      </c>
      <c r="C104" s="233">
        <f t="shared" si="16"/>
        <v>2</v>
      </c>
      <c r="D104" s="234">
        <f>E40</f>
        <v>0</v>
      </c>
      <c r="E104" s="29">
        <f>D104^2*C$85</f>
        <v>0</v>
      </c>
      <c r="F104" s="233">
        <f>C104-1</f>
        <v>1</v>
      </c>
      <c r="G104" s="29">
        <f t="shared" si="17"/>
        <v>0</v>
      </c>
      <c r="H104" s="29">
        <f>G104/$G$86</f>
        <v>0</v>
      </c>
      <c r="I104" s="29">
        <f>FINV(0.05,F104,$F$86)</f>
        <v>10.127964486013932</v>
      </c>
      <c r="J104" s="236" t="e">
        <f>E104/$E$100</f>
        <v>#NUM!</v>
      </c>
      <c r="K104" s="232" t="str">
        <f t="shared" si="21"/>
        <v>pH</v>
      </c>
      <c r="L104" s="233">
        <f t="shared" si="18"/>
        <v>2</v>
      </c>
      <c r="M104" s="234">
        <f>E41</f>
        <v>0</v>
      </c>
      <c r="N104" s="29">
        <f>M104^2*C$85</f>
        <v>0</v>
      </c>
      <c r="O104" s="233">
        <f>L104-1</f>
        <v>1</v>
      </c>
      <c r="P104" s="29">
        <f t="shared" si="19"/>
        <v>0</v>
      </c>
      <c r="Q104" s="29">
        <f>P104/$G$86</f>
        <v>0</v>
      </c>
      <c r="R104" s="29">
        <f>FINV(0.05,O104,$F$86)</f>
        <v>10.127964486013932</v>
      </c>
      <c r="S104" s="236" t="e">
        <f>N104/$N$100</f>
        <v>#NUM!</v>
      </c>
    </row>
    <row r="105" spans="2:19" x14ac:dyDescent="0.25">
      <c r="B105" s="232" t="str">
        <f t="shared" si="20"/>
        <v>volume</v>
      </c>
      <c r="C105" s="233">
        <f t="shared" si="16"/>
        <v>2</v>
      </c>
      <c r="D105" s="29">
        <f>F40</f>
        <v>0</v>
      </c>
      <c r="E105" s="29">
        <f>D105^2*C$85</f>
        <v>0</v>
      </c>
      <c r="F105" s="233">
        <f>C105-1</f>
        <v>1</v>
      </c>
      <c r="G105" s="29">
        <f t="shared" si="17"/>
        <v>0</v>
      </c>
      <c r="H105" s="29">
        <f>G105/$G$86</f>
        <v>0</v>
      </c>
      <c r="I105" s="29">
        <f>FINV(0.05,F105,$F$86)</f>
        <v>10.127964486013932</v>
      </c>
      <c r="J105" s="236" t="e">
        <f>E105/$E$100</f>
        <v>#NUM!</v>
      </c>
      <c r="K105" s="232" t="str">
        <f t="shared" si="21"/>
        <v>volume</v>
      </c>
      <c r="L105" s="233">
        <f t="shared" si="18"/>
        <v>2</v>
      </c>
      <c r="M105" s="29">
        <f>F41</f>
        <v>0</v>
      </c>
      <c r="N105" s="29">
        <f>M105^2*C$85</f>
        <v>0</v>
      </c>
      <c r="O105" s="233">
        <f>L105-1</f>
        <v>1</v>
      </c>
      <c r="P105" s="29">
        <f t="shared" si="19"/>
        <v>0</v>
      </c>
      <c r="Q105" s="29">
        <f>P105/$G$86</f>
        <v>0</v>
      </c>
      <c r="R105" s="29">
        <f>FINV(0.05,O105,$F$86)</f>
        <v>10.127964486013932</v>
      </c>
      <c r="S105" s="236" t="e">
        <f>N105/$N$100</f>
        <v>#NUM!</v>
      </c>
    </row>
    <row r="106" spans="2:19" x14ac:dyDescent="0.25">
      <c r="B106" s="232" t="str">
        <f t="shared" si="20"/>
        <v>T°C</v>
      </c>
      <c r="C106" s="233">
        <f t="shared" si="16"/>
        <v>2</v>
      </c>
      <c r="D106" s="29">
        <f>G40</f>
        <v>0</v>
      </c>
      <c r="E106" s="29">
        <f>D106^2*C$85</f>
        <v>0</v>
      </c>
      <c r="F106" s="233">
        <f>C106-1</f>
        <v>1</v>
      </c>
      <c r="G106" s="29">
        <f t="shared" si="17"/>
        <v>0</v>
      </c>
      <c r="H106" s="29">
        <f>G106/$G$86</f>
        <v>0</v>
      </c>
      <c r="I106" s="29">
        <f>FINV(0.05,F106,$F$86)</f>
        <v>10.127964486013932</v>
      </c>
      <c r="J106" s="236" t="e">
        <f>E106/$E$100</f>
        <v>#NUM!</v>
      </c>
      <c r="K106" s="232" t="str">
        <f t="shared" si="21"/>
        <v>T°C</v>
      </c>
      <c r="L106" s="233">
        <f t="shared" si="18"/>
        <v>2</v>
      </c>
      <c r="M106" s="29">
        <f>G41</f>
        <v>0</v>
      </c>
      <c r="N106" s="29">
        <f>M106^2*C$85</f>
        <v>0</v>
      </c>
      <c r="O106" s="233">
        <f>L106-1</f>
        <v>1</v>
      </c>
      <c r="P106" s="29">
        <f t="shared" si="19"/>
        <v>0</v>
      </c>
      <c r="Q106" s="29">
        <f>P106/$G$86</f>
        <v>0</v>
      </c>
      <c r="R106" s="29">
        <f>FINV(0.05,O106,$F$86)</f>
        <v>10.127964486013932</v>
      </c>
      <c r="S106" s="236" t="e">
        <f>N106/$N$100</f>
        <v>#NUM!</v>
      </c>
    </row>
    <row r="107" spans="2:19" x14ac:dyDescent="0.25">
      <c r="B107" s="232" t="str">
        <f t="shared" si="20"/>
        <v>colonne</v>
      </c>
      <c r="C107" s="233">
        <f t="shared" si="16"/>
        <v>2</v>
      </c>
      <c r="D107" s="29">
        <f>H40</f>
        <v>0</v>
      </c>
      <c r="E107" s="29">
        <f>IF(B107="","",D107^2*C$85)</f>
        <v>0</v>
      </c>
      <c r="F107" s="233">
        <f t="shared" ref="F107:F108" si="22">IF(B107="","",C107-1)</f>
        <v>1</v>
      </c>
      <c r="G107" s="29">
        <f t="shared" ref="G107:G108" si="23">IF(B107="","",E107/F107)</f>
        <v>0</v>
      </c>
      <c r="H107" s="29">
        <f>IF(B107="","",G107/$G$86)</f>
        <v>0</v>
      </c>
      <c r="I107" s="29">
        <f>IF(B107="","",FINV(0.05,F107,$F$86))</f>
        <v>10.127964486013932</v>
      </c>
      <c r="J107" s="236" t="e">
        <f>IF(B107="","",E107/$E$100)</f>
        <v>#NUM!</v>
      </c>
      <c r="K107" s="232" t="str">
        <f t="shared" si="21"/>
        <v>colonne</v>
      </c>
      <c r="L107" s="233">
        <f t="shared" si="18"/>
        <v>2</v>
      </c>
      <c r="M107" s="29">
        <f>H41</f>
        <v>0</v>
      </c>
      <c r="N107" s="29">
        <f>IF(K107="","",M107^2*C$85)</f>
        <v>0</v>
      </c>
      <c r="O107" s="233">
        <f t="shared" ref="O107:O108" si="24">IF(K107="","",L107-1)</f>
        <v>1</v>
      </c>
      <c r="P107" s="29">
        <f t="shared" ref="P107:P108" si="25">IF(K107="","",N107/O107)</f>
        <v>0</v>
      </c>
      <c r="Q107" s="29">
        <f>IF(K107="","",P107/$G$86)</f>
        <v>0</v>
      </c>
      <c r="R107" s="29">
        <f>IF(K107="","",FINV(0.05,O107,$F$86))</f>
        <v>10.127964486013932</v>
      </c>
      <c r="S107" s="236" t="e">
        <f>IF(K107="","",N107/$N$100)</f>
        <v>#NUM!</v>
      </c>
    </row>
    <row r="108" spans="2:19" x14ac:dyDescent="0.25">
      <c r="B108" s="232" t="str">
        <f t="shared" si="20"/>
        <v>gaz</v>
      </c>
      <c r="C108" s="233">
        <f t="shared" si="16"/>
        <v>2</v>
      </c>
      <c r="D108" s="29">
        <f>I40</f>
        <v>0</v>
      </c>
      <c r="E108" s="29">
        <f>IF(B108="","",D108^2*C$85)</f>
        <v>0</v>
      </c>
      <c r="F108" s="233">
        <f t="shared" si="22"/>
        <v>1</v>
      </c>
      <c r="G108" s="29">
        <f t="shared" si="23"/>
        <v>0</v>
      </c>
      <c r="H108" s="29">
        <f>IF(B108="","",G108/$G$86)</f>
        <v>0</v>
      </c>
      <c r="I108" s="29">
        <f>IF(B108="","",FINV(0.05,F108,$F$86))</f>
        <v>10.127964486013932</v>
      </c>
      <c r="J108" s="236" t="e">
        <f>IF(B108="","",E108/$E$100)</f>
        <v>#NUM!</v>
      </c>
      <c r="K108" s="232" t="str">
        <f t="shared" si="21"/>
        <v>gaz</v>
      </c>
      <c r="L108" s="233">
        <f t="shared" si="18"/>
        <v>2</v>
      </c>
      <c r="M108" s="29">
        <f>I41</f>
        <v>0</v>
      </c>
      <c r="N108" s="29">
        <f>IF(K108="","",M108^2*C$85)</f>
        <v>0</v>
      </c>
      <c r="O108" s="233">
        <f t="shared" si="24"/>
        <v>1</v>
      </c>
      <c r="P108" s="29">
        <f t="shared" si="25"/>
        <v>0</v>
      </c>
      <c r="Q108" s="29">
        <f>IF(K108="","",P108/$G$86)</f>
        <v>0</v>
      </c>
      <c r="R108" s="29">
        <f>IF(K108="","",FINV(0.05,O108,$F$86))</f>
        <v>10.127964486013932</v>
      </c>
      <c r="S108" s="236" t="e">
        <f>IF(K108="","",N108/$N$100)</f>
        <v>#NUM!</v>
      </c>
    </row>
    <row r="109" spans="2:19" x14ac:dyDescent="0.25">
      <c r="B109" s="232" t="str">
        <f t="shared" si="20"/>
        <v>éthanol</v>
      </c>
      <c r="C109" s="233">
        <f t="shared" si="16"/>
        <v>2</v>
      </c>
      <c r="D109" s="29">
        <f>J40</f>
        <v>0</v>
      </c>
      <c r="E109" s="29">
        <f>IF(B109="","",D109^2*C$85)</f>
        <v>0</v>
      </c>
      <c r="F109" s="233">
        <f>IF(B109="","",C109-1)</f>
        <v>1</v>
      </c>
      <c r="G109" s="29">
        <f>IF(B109="","",E109/F109)</f>
        <v>0</v>
      </c>
      <c r="H109" s="29">
        <f>IF(B109="","",G109/$G$86)</f>
        <v>0</v>
      </c>
      <c r="I109" s="29">
        <f>IF(B109="","",FINV(0.05,F109,$F$86))</f>
        <v>10.127964486013932</v>
      </c>
      <c r="J109" s="236" t="e">
        <f>IF(B109="","",E109/$E$100)</f>
        <v>#NUM!</v>
      </c>
      <c r="K109" s="232" t="str">
        <f t="shared" si="21"/>
        <v>éthanol</v>
      </c>
      <c r="L109" s="233">
        <f t="shared" si="18"/>
        <v>2</v>
      </c>
      <c r="M109" s="29">
        <f>J41</f>
        <v>0</v>
      </c>
      <c r="N109" s="29">
        <f>IF(K109="","",M109^2*C$85)</f>
        <v>0</v>
      </c>
      <c r="O109" s="233">
        <f>IF(K109="","",L109-1)</f>
        <v>1</v>
      </c>
      <c r="P109" s="29">
        <f>IF(K109="","",N109/O109)</f>
        <v>0</v>
      </c>
      <c r="Q109" s="29">
        <f>IF(K109="","",P109/$G$86)</f>
        <v>0</v>
      </c>
      <c r="R109" s="29">
        <f>IF(K109="","",FINV(0.05,O109,$F$86))</f>
        <v>10.127964486013932</v>
      </c>
      <c r="S109" s="236" t="e">
        <f>IF(K109="","",N109/$N$100)</f>
        <v>#NUM!</v>
      </c>
    </row>
    <row r="110" spans="2:19" x14ac:dyDescent="0.25">
      <c r="B110" s="232" t="s">
        <v>53</v>
      </c>
      <c r="C110" s="233">
        <f t="shared" si="16"/>
        <v>3</v>
      </c>
      <c r="D110" s="29" t="s">
        <v>16</v>
      </c>
      <c r="E110" s="29" t="e">
        <f>DEVSQ(O22:O32)</f>
        <v>#NUM!</v>
      </c>
      <c r="F110" s="233">
        <f>C110-1</f>
        <v>2</v>
      </c>
      <c r="G110" s="29" t="e">
        <f>E110/F110</f>
        <v>#NUM!</v>
      </c>
      <c r="H110" s="29" t="s">
        <v>16</v>
      </c>
      <c r="I110" s="29" t="s">
        <v>16</v>
      </c>
      <c r="J110" s="236" t="e">
        <f>E110/E100</f>
        <v>#NUM!</v>
      </c>
      <c r="K110" s="232" t="s">
        <v>53</v>
      </c>
      <c r="L110" s="233">
        <f t="shared" si="18"/>
        <v>3</v>
      </c>
      <c r="M110" s="29" t="s">
        <v>16</v>
      </c>
      <c r="N110" s="29" t="e">
        <f>DEVSQ(Q22:Q32)</f>
        <v>#NUM!</v>
      </c>
      <c r="O110" s="233">
        <f>L110-1</f>
        <v>2</v>
      </c>
      <c r="P110" s="29" t="e">
        <f>N110/O110</f>
        <v>#NUM!</v>
      </c>
      <c r="Q110" s="29" t="s">
        <v>16</v>
      </c>
      <c r="R110" s="29" t="s">
        <v>16</v>
      </c>
      <c r="S110" s="236" t="e">
        <f>N110/N100</f>
        <v>#NUM!</v>
      </c>
    </row>
    <row r="111" spans="2:19" x14ac:dyDescent="0.25">
      <c r="B111" s="232" t="s">
        <v>52</v>
      </c>
      <c r="C111" s="233" t="str">
        <f t="shared" si="16"/>
        <v>x</v>
      </c>
      <c r="D111" s="29" t="s">
        <v>16</v>
      </c>
      <c r="E111" s="29" t="e">
        <f>C110*C101*(AVERAGE(N23:N31)-AVERAGE(O22:O32))^2/C100</f>
        <v>#DIV/0!</v>
      </c>
      <c r="F111" s="233">
        <v>1</v>
      </c>
      <c r="G111" s="29" t="e">
        <f t="shared" ref="G111" si="26">E111/F111</f>
        <v>#DIV/0!</v>
      </c>
      <c r="H111" s="29" t="e">
        <f>G111/G110</f>
        <v>#DIV/0!</v>
      </c>
      <c r="I111" s="29">
        <f>FINV(0.05,F111,F110)</f>
        <v>18.512820512820511</v>
      </c>
      <c r="J111" s="236" t="e">
        <f>E111/E100</f>
        <v>#DIV/0!</v>
      </c>
      <c r="K111" s="232" t="s">
        <v>52</v>
      </c>
      <c r="L111" s="233" t="str">
        <f t="shared" si="18"/>
        <v>x</v>
      </c>
      <c r="M111" s="29" t="s">
        <v>16</v>
      </c>
      <c r="N111" s="29" t="e">
        <f>L110*L101*(AVERAGE(P23:P31)-AVERAGE(Q22:Q32))^2/L100</f>
        <v>#DIV/0!</v>
      </c>
      <c r="O111" s="233">
        <v>1</v>
      </c>
      <c r="P111" s="29" t="e">
        <f t="shared" ref="P111" si="27">N111/O111</f>
        <v>#DIV/0!</v>
      </c>
      <c r="Q111" s="29" t="e">
        <f>P111/P110</f>
        <v>#DIV/0!</v>
      </c>
      <c r="R111" s="29">
        <f>FINV(0.05,O111,O110)</f>
        <v>18.512820512820511</v>
      </c>
      <c r="S111" s="236" t="e">
        <f>N111/N100</f>
        <v>#DIV/0!</v>
      </c>
    </row>
    <row r="113" spans="2:10" x14ac:dyDescent="0.25">
      <c r="B113" s="339" t="s">
        <v>136</v>
      </c>
      <c r="C113" s="339"/>
      <c r="D113" s="339"/>
      <c r="E113" s="339"/>
      <c r="F113" s="339"/>
      <c r="G113" s="339"/>
      <c r="H113" s="339"/>
      <c r="I113" s="339"/>
      <c r="J113" s="339"/>
    </row>
    <row r="114" spans="2:10" x14ac:dyDescent="0.25">
      <c r="B114" s="305" t="s">
        <v>27</v>
      </c>
      <c r="C114" s="305"/>
      <c r="D114" s="305"/>
      <c r="E114" s="305" t="s">
        <v>6</v>
      </c>
      <c r="F114" s="305"/>
      <c r="G114" s="305"/>
      <c r="H114" s="305"/>
      <c r="I114" s="305"/>
      <c r="J114" s="305"/>
    </row>
    <row r="115" spans="2:10" x14ac:dyDescent="0.25">
      <c r="B115" s="232" t="s">
        <v>28</v>
      </c>
      <c r="C115" s="232" t="s">
        <v>0</v>
      </c>
      <c r="D115" s="232" t="s">
        <v>47</v>
      </c>
      <c r="E115" s="232" t="s">
        <v>7</v>
      </c>
      <c r="F115" s="232" t="s">
        <v>8</v>
      </c>
      <c r="G115" s="232" t="s">
        <v>9</v>
      </c>
      <c r="H115" s="232" t="s">
        <v>10</v>
      </c>
      <c r="I115" s="232" t="s">
        <v>24</v>
      </c>
      <c r="J115" s="232" t="s">
        <v>25</v>
      </c>
    </row>
    <row r="116" spans="2:10" x14ac:dyDescent="0.25">
      <c r="B116" s="232" t="s">
        <v>48</v>
      </c>
      <c r="C116" s="233">
        <v>11</v>
      </c>
      <c r="D116" s="234" t="s">
        <v>16</v>
      </c>
      <c r="E116" s="29" t="e">
        <f>DEVSQ(R22:S32)</f>
        <v>#NUM!</v>
      </c>
      <c r="F116" s="233">
        <f>C116-1</f>
        <v>10</v>
      </c>
      <c r="G116" s="29" t="e">
        <f t="shared" ref="G116:G122" si="28">E116/F116</f>
        <v>#NUM!</v>
      </c>
      <c r="H116" s="235" t="s">
        <v>16</v>
      </c>
      <c r="I116" s="235" t="s">
        <v>16</v>
      </c>
      <c r="J116" s="236" t="e">
        <f>SUM(J118:J125,J127)</f>
        <v>#NUM!</v>
      </c>
    </row>
    <row r="117" spans="2:10" x14ac:dyDescent="0.25">
      <c r="B117" s="232" t="s">
        <v>26</v>
      </c>
      <c r="C117" s="233">
        <v>8</v>
      </c>
      <c r="D117" s="234" t="s">
        <v>16</v>
      </c>
      <c r="E117" s="29">
        <f>SUM(E119:E125)</f>
        <v>0</v>
      </c>
      <c r="F117" s="233">
        <f>SUM(F119:F125)</f>
        <v>7</v>
      </c>
      <c r="G117" s="29">
        <f t="shared" si="28"/>
        <v>0</v>
      </c>
      <c r="H117" s="29" t="e">
        <f>G117/G118</f>
        <v>#NUM!</v>
      </c>
      <c r="I117" s="29">
        <f>FINV(0.05,F117,F118)</f>
        <v>8.886742955634281</v>
      </c>
      <c r="J117" s="236" t="e">
        <f>SUM(J119:J125)</f>
        <v>#NUM!</v>
      </c>
    </row>
    <row r="118" spans="2:10" x14ac:dyDescent="0.25">
      <c r="B118" s="232" t="s">
        <v>29</v>
      </c>
      <c r="C118" s="233" t="str">
        <f t="shared" ref="C118:C127" si="29">C102</f>
        <v>x</v>
      </c>
      <c r="D118" s="234" t="s">
        <v>16</v>
      </c>
      <c r="E118" s="29" t="e">
        <f>E116-E117-E127</f>
        <v>#NUM!</v>
      </c>
      <c r="F118" s="233">
        <f>F116-F117</f>
        <v>3</v>
      </c>
      <c r="G118" s="29" t="e">
        <f t="shared" si="28"/>
        <v>#NUM!</v>
      </c>
      <c r="H118" s="235" t="s">
        <v>16</v>
      </c>
      <c r="I118" s="235" t="s">
        <v>16</v>
      </c>
      <c r="J118" s="236" t="e">
        <f>E118/E116</f>
        <v>#NUM!</v>
      </c>
    </row>
    <row r="119" spans="2:10" x14ac:dyDescent="0.25">
      <c r="B119" s="232" t="str">
        <f t="shared" ref="B119:B125" si="30">B103</f>
        <v>débit</v>
      </c>
      <c r="C119" s="233">
        <f t="shared" si="29"/>
        <v>2</v>
      </c>
      <c r="D119" s="234">
        <f>D42</f>
        <v>0</v>
      </c>
      <c r="E119" s="29">
        <f>D119^2*C$117</f>
        <v>0</v>
      </c>
      <c r="F119" s="233">
        <f>C119-1</f>
        <v>1</v>
      </c>
      <c r="G119" s="29">
        <f t="shared" si="28"/>
        <v>0</v>
      </c>
      <c r="H119" s="29" t="e">
        <f>G119/$G$118</f>
        <v>#NUM!</v>
      </c>
      <c r="I119" s="29">
        <f>FINV(0.05,F119,$F$118)</f>
        <v>10.127964486013932</v>
      </c>
      <c r="J119" s="236" t="e">
        <f>E119/$E$116</f>
        <v>#NUM!</v>
      </c>
    </row>
    <row r="120" spans="2:10" x14ac:dyDescent="0.25">
      <c r="B120" s="232" t="str">
        <f t="shared" si="30"/>
        <v>pH</v>
      </c>
      <c r="C120" s="233">
        <f t="shared" si="29"/>
        <v>2</v>
      </c>
      <c r="D120" s="234">
        <f>E42</f>
        <v>0</v>
      </c>
      <c r="E120" s="29">
        <f t="shared" ref="E120:E124" si="31">D120^2*C$117</f>
        <v>0</v>
      </c>
      <c r="F120" s="233">
        <f>C120-1</f>
        <v>1</v>
      </c>
      <c r="G120" s="29">
        <f t="shared" si="28"/>
        <v>0</v>
      </c>
      <c r="H120" s="29" t="e">
        <f t="shared" ref="H120:H124" si="32">G120/$G$118</f>
        <v>#NUM!</v>
      </c>
      <c r="I120" s="29">
        <f>FINV(0.05,F120,$F$118)</f>
        <v>10.127964486013932</v>
      </c>
      <c r="J120" s="236" t="e">
        <f>E120/$E$116</f>
        <v>#NUM!</v>
      </c>
    </row>
    <row r="121" spans="2:10" x14ac:dyDescent="0.25">
      <c r="B121" s="232" t="str">
        <f t="shared" si="30"/>
        <v>volume</v>
      </c>
      <c r="C121" s="233">
        <f t="shared" si="29"/>
        <v>2</v>
      </c>
      <c r="D121" s="29">
        <f>F42</f>
        <v>0</v>
      </c>
      <c r="E121" s="29">
        <f t="shared" si="31"/>
        <v>0</v>
      </c>
      <c r="F121" s="233">
        <f>C121-1</f>
        <v>1</v>
      </c>
      <c r="G121" s="29">
        <f t="shared" si="28"/>
        <v>0</v>
      </c>
      <c r="H121" s="29" t="e">
        <f t="shared" si="32"/>
        <v>#NUM!</v>
      </c>
      <c r="I121" s="29">
        <f t="shared" ref="I121:I124" si="33">FINV(0.05,F121,$F$118)</f>
        <v>10.127964486013932</v>
      </c>
      <c r="J121" s="236" t="e">
        <f>E121/$E$116</f>
        <v>#NUM!</v>
      </c>
    </row>
    <row r="122" spans="2:10" x14ac:dyDescent="0.25">
      <c r="B122" s="232" t="str">
        <f t="shared" si="30"/>
        <v>T°C</v>
      </c>
      <c r="C122" s="233">
        <f t="shared" si="29"/>
        <v>2</v>
      </c>
      <c r="D122" s="29">
        <f>G42</f>
        <v>0</v>
      </c>
      <c r="E122" s="29">
        <f t="shared" si="31"/>
        <v>0</v>
      </c>
      <c r="F122" s="233">
        <f>C122-1</f>
        <v>1</v>
      </c>
      <c r="G122" s="29">
        <f t="shared" si="28"/>
        <v>0</v>
      </c>
      <c r="H122" s="29" t="e">
        <f t="shared" si="32"/>
        <v>#NUM!</v>
      </c>
      <c r="I122" s="29">
        <f t="shared" si="33"/>
        <v>10.127964486013932</v>
      </c>
      <c r="J122" s="236" t="e">
        <f>E122/$E$116</f>
        <v>#NUM!</v>
      </c>
    </row>
    <row r="123" spans="2:10" x14ac:dyDescent="0.25">
      <c r="B123" s="232" t="str">
        <f t="shared" si="30"/>
        <v>colonne</v>
      </c>
      <c r="C123" s="233">
        <f t="shared" si="29"/>
        <v>2</v>
      </c>
      <c r="D123" s="29">
        <f>H42</f>
        <v>0</v>
      </c>
      <c r="E123" s="29">
        <f t="shared" si="31"/>
        <v>0</v>
      </c>
      <c r="F123" s="233">
        <f t="shared" ref="F123:F124" si="34">IF(B123="","",C123-1)</f>
        <v>1</v>
      </c>
      <c r="G123" s="29">
        <f t="shared" ref="G123:G124" si="35">IF(B123="","",E123/F123)</f>
        <v>0</v>
      </c>
      <c r="H123" s="29" t="e">
        <f t="shared" si="32"/>
        <v>#NUM!</v>
      </c>
      <c r="I123" s="29">
        <f t="shared" si="33"/>
        <v>10.127964486013932</v>
      </c>
      <c r="J123" s="236" t="e">
        <f>IF(B123="","",E123/$E$116)</f>
        <v>#NUM!</v>
      </c>
    </row>
    <row r="124" spans="2:10" x14ac:dyDescent="0.25">
      <c r="B124" s="232" t="str">
        <f t="shared" si="30"/>
        <v>gaz</v>
      </c>
      <c r="C124" s="233">
        <f t="shared" si="29"/>
        <v>2</v>
      </c>
      <c r="D124" s="29">
        <f>I42</f>
        <v>0</v>
      </c>
      <c r="E124" s="29">
        <f t="shared" si="31"/>
        <v>0</v>
      </c>
      <c r="F124" s="233">
        <f t="shared" si="34"/>
        <v>1</v>
      </c>
      <c r="G124" s="29">
        <f t="shared" si="35"/>
        <v>0</v>
      </c>
      <c r="H124" s="29" t="e">
        <f t="shared" si="32"/>
        <v>#NUM!</v>
      </c>
      <c r="I124" s="29">
        <f t="shared" si="33"/>
        <v>10.127964486013932</v>
      </c>
      <c r="J124" s="236" t="e">
        <f>IF(B124="","",E124/$E$116)</f>
        <v>#NUM!</v>
      </c>
    </row>
    <row r="125" spans="2:10" x14ac:dyDescent="0.25">
      <c r="B125" s="232" t="str">
        <f t="shared" si="30"/>
        <v>éthanol</v>
      </c>
      <c r="C125" s="233">
        <f t="shared" si="29"/>
        <v>2</v>
      </c>
      <c r="D125" s="29">
        <f>J42</f>
        <v>0</v>
      </c>
      <c r="E125" s="29">
        <f>IF(B125="","",D125^2*C$85)</f>
        <v>0</v>
      </c>
      <c r="F125" s="233">
        <f>IF(B125="","",C125-1)</f>
        <v>1</v>
      </c>
      <c r="G125" s="29">
        <f>IF(B125="","",E125/F125)</f>
        <v>0</v>
      </c>
      <c r="H125" s="29">
        <f>IF(B125="","",G125/$G$86)</f>
        <v>0</v>
      </c>
      <c r="I125" s="29">
        <f>IF(B125="","",FINV(0.05,F125,$F$86))</f>
        <v>10.127964486013932</v>
      </c>
      <c r="J125" s="236" t="e">
        <f>IF(B125="","",E125/$E$116)</f>
        <v>#NUM!</v>
      </c>
    </row>
    <row r="126" spans="2:10" x14ac:dyDescent="0.25">
      <c r="B126" s="232" t="s">
        <v>53</v>
      </c>
      <c r="C126" s="233">
        <v>3</v>
      </c>
      <c r="D126" s="29" t="s">
        <v>16</v>
      </c>
      <c r="E126" s="29" t="e">
        <f>DEVSQ(S22:S32)</f>
        <v>#NUM!</v>
      </c>
      <c r="F126" s="233">
        <f>C126-1</f>
        <v>2</v>
      </c>
      <c r="G126" s="29" t="e">
        <f>E126/F126</f>
        <v>#NUM!</v>
      </c>
      <c r="H126" s="29" t="s">
        <v>16</v>
      </c>
      <c r="I126" s="29" t="s">
        <v>16</v>
      </c>
      <c r="J126" s="236" t="e">
        <f>E126/E116</f>
        <v>#NUM!</v>
      </c>
    </row>
    <row r="127" spans="2:10" x14ac:dyDescent="0.25">
      <c r="B127" s="232" t="s">
        <v>52</v>
      </c>
      <c r="C127" s="233" t="str">
        <f t="shared" si="29"/>
        <v>x</v>
      </c>
      <c r="D127" s="29" t="s">
        <v>16</v>
      </c>
      <c r="E127" s="29" t="e">
        <f>C126*C117*(AVERAGE(R23:R31)-AVERAGE(S22:S32))^2/C116</f>
        <v>#DIV/0!</v>
      </c>
      <c r="F127" s="233">
        <v>1</v>
      </c>
      <c r="G127" s="29" t="e">
        <f t="shared" ref="G127" si="36">E127/F127</f>
        <v>#DIV/0!</v>
      </c>
      <c r="H127" s="29" t="e">
        <f>G127/G126</f>
        <v>#DIV/0!</v>
      </c>
      <c r="I127" s="29">
        <f>FINV(0.05,F127,F126)</f>
        <v>18.512820512820511</v>
      </c>
      <c r="J127" s="236" t="e">
        <f>E127/E116</f>
        <v>#DIV/0!</v>
      </c>
    </row>
    <row r="128" spans="2:10" x14ac:dyDescent="0.25">
      <c r="B128" s="239"/>
      <c r="C128" s="239"/>
      <c r="D128" s="240"/>
      <c r="E128" s="240"/>
      <c r="F128" s="239"/>
      <c r="G128" s="240"/>
      <c r="H128" s="240"/>
      <c r="I128" s="240"/>
      <c r="J128" s="241"/>
    </row>
    <row r="129" spans="2:19" x14ac:dyDescent="0.25">
      <c r="B129" s="16" t="s">
        <v>63</v>
      </c>
      <c r="C129" s="159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</row>
  </sheetData>
  <mergeCells count="21">
    <mergeCell ref="B3:T3"/>
    <mergeCell ref="B113:J113"/>
    <mergeCell ref="B114:D114"/>
    <mergeCell ref="E114:J114"/>
    <mergeCell ref="C9:F9"/>
    <mergeCell ref="G9:I9"/>
    <mergeCell ref="B97:J97"/>
    <mergeCell ref="B98:D98"/>
    <mergeCell ref="E98:J98"/>
    <mergeCell ref="K97:S97"/>
    <mergeCell ref="K98:M98"/>
    <mergeCell ref="N98:S98"/>
    <mergeCell ref="K81:S81"/>
    <mergeCell ref="K82:M82"/>
    <mergeCell ref="N82:S82"/>
    <mergeCell ref="B81:J81"/>
    <mergeCell ref="B82:D82"/>
    <mergeCell ref="E82:J82"/>
    <mergeCell ref="C20:I20"/>
    <mergeCell ref="J21:K21"/>
    <mergeCell ref="J20:K20"/>
  </mergeCells>
  <conditionalFormatting sqref="H87">
    <cfRule type="cellIs" dxfId="68" priority="52" operator="greaterThan">
      <formula>$I$87</formula>
    </cfRule>
  </conditionalFormatting>
  <conditionalFormatting sqref="H88">
    <cfRule type="cellIs" dxfId="67" priority="51" operator="greaterThan">
      <formula>$I$88</formula>
    </cfRule>
  </conditionalFormatting>
  <conditionalFormatting sqref="H89">
    <cfRule type="cellIs" dxfId="66" priority="50" operator="greaterThan">
      <formula>$I$89</formula>
    </cfRule>
  </conditionalFormatting>
  <conditionalFormatting sqref="H90">
    <cfRule type="cellIs" dxfId="65" priority="49" operator="greaterThan">
      <formula>$I$90</formula>
    </cfRule>
  </conditionalFormatting>
  <conditionalFormatting sqref="H91">
    <cfRule type="cellIs" dxfId="64" priority="26" operator="greaterThan">
      <formula>$I$91</formula>
    </cfRule>
  </conditionalFormatting>
  <conditionalFormatting sqref="H91:H93">
    <cfRule type="cellIs" dxfId="63" priority="46" operator="greaterThan">
      <formula>$I$93</formula>
    </cfRule>
  </conditionalFormatting>
  <conditionalFormatting sqref="H92">
    <cfRule type="cellIs" dxfId="62" priority="25" operator="greaterThan">
      <formula>$I$92</formula>
    </cfRule>
  </conditionalFormatting>
  <conditionalFormatting sqref="H95">
    <cfRule type="cellIs" dxfId="61" priority="45" operator="greaterThan">
      <formula>$I$95</formula>
    </cfRule>
  </conditionalFormatting>
  <conditionalFormatting sqref="H103">
    <cfRule type="cellIs" dxfId="60" priority="38" operator="greaterThan">
      <formula>$I$87</formula>
    </cfRule>
  </conditionalFormatting>
  <conditionalFormatting sqref="H104">
    <cfRule type="cellIs" dxfId="59" priority="37" operator="greaterThan">
      <formula>$I$88</formula>
    </cfRule>
  </conditionalFormatting>
  <conditionalFormatting sqref="H105">
    <cfRule type="cellIs" dxfId="58" priority="36" operator="greaterThan">
      <formula>$I$89</formula>
    </cfRule>
  </conditionalFormatting>
  <conditionalFormatting sqref="H106">
    <cfRule type="cellIs" dxfId="57" priority="35" operator="greaterThan">
      <formula>$I$90</formula>
    </cfRule>
  </conditionalFormatting>
  <conditionalFormatting sqref="H107">
    <cfRule type="cellIs" dxfId="56" priority="19" operator="greaterThan">
      <formula>$I$107</formula>
    </cfRule>
  </conditionalFormatting>
  <conditionalFormatting sqref="H107:H109">
    <cfRule type="cellIs" dxfId="55" priority="34" operator="greaterThan">
      <formula>$I$93</formula>
    </cfRule>
  </conditionalFormatting>
  <conditionalFormatting sqref="H108">
    <cfRule type="cellIs" dxfId="54" priority="20" operator="greaterThan">
      <formula>$I$108</formula>
    </cfRule>
  </conditionalFormatting>
  <conditionalFormatting sqref="H109">
    <cfRule type="cellIs" dxfId="53" priority="21" operator="greaterThan">
      <formula>$I$109</formula>
    </cfRule>
  </conditionalFormatting>
  <conditionalFormatting sqref="H111">
    <cfRule type="cellIs" dxfId="52" priority="33" operator="greaterThan">
      <formula>$I$95</formula>
    </cfRule>
  </conditionalFormatting>
  <conditionalFormatting sqref="H119:H124">
    <cfRule type="cellIs" dxfId="51" priority="9" operator="greaterThan">
      <formula>$I$87</formula>
    </cfRule>
  </conditionalFormatting>
  <conditionalFormatting sqref="H125">
    <cfRule type="cellIs" dxfId="50" priority="3" operator="greaterThan">
      <formula>$I$109</formula>
    </cfRule>
    <cfRule type="cellIs" dxfId="49" priority="5" operator="greaterThan">
      <formula>$I$93</formula>
    </cfRule>
  </conditionalFormatting>
  <conditionalFormatting sqref="H127:H128">
    <cfRule type="cellIs" dxfId="48" priority="4" operator="greaterThan">
      <formula>$I$95</formula>
    </cfRule>
  </conditionalFormatting>
  <conditionalFormatting sqref="Q87">
    <cfRule type="cellIs" dxfId="47" priority="44" operator="greaterThan">
      <formula>$I$87</formula>
    </cfRule>
  </conditionalFormatting>
  <conditionalFormatting sqref="Q88">
    <cfRule type="cellIs" dxfId="46" priority="43" operator="greaterThan">
      <formula>$I$88</formula>
    </cfRule>
  </conditionalFormatting>
  <conditionalFormatting sqref="Q89">
    <cfRule type="cellIs" dxfId="45" priority="42" operator="greaterThan">
      <formula>$I$89</formula>
    </cfRule>
  </conditionalFormatting>
  <conditionalFormatting sqref="Q90">
    <cfRule type="cellIs" dxfId="44" priority="41" operator="greaterThan">
      <formula>$I$90</formula>
    </cfRule>
  </conditionalFormatting>
  <conditionalFormatting sqref="Q91:Q93">
    <cfRule type="cellIs" dxfId="43" priority="40" operator="greaterThan">
      <formula>$I$93</formula>
    </cfRule>
  </conditionalFormatting>
  <conditionalFormatting sqref="Q95">
    <cfRule type="cellIs" dxfId="42" priority="39" operator="greaterThan">
      <formula>$I$95</formula>
    </cfRule>
  </conditionalFormatting>
  <conditionalFormatting sqref="Q103">
    <cfRule type="cellIs" dxfId="41" priority="32" operator="greaterThan">
      <formula>$I$87</formula>
    </cfRule>
  </conditionalFormatting>
  <conditionalFormatting sqref="Q104">
    <cfRule type="cellIs" dxfId="40" priority="31" operator="greaterThan">
      <formula>$I$88</formula>
    </cfRule>
  </conditionalFormatting>
  <conditionalFormatting sqref="Q105">
    <cfRule type="cellIs" dxfId="39" priority="30" operator="greaterThan">
      <formula>$I$89</formula>
    </cfRule>
  </conditionalFormatting>
  <conditionalFormatting sqref="Q106">
    <cfRule type="cellIs" dxfId="38" priority="29" operator="greaterThan">
      <formula>$I$90</formula>
    </cfRule>
  </conditionalFormatting>
  <conditionalFormatting sqref="Q107">
    <cfRule type="cellIs" dxfId="37" priority="23" operator="greaterThan">
      <formula>$R$107</formula>
    </cfRule>
  </conditionalFormatting>
  <conditionalFormatting sqref="Q107:Q109">
    <cfRule type="cellIs" dxfId="36" priority="28" operator="greaterThan">
      <formula>$I$93</formula>
    </cfRule>
  </conditionalFormatting>
  <conditionalFormatting sqref="Q108">
    <cfRule type="cellIs" dxfId="35" priority="24" operator="greaterThan">
      <formula>$R$108</formula>
    </cfRule>
  </conditionalFormatting>
  <conditionalFormatting sqref="Q109">
    <cfRule type="cellIs" dxfId="34" priority="22" operator="greaterThan">
      <formula>$R$109</formula>
    </cfRule>
  </conditionalFormatting>
  <conditionalFormatting sqref="Q111">
    <cfRule type="cellIs" dxfId="33" priority="27" operator="greaterThan">
      <formula>$I$95</formula>
    </cfRule>
  </conditionalFormatting>
  <pageMargins left="0.78740157499999996" right="0.78740157499999996" top="0.984251969" bottom="0.984251969" header="0.4921259845" footer="0.4921259845"/>
  <pageSetup paperSize="9" orientation="portrait" r:id="rId1"/>
  <headerFooter alignWithMargins="0"/>
  <ignoredErrors>
    <ignoredError sqref="C21:I21 B20 D20:I20 B24:I26 B22:I22 B23:I23 B28:I31 B27:I27 B32:I32" formula="1"/>
    <ignoredError sqref="K39:K42" evalError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B2:L31"/>
  <sheetViews>
    <sheetView showGridLines="0" zoomScale="70" zoomScaleNormal="70" workbookViewId="0">
      <selection activeCell="N7" sqref="N7"/>
    </sheetView>
  </sheetViews>
  <sheetFormatPr baseColWidth="10" defaultColWidth="11.42578125" defaultRowHeight="15" x14ac:dyDescent="0.25"/>
  <cols>
    <col min="1" max="16384" width="11.42578125" style="124"/>
  </cols>
  <sheetData>
    <row r="2" spans="2:12" x14ac:dyDescent="0.25">
      <c r="B2" s="16" t="s">
        <v>306</v>
      </c>
      <c r="C2" s="159"/>
      <c r="D2" s="123"/>
      <c r="E2" s="123"/>
      <c r="F2" s="123"/>
      <c r="G2" s="123"/>
      <c r="H2" s="123"/>
      <c r="I2" s="123"/>
      <c r="J2" s="123"/>
      <c r="K2" s="123"/>
      <c r="L2" s="123"/>
    </row>
    <row r="3" spans="2:12" x14ac:dyDescent="0.25">
      <c r="B3" s="153" t="s">
        <v>307</v>
      </c>
      <c r="C3" s="130"/>
      <c r="D3" s="130"/>
      <c r="E3" s="130"/>
      <c r="F3" s="130"/>
      <c r="G3" s="130"/>
      <c r="H3" s="130"/>
      <c r="I3" s="130"/>
      <c r="J3" s="130"/>
      <c r="K3" s="130"/>
      <c r="L3" s="130"/>
    </row>
    <row r="4" spans="2:12" x14ac:dyDescent="0.25"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</row>
    <row r="5" spans="2:12" x14ac:dyDescent="0.25">
      <c r="B5" s="130"/>
      <c r="C5" s="118" t="s">
        <v>308</v>
      </c>
      <c r="D5" s="130"/>
      <c r="E5" s="346" t="s">
        <v>66</v>
      </c>
      <c r="F5" s="347"/>
      <c r="G5" s="122" t="s">
        <v>67</v>
      </c>
      <c r="H5" s="130"/>
      <c r="I5" s="130"/>
      <c r="J5" s="130"/>
      <c r="K5" s="130"/>
      <c r="L5" s="130"/>
    </row>
    <row r="6" spans="2:12" x14ac:dyDescent="0.25">
      <c r="B6" s="118" t="s">
        <v>1</v>
      </c>
      <c r="C6" s="242"/>
      <c r="D6" s="130"/>
      <c r="E6" s="130"/>
      <c r="F6" s="130"/>
      <c r="G6" s="130"/>
      <c r="H6" s="130"/>
      <c r="I6" s="130"/>
      <c r="J6" s="130"/>
      <c r="K6" s="130"/>
      <c r="L6" s="130"/>
    </row>
    <row r="7" spans="2:12" x14ac:dyDescent="0.25">
      <c r="B7" s="118" t="s">
        <v>2</v>
      </c>
      <c r="C7" s="242"/>
      <c r="D7" s="130"/>
      <c r="E7" s="118" t="s">
        <v>54</v>
      </c>
      <c r="F7" s="118" t="s">
        <v>60</v>
      </c>
      <c r="G7" s="130"/>
      <c r="H7" s="130"/>
      <c r="I7" s="130"/>
      <c r="J7" s="130"/>
      <c r="K7" s="130"/>
      <c r="L7" s="130"/>
    </row>
    <row r="8" spans="2:12" x14ac:dyDescent="0.25">
      <c r="B8" s="118" t="s">
        <v>3</v>
      </c>
      <c r="C8" s="242"/>
      <c r="D8" s="130"/>
      <c r="E8" s="23" t="e">
        <f>STDEV(C6:C11)</f>
        <v>#DIV/0!</v>
      </c>
      <c r="F8" s="23" t="e">
        <f>3.3*E8</f>
        <v>#DIV/0!</v>
      </c>
      <c r="G8" s="130"/>
      <c r="H8" s="130"/>
      <c r="I8" s="130"/>
      <c r="J8" s="130"/>
      <c r="K8" s="130"/>
      <c r="L8" s="130"/>
    </row>
    <row r="9" spans="2:12" x14ac:dyDescent="0.25">
      <c r="B9" s="118" t="s">
        <v>57</v>
      </c>
      <c r="C9" s="242"/>
      <c r="D9" s="130"/>
      <c r="E9" s="130"/>
      <c r="F9" s="129"/>
      <c r="G9" s="129"/>
      <c r="H9" s="130"/>
      <c r="I9" s="130"/>
      <c r="J9" s="130"/>
      <c r="K9" s="130"/>
      <c r="L9" s="130"/>
    </row>
    <row r="10" spans="2:12" x14ac:dyDescent="0.25">
      <c r="B10" s="118" t="s">
        <v>58</v>
      </c>
      <c r="C10" s="242"/>
      <c r="D10" s="130"/>
      <c r="E10" s="128" t="s">
        <v>318</v>
      </c>
      <c r="F10" s="129"/>
      <c r="G10" s="129"/>
      <c r="H10" s="130"/>
      <c r="I10" s="130"/>
      <c r="J10" s="130"/>
      <c r="K10" s="130"/>
      <c r="L10" s="130"/>
    </row>
    <row r="11" spans="2:12" x14ac:dyDescent="0.25">
      <c r="B11" s="118" t="s">
        <v>59</v>
      </c>
      <c r="C11" s="242"/>
      <c r="D11" s="130"/>
      <c r="E11" s="128" t="s">
        <v>311</v>
      </c>
      <c r="F11" s="129"/>
      <c r="G11" s="129"/>
      <c r="H11" s="130"/>
      <c r="I11" s="130"/>
      <c r="J11" s="130"/>
      <c r="K11" s="130"/>
      <c r="L11" s="130"/>
    </row>
    <row r="12" spans="2:12" x14ac:dyDescent="0.25">
      <c r="B12" s="130"/>
      <c r="C12" s="130"/>
      <c r="D12" s="130"/>
      <c r="E12" s="130"/>
      <c r="F12" s="130"/>
      <c r="G12" s="130"/>
      <c r="H12" s="130"/>
      <c r="I12" s="130"/>
      <c r="J12" s="130"/>
      <c r="K12" s="130"/>
      <c r="L12" s="130"/>
    </row>
    <row r="13" spans="2:12" x14ac:dyDescent="0.25">
      <c r="B13" s="16" t="s">
        <v>309</v>
      </c>
      <c r="C13" s="159"/>
      <c r="D13" s="123"/>
      <c r="E13" s="123"/>
      <c r="F13" s="123"/>
      <c r="G13" s="123"/>
      <c r="H13" s="123"/>
      <c r="I13" s="123"/>
      <c r="J13" s="123"/>
      <c r="K13" s="123"/>
      <c r="L13" s="123"/>
    </row>
    <row r="15" spans="2:12" x14ac:dyDescent="0.25">
      <c r="B15" s="128" t="s">
        <v>312</v>
      </c>
      <c r="I15" s="118" t="s">
        <v>61</v>
      </c>
    </row>
    <row r="16" spans="2:12" x14ac:dyDescent="0.25">
      <c r="B16" s="148" t="s">
        <v>313</v>
      </c>
      <c r="I16" s="243" t="e">
        <f>10*E8</f>
        <v>#DIV/0!</v>
      </c>
    </row>
    <row r="18" spans="2:12" x14ac:dyDescent="0.25">
      <c r="B18" s="16" t="s">
        <v>292</v>
      </c>
      <c r="C18" s="159"/>
      <c r="D18" s="123"/>
      <c r="E18" s="123"/>
      <c r="F18" s="123"/>
      <c r="G18" s="123"/>
      <c r="H18" s="123"/>
      <c r="I18" s="123"/>
      <c r="J18" s="123"/>
      <c r="K18" s="123"/>
      <c r="L18" s="123"/>
    </row>
    <row r="19" spans="2:12" x14ac:dyDescent="0.25">
      <c r="B19" s="148" t="s">
        <v>314</v>
      </c>
    </row>
    <row r="21" spans="2:12" x14ac:dyDescent="0.25">
      <c r="C21" s="118" t="s">
        <v>18</v>
      </c>
      <c r="D21" s="118" t="s">
        <v>61</v>
      </c>
      <c r="E21" s="118" t="s">
        <v>41</v>
      </c>
      <c r="F21" s="118" t="s">
        <v>265</v>
      </c>
      <c r="G21" s="118" t="s">
        <v>272</v>
      </c>
    </row>
    <row r="22" spans="2:12" x14ac:dyDescent="0.25">
      <c r="B22" s="118" t="s">
        <v>1</v>
      </c>
      <c r="C22" s="244"/>
      <c r="D22" s="2" t="e">
        <f>I16</f>
        <v>#DIV/0!</v>
      </c>
      <c r="E22" s="120" t="e">
        <f>C22/D22</f>
        <v>#DIV/0!</v>
      </c>
      <c r="F22" s="341" t="e">
        <f>AVERAGE(E22:E27)</f>
        <v>#DIV/0!</v>
      </c>
      <c r="G22" s="341" t="e">
        <f>STDEV(C22:C27)/AVERAGE(C22:C27)</f>
        <v>#DIV/0!</v>
      </c>
    </row>
    <row r="23" spans="2:12" x14ac:dyDescent="0.25">
      <c r="B23" s="118" t="s">
        <v>2</v>
      </c>
      <c r="C23" s="244"/>
      <c r="D23" s="2" t="e">
        <f>D22</f>
        <v>#DIV/0!</v>
      </c>
      <c r="E23" s="120" t="e">
        <f t="shared" ref="E23:E27" si="0">C23/D23</f>
        <v>#DIV/0!</v>
      </c>
      <c r="F23" s="342"/>
      <c r="G23" s="344"/>
    </row>
    <row r="24" spans="2:12" x14ac:dyDescent="0.25">
      <c r="B24" s="118" t="s">
        <v>3</v>
      </c>
      <c r="C24" s="244"/>
      <c r="D24" s="2" t="e">
        <f t="shared" ref="D24:D27" si="1">D23</f>
        <v>#DIV/0!</v>
      </c>
      <c r="E24" s="120" t="e">
        <f t="shared" si="0"/>
        <v>#DIV/0!</v>
      </c>
      <c r="F24" s="342"/>
      <c r="G24" s="344"/>
    </row>
    <row r="25" spans="2:12" x14ac:dyDescent="0.25">
      <c r="B25" s="118" t="s">
        <v>57</v>
      </c>
      <c r="C25" s="244"/>
      <c r="D25" s="2" t="e">
        <f t="shared" si="1"/>
        <v>#DIV/0!</v>
      </c>
      <c r="E25" s="120" t="e">
        <f t="shared" si="0"/>
        <v>#DIV/0!</v>
      </c>
      <c r="F25" s="342"/>
      <c r="G25" s="344"/>
    </row>
    <row r="26" spans="2:12" x14ac:dyDescent="0.25">
      <c r="B26" s="118" t="s">
        <v>58</v>
      </c>
      <c r="C26" s="244"/>
      <c r="D26" s="2" t="e">
        <f t="shared" si="1"/>
        <v>#DIV/0!</v>
      </c>
      <c r="E26" s="120" t="e">
        <f t="shared" si="0"/>
        <v>#DIV/0!</v>
      </c>
      <c r="F26" s="342"/>
      <c r="G26" s="344"/>
    </row>
    <row r="27" spans="2:12" x14ac:dyDescent="0.25">
      <c r="B27" s="118" t="s">
        <v>59</v>
      </c>
      <c r="C27" s="244"/>
      <c r="D27" s="2" t="e">
        <f t="shared" si="1"/>
        <v>#DIV/0!</v>
      </c>
      <c r="E27" s="120" t="e">
        <f t="shared" si="0"/>
        <v>#DIV/0!</v>
      </c>
      <c r="F27" s="343"/>
      <c r="G27" s="345"/>
    </row>
    <row r="28" spans="2:12" x14ac:dyDescent="0.25">
      <c r="F28" s="124" t="s">
        <v>245</v>
      </c>
      <c r="G28" s="245" t="s">
        <v>244</v>
      </c>
    </row>
    <row r="29" spans="2:12" x14ac:dyDescent="0.25">
      <c r="B29" s="155"/>
    </row>
    <row r="31" spans="2:12" x14ac:dyDescent="0.25">
      <c r="B31" s="16" t="s">
        <v>266</v>
      </c>
      <c r="C31" s="159"/>
      <c r="D31" s="123"/>
      <c r="E31" s="123"/>
      <c r="F31" s="123"/>
      <c r="G31" s="123"/>
      <c r="H31" s="123"/>
      <c r="I31" s="123"/>
      <c r="J31" s="123"/>
      <c r="K31" s="123"/>
      <c r="L31" s="123"/>
    </row>
  </sheetData>
  <mergeCells count="3">
    <mergeCell ref="F22:F27"/>
    <mergeCell ref="G22:G27"/>
    <mergeCell ref="E5:F5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2:J15"/>
  <sheetViews>
    <sheetView showFormulas="1" showGridLines="0" zoomScale="130" zoomScaleNormal="130" workbookViewId="0">
      <selection activeCell="I16" sqref="I16"/>
    </sheetView>
  </sheetViews>
  <sheetFormatPr baseColWidth="10" defaultColWidth="9.140625" defaultRowHeight="15" x14ac:dyDescent="0.25"/>
  <cols>
    <col min="2" max="2" width="3.5703125" customWidth="1"/>
    <col min="3" max="3" width="8.7109375" customWidth="1"/>
    <col min="6" max="6" width="1.140625" customWidth="1"/>
    <col min="7" max="7" width="0.85546875" customWidth="1"/>
    <col min="8" max="8" width="5" customWidth="1"/>
    <col min="9" max="9" width="23.85546875" customWidth="1"/>
  </cols>
  <sheetData>
    <row r="2" spans="1:10" x14ac:dyDescent="0.25">
      <c r="A2" s="349" t="s">
        <v>319</v>
      </c>
      <c r="B2" s="349"/>
      <c r="C2" s="349"/>
      <c r="D2" s="260"/>
      <c r="E2" s="260"/>
      <c r="F2" s="260"/>
      <c r="G2" s="260"/>
      <c r="H2" s="260"/>
      <c r="I2" s="260"/>
      <c r="J2" s="260"/>
    </row>
    <row r="4" spans="1:10" x14ac:dyDescent="0.25">
      <c r="C4" s="348" t="s">
        <v>320</v>
      </c>
      <c r="D4" s="348"/>
      <c r="E4" s="348"/>
      <c r="H4" s="69" t="s">
        <v>237</v>
      </c>
    </row>
    <row r="5" spans="1:10" x14ac:dyDescent="0.25">
      <c r="B5" s="100" t="s">
        <v>321</v>
      </c>
      <c r="C5" s="261">
        <v>1</v>
      </c>
      <c r="D5" s="261">
        <v>2</v>
      </c>
      <c r="E5" s="261">
        <v>3</v>
      </c>
      <c r="F5" s="35"/>
      <c r="H5" s="265" t="s">
        <v>23</v>
      </c>
      <c r="I5" s="266" t="e">
        <f>MAX(C13:E13)/AVERAGE(C12:E12)</f>
        <v>#DIV/0!</v>
      </c>
    </row>
    <row r="6" spans="1:10" x14ac:dyDescent="0.25">
      <c r="B6" s="100">
        <v>1</v>
      </c>
      <c r="C6" s="262"/>
      <c r="D6" s="262"/>
      <c r="E6" s="262"/>
      <c r="F6" s="263"/>
      <c r="H6" s="265" t="s">
        <v>42</v>
      </c>
      <c r="I6" s="266">
        <v>0.70699999999999996</v>
      </c>
    </row>
    <row r="7" spans="1:10" x14ac:dyDescent="0.25">
      <c r="B7" s="100">
        <v>2</v>
      </c>
      <c r="C7" s="262"/>
      <c r="D7" s="262"/>
      <c r="E7" s="262"/>
      <c r="F7" s="263"/>
    </row>
    <row r="8" spans="1:10" x14ac:dyDescent="0.25">
      <c r="B8" s="100">
        <v>3</v>
      </c>
      <c r="C8" s="262"/>
      <c r="D8" s="262"/>
      <c r="E8" s="262"/>
      <c r="F8" s="263"/>
      <c r="H8" s="264" t="s">
        <v>323</v>
      </c>
      <c r="I8" s="74" t="e">
        <f>AVERAGE(C13:E13)</f>
        <v>#DIV/0!</v>
      </c>
    </row>
    <row r="9" spans="1:10" x14ac:dyDescent="0.25">
      <c r="B9" s="100">
        <v>4</v>
      </c>
      <c r="C9" s="262"/>
      <c r="D9" s="262"/>
      <c r="E9" s="262"/>
      <c r="F9" s="263"/>
      <c r="H9" s="264" t="s">
        <v>324</v>
      </c>
      <c r="I9" s="74" t="e">
        <f>IF(VAR(C12:E12)-I8/6&lt;0,0+I8,VAR(C12:E12)-I8/6+I8)</f>
        <v>#DIV/0!</v>
      </c>
    </row>
    <row r="10" spans="1:10" x14ac:dyDescent="0.25">
      <c r="B10" s="100">
        <v>5</v>
      </c>
      <c r="C10" s="262"/>
      <c r="D10" s="262"/>
      <c r="E10" s="262"/>
      <c r="F10" s="263"/>
    </row>
    <row r="11" spans="1:10" x14ac:dyDescent="0.25">
      <c r="B11" s="100">
        <v>6</v>
      </c>
      <c r="C11" s="262"/>
      <c r="D11" s="262"/>
      <c r="E11" s="262"/>
      <c r="F11" s="263"/>
      <c r="H11" s="265" t="s">
        <v>325</v>
      </c>
      <c r="I11" s="267" t="e">
        <f>I8/AVERAGE(C12:E12)</f>
        <v>#DIV/0!</v>
      </c>
      <c r="J11" t="s">
        <v>327</v>
      </c>
    </row>
    <row r="12" spans="1:10" x14ac:dyDescent="0.25">
      <c r="B12" s="264" t="s">
        <v>322</v>
      </c>
      <c r="C12" s="74" t="e">
        <f>AVERAGE(C6:C11)</f>
        <v>#DIV/0!</v>
      </c>
      <c r="D12" s="74" t="e">
        <f t="shared" ref="D12:E12" si="0">AVERAGE(D6:D11)</f>
        <v>#DIV/0!</v>
      </c>
      <c r="E12" s="74" t="e">
        <f t="shared" si="0"/>
        <v>#DIV/0!</v>
      </c>
      <c r="F12" s="263"/>
      <c r="H12" s="265" t="s">
        <v>326</v>
      </c>
      <c r="I12" s="267" t="e">
        <f>I9/AVERAGE(C12:E12)</f>
        <v>#DIV/0!</v>
      </c>
      <c r="J12" t="s">
        <v>328</v>
      </c>
    </row>
    <row r="13" spans="1:10" x14ac:dyDescent="0.25">
      <c r="B13" s="264" t="s">
        <v>323</v>
      </c>
      <c r="C13" s="74" t="e">
        <f>VAR(C6:C11)</f>
        <v>#DIV/0!</v>
      </c>
      <c r="D13" s="74" t="e">
        <f t="shared" ref="D13:E13" si="1">VAR(D6:D11)</f>
        <v>#DIV/0!</v>
      </c>
      <c r="E13" s="74" t="e">
        <f t="shared" si="1"/>
        <v>#DIV/0!</v>
      </c>
    </row>
    <row r="15" spans="1:10" x14ac:dyDescent="0.25">
      <c r="A15" s="16" t="s">
        <v>266</v>
      </c>
      <c r="B15" s="260"/>
      <c r="C15" s="260"/>
      <c r="D15" s="260"/>
      <c r="E15" s="260"/>
      <c r="F15" s="260"/>
      <c r="G15" s="260"/>
      <c r="H15" s="260"/>
      <c r="I15" s="260"/>
      <c r="J15" s="260"/>
    </row>
  </sheetData>
  <mergeCells count="2">
    <mergeCell ref="C4:E4"/>
    <mergeCell ref="A2:C2"/>
  </mergeCells>
  <conditionalFormatting sqref="I5">
    <cfRule type="cellIs" dxfId="32" priority="6" operator="lessThan">
      <formula>$I$6</formula>
    </cfRule>
    <cfRule type="cellIs" dxfId="31" priority="7" operator="greaterThan">
      <formula>$I$6</formula>
    </cfRule>
  </conditionalFormatting>
  <conditionalFormatting sqref="I11">
    <cfRule type="cellIs" dxfId="30" priority="3" operator="lessThan">
      <formula>0.02</formula>
    </cfRule>
    <cfRule type="cellIs" dxfId="29" priority="4" operator="greaterThan">
      <formula>0.02</formula>
    </cfRule>
  </conditionalFormatting>
  <conditionalFormatting sqref="I12">
    <cfRule type="cellIs" dxfId="28" priority="1" operator="lessThan">
      <formula>0.03</formula>
    </cfRule>
    <cfRule type="cellIs" dxfId="27" priority="2" operator="greaterThan">
      <formula>0.03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9"/>
    <pageSetUpPr fitToPage="1"/>
  </sheetPr>
  <dimension ref="B1:R74"/>
  <sheetViews>
    <sheetView showGridLines="0" zoomScale="70" zoomScaleNormal="70" workbookViewId="0">
      <selection activeCell="J30" sqref="J30"/>
    </sheetView>
  </sheetViews>
  <sheetFormatPr baseColWidth="10" defaultColWidth="9.140625" defaultRowHeight="15" x14ac:dyDescent="0.25"/>
  <cols>
    <col min="1" max="1" width="9.140625" style="124"/>
    <col min="2" max="2" width="16" style="124" customWidth="1"/>
    <col min="3" max="3" width="11.5703125" style="245" customWidth="1"/>
    <col min="4" max="4" width="15.42578125" style="245" customWidth="1"/>
    <col min="5" max="5" width="13.85546875" style="245" customWidth="1"/>
    <col min="6" max="6" width="14.7109375" style="245" customWidth="1"/>
    <col min="7" max="7" width="16.42578125" style="245" customWidth="1"/>
    <col min="8" max="8" width="12.5703125" style="245" customWidth="1"/>
    <col min="9" max="9" width="14.7109375" style="245" customWidth="1"/>
    <col min="10" max="10" width="12" style="245" customWidth="1"/>
    <col min="11" max="11" width="9.140625" style="124"/>
    <col min="12" max="12" width="16" style="124" customWidth="1"/>
    <col min="13" max="16384" width="9.140625" style="124"/>
  </cols>
  <sheetData>
    <row r="1" spans="2:10" x14ac:dyDescent="0.25">
      <c r="B1" s="350" t="s">
        <v>103</v>
      </c>
      <c r="C1" s="350"/>
      <c r="D1" s="350"/>
      <c r="E1" s="350"/>
      <c r="F1" s="350"/>
      <c r="G1" s="350"/>
      <c r="H1" s="350"/>
      <c r="I1" s="124"/>
      <c r="J1" s="124"/>
    </row>
    <row r="2" spans="2:10" x14ac:dyDescent="0.25">
      <c r="B2" s="351" t="s">
        <v>104</v>
      </c>
      <c r="C2" s="351"/>
      <c r="D2" s="351"/>
      <c r="E2" s="351"/>
      <c r="F2" s="351"/>
      <c r="G2" s="351"/>
      <c r="H2" s="351"/>
      <c r="I2" s="124"/>
      <c r="J2" s="124"/>
    </row>
    <row r="3" spans="2:10" x14ac:dyDescent="0.25">
      <c r="B3" s="246"/>
      <c r="C3" s="246"/>
      <c r="D3" s="246"/>
      <c r="E3" s="246"/>
      <c r="F3" s="246"/>
      <c r="G3" s="246"/>
      <c r="H3" s="124"/>
      <c r="I3" s="124"/>
      <c r="J3" s="124"/>
    </row>
    <row r="4" spans="2:10" x14ac:dyDescent="0.25">
      <c r="B4" s="352" t="s">
        <v>105</v>
      </c>
      <c r="C4" s="352"/>
      <c r="D4" s="352"/>
      <c r="E4" s="352"/>
      <c r="F4" s="352"/>
      <c r="G4" s="352"/>
      <c r="H4" s="352"/>
      <c r="I4" s="124"/>
      <c r="J4" s="124"/>
    </row>
    <row r="5" spans="2:10" x14ac:dyDescent="0.25">
      <c r="C5" s="124"/>
      <c r="D5" s="124"/>
      <c r="E5" s="124"/>
      <c r="F5" s="124"/>
      <c r="G5" s="124"/>
      <c r="H5" s="124"/>
      <c r="I5" s="124"/>
      <c r="J5" s="124"/>
    </row>
    <row r="6" spans="2:10" s="248" customFormat="1" ht="45" x14ac:dyDescent="0.25">
      <c r="B6" s="53" t="s">
        <v>106</v>
      </c>
      <c r="C6" s="53" t="s">
        <v>107</v>
      </c>
      <c r="D6" s="53" t="s">
        <v>108</v>
      </c>
      <c r="E6" s="53" t="s">
        <v>109</v>
      </c>
      <c r="F6" s="53" t="s">
        <v>110</v>
      </c>
      <c r="G6" s="53" t="s">
        <v>111</v>
      </c>
      <c r="H6" s="247"/>
      <c r="I6" s="247"/>
      <c r="J6" s="247"/>
    </row>
    <row r="7" spans="2:10" ht="14.45" customHeight="1" x14ac:dyDescent="0.25">
      <c r="B7" s="353" t="s">
        <v>112</v>
      </c>
      <c r="C7" s="119" t="e">
        <f>#REF!</f>
        <v>#REF!</v>
      </c>
      <c r="D7" s="354" t="e">
        <f>AVERAGE(C7:C12)</f>
        <v>#REF!</v>
      </c>
      <c r="E7" s="355" t="e">
        <f>STDEV(C7:C12)/D7</f>
        <v>#REF!</v>
      </c>
      <c r="F7" s="356" t="s">
        <v>113</v>
      </c>
      <c r="G7" s="356" t="e">
        <f>IF(E7&lt;=2%,"CONFORME","NON CONFORME")</f>
        <v>#REF!</v>
      </c>
    </row>
    <row r="8" spans="2:10" x14ac:dyDescent="0.25">
      <c r="B8" s="353"/>
      <c r="C8" s="119" t="e">
        <f>#REF!</f>
        <v>#REF!</v>
      </c>
      <c r="D8" s="354"/>
      <c r="E8" s="355"/>
      <c r="F8" s="356"/>
      <c r="G8" s="356"/>
    </row>
    <row r="9" spans="2:10" x14ac:dyDescent="0.25">
      <c r="B9" s="353"/>
      <c r="C9" s="119" t="e">
        <f>#REF!</f>
        <v>#REF!</v>
      </c>
      <c r="D9" s="354"/>
      <c r="E9" s="355"/>
      <c r="F9" s="356"/>
      <c r="G9" s="356"/>
    </row>
    <row r="10" spans="2:10" x14ac:dyDescent="0.25">
      <c r="B10" s="353"/>
      <c r="C10" s="119" t="e">
        <f>#REF!</f>
        <v>#REF!</v>
      </c>
      <c r="D10" s="354"/>
      <c r="E10" s="355"/>
      <c r="F10" s="356"/>
      <c r="G10" s="356"/>
    </row>
    <row r="11" spans="2:10" x14ac:dyDescent="0.25">
      <c r="B11" s="353"/>
      <c r="C11" s="119" t="e">
        <f>#REF!</f>
        <v>#REF!</v>
      </c>
      <c r="D11" s="354"/>
      <c r="E11" s="355"/>
      <c r="F11" s="356"/>
      <c r="G11" s="356"/>
    </row>
    <row r="12" spans="2:10" x14ac:dyDescent="0.25">
      <c r="B12" s="353"/>
      <c r="C12" s="119" t="e">
        <f>#REF!</f>
        <v>#REF!</v>
      </c>
      <c r="D12" s="354"/>
      <c r="E12" s="355"/>
      <c r="F12" s="356"/>
      <c r="G12" s="356"/>
    </row>
    <row r="13" spans="2:10" x14ac:dyDescent="0.25">
      <c r="B13" s="353" t="s">
        <v>114</v>
      </c>
      <c r="C13" s="119" t="e">
        <f>#REF!</f>
        <v>#REF!</v>
      </c>
      <c r="D13" s="354" t="e">
        <f>AVERAGE(C13:C18)</f>
        <v>#REF!</v>
      </c>
      <c r="E13" s="355" t="e">
        <f>STDEV(C13:C18)/D13</f>
        <v>#REF!</v>
      </c>
      <c r="F13" s="356"/>
      <c r="G13" s="356" t="e">
        <f>IF(E13&lt;=2%,"CONFORME","NON CONFORME")</f>
        <v>#REF!</v>
      </c>
    </row>
    <row r="14" spans="2:10" x14ac:dyDescent="0.25">
      <c r="B14" s="353"/>
      <c r="C14" s="119" t="e">
        <f>#REF!</f>
        <v>#REF!</v>
      </c>
      <c r="D14" s="354"/>
      <c r="E14" s="355"/>
      <c r="F14" s="356"/>
      <c r="G14" s="356"/>
    </row>
    <row r="15" spans="2:10" x14ac:dyDescent="0.25">
      <c r="B15" s="353"/>
      <c r="C15" s="119" t="e">
        <f>#REF!</f>
        <v>#REF!</v>
      </c>
      <c r="D15" s="354"/>
      <c r="E15" s="355"/>
      <c r="F15" s="356"/>
      <c r="G15" s="356"/>
    </row>
    <row r="16" spans="2:10" x14ac:dyDescent="0.25">
      <c r="B16" s="353"/>
      <c r="C16" s="119" t="e">
        <f>#REF!</f>
        <v>#REF!</v>
      </c>
      <c r="D16" s="354"/>
      <c r="E16" s="355"/>
      <c r="F16" s="356"/>
      <c r="G16" s="356"/>
    </row>
    <row r="17" spans="2:8" x14ac:dyDescent="0.25">
      <c r="B17" s="353"/>
      <c r="C17" s="119" t="e">
        <f>#REF!</f>
        <v>#REF!</v>
      </c>
      <c r="D17" s="354"/>
      <c r="E17" s="355"/>
      <c r="F17" s="356"/>
      <c r="G17" s="356"/>
    </row>
    <row r="18" spans="2:8" x14ac:dyDescent="0.25">
      <c r="B18" s="353"/>
      <c r="C18" s="119" t="e">
        <f>#REF!</f>
        <v>#REF!</v>
      </c>
      <c r="D18" s="354"/>
      <c r="E18" s="355"/>
      <c r="F18" s="356"/>
      <c r="G18" s="356"/>
    </row>
    <row r="19" spans="2:8" x14ac:dyDescent="0.25">
      <c r="D19" s="77"/>
      <c r="E19" s="78"/>
      <c r="F19" s="79"/>
      <c r="G19" s="79"/>
    </row>
    <row r="20" spans="2:8" x14ac:dyDescent="0.25">
      <c r="B20" s="350" t="s">
        <v>115</v>
      </c>
      <c r="C20" s="350"/>
      <c r="D20" s="350"/>
      <c r="E20" s="350"/>
      <c r="F20" s="350"/>
      <c r="G20" s="350"/>
      <c r="H20" s="350"/>
    </row>
    <row r="21" spans="2:8" x14ac:dyDescent="0.25">
      <c r="B21" s="249"/>
      <c r="C21" s="249"/>
      <c r="D21" s="249"/>
      <c r="E21" s="249"/>
      <c r="F21" s="249"/>
      <c r="G21" s="249"/>
      <c r="H21" s="249"/>
    </row>
    <row r="22" spans="2:8" x14ac:dyDescent="0.25">
      <c r="C22" s="118" t="s">
        <v>116</v>
      </c>
      <c r="D22" s="118" t="s">
        <v>111</v>
      </c>
      <c r="E22" s="118" t="s">
        <v>117</v>
      </c>
      <c r="F22" s="118" t="s">
        <v>111</v>
      </c>
    </row>
    <row r="23" spans="2:8" x14ac:dyDescent="0.25">
      <c r="B23" s="250" t="s">
        <v>118</v>
      </c>
      <c r="C23" s="121" t="s">
        <v>140</v>
      </c>
      <c r="D23" s="121" t="s">
        <v>183</v>
      </c>
      <c r="E23" s="121" t="s">
        <v>140</v>
      </c>
      <c r="F23" s="121" t="s">
        <v>183</v>
      </c>
    </row>
    <row r="24" spans="2:8" x14ac:dyDescent="0.25">
      <c r="B24" s="250" t="s">
        <v>119</v>
      </c>
      <c r="C24" s="121" t="s">
        <v>140</v>
      </c>
      <c r="D24" s="121" t="s">
        <v>183</v>
      </c>
      <c r="E24" s="121" t="s">
        <v>140</v>
      </c>
      <c r="F24" s="121" t="s">
        <v>183</v>
      </c>
    </row>
    <row r="25" spans="2:8" x14ac:dyDescent="0.25">
      <c r="B25" s="250" t="s">
        <v>120</v>
      </c>
      <c r="C25" s="121" t="s">
        <v>140</v>
      </c>
      <c r="D25" s="121" t="s">
        <v>183</v>
      </c>
      <c r="E25" s="121" t="s">
        <v>140</v>
      </c>
      <c r="F25" s="121" t="s">
        <v>183</v>
      </c>
    </row>
    <row r="26" spans="2:8" x14ac:dyDescent="0.25">
      <c r="B26" s="250" t="s">
        <v>121</v>
      </c>
      <c r="C26" s="121" t="s">
        <v>140</v>
      </c>
      <c r="D26" s="121" t="s">
        <v>183</v>
      </c>
      <c r="E26" s="121" t="s">
        <v>140</v>
      </c>
      <c r="F26" s="121" t="s">
        <v>183</v>
      </c>
    </row>
    <row r="27" spans="2:8" x14ac:dyDescent="0.25">
      <c r="B27" s="250" t="s">
        <v>122</v>
      </c>
      <c r="C27" s="121" t="s">
        <v>140</v>
      </c>
      <c r="D27" s="121" t="s">
        <v>183</v>
      </c>
      <c r="E27" s="121" t="s">
        <v>140</v>
      </c>
      <c r="F27" s="121" t="s">
        <v>183</v>
      </c>
    </row>
    <row r="28" spans="2:8" x14ac:dyDescent="0.25">
      <c r="B28" s="250" t="s">
        <v>123</v>
      </c>
      <c r="C28" s="121" t="s">
        <v>140</v>
      </c>
      <c r="D28" s="121" t="s">
        <v>183</v>
      </c>
      <c r="E28" s="121" t="s">
        <v>140</v>
      </c>
      <c r="F28" s="121" t="s">
        <v>183</v>
      </c>
    </row>
    <row r="30" spans="2:8" x14ac:dyDescent="0.25">
      <c r="B30" s="352" t="s">
        <v>124</v>
      </c>
      <c r="C30" s="352"/>
      <c r="D30" s="352"/>
      <c r="E30" s="352"/>
      <c r="F30" s="352"/>
      <c r="G30" s="352"/>
      <c r="H30" s="352"/>
    </row>
    <row r="31" spans="2:8" x14ac:dyDescent="0.25">
      <c r="C31" s="118" t="s">
        <v>125</v>
      </c>
      <c r="D31" s="118" t="s">
        <v>111</v>
      </c>
      <c r="E31" s="118" t="s">
        <v>126</v>
      </c>
      <c r="F31" s="118" t="s">
        <v>111</v>
      </c>
    </row>
    <row r="32" spans="2:8" x14ac:dyDescent="0.25">
      <c r="B32" s="250" t="s">
        <v>118</v>
      </c>
      <c r="C32" s="121" t="s">
        <v>140</v>
      </c>
      <c r="D32" s="121" t="s">
        <v>183</v>
      </c>
      <c r="E32" s="121" t="s">
        <v>140</v>
      </c>
      <c r="F32" s="121" t="s">
        <v>183</v>
      </c>
    </row>
    <row r="33" spans="2:18" x14ac:dyDescent="0.25">
      <c r="B33" s="250" t="s">
        <v>119</v>
      </c>
      <c r="C33" s="121" t="s">
        <v>140</v>
      </c>
      <c r="D33" s="121" t="s">
        <v>183</v>
      </c>
      <c r="E33" s="121" t="s">
        <v>140</v>
      </c>
      <c r="F33" s="121" t="s">
        <v>183</v>
      </c>
    </row>
    <row r="34" spans="2:18" x14ac:dyDescent="0.25">
      <c r="B34" s="250" t="s">
        <v>120</v>
      </c>
      <c r="C34" s="121" t="s">
        <v>140</v>
      </c>
      <c r="D34" s="121" t="s">
        <v>183</v>
      </c>
      <c r="E34" s="121" t="s">
        <v>140</v>
      </c>
      <c r="F34" s="121" t="s">
        <v>183</v>
      </c>
    </row>
    <row r="35" spans="2:18" x14ac:dyDescent="0.25">
      <c r="B35" s="250" t="s">
        <v>121</v>
      </c>
      <c r="C35" s="121" t="s">
        <v>140</v>
      </c>
      <c r="D35" s="121" t="s">
        <v>183</v>
      </c>
      <c r="E35" s="121" t="s">
        <v>140</v>
      </c>
      <c r="F35" s="121" t="s">
        <v>183</v>
      </c>
    </row>
    <row r="36" spans="2:18" x14ac:dyDescent="0.25">
      <c r="B36" s="250" t="s">
        <v>122</v>
      </c>
      <c r="C36" s="121" t="s">
        <v>140</v>
      </c>
      <c r="D36" s="121" t="s">
        <v>183</v>
      </c>
      <c r="E36" s="121" t="s">
        <v>140</v>
      </c>
      <c r="F36" s="121" t="s">
        <v>183</v>
      </c>
    </row>
    <row r="37" spans="2:18" x14ac:dyDescent="0.25">
      <c r="B37" s="250" t="s">
        <v>123</v>
      </c>
      <c r="C37" s="121" t="s">
        <v>140</v>
      </c>
      <c r="D37" s="121" t="s">
        <v>183</v>
      </c>
      <c r="E37" s="121" t="s">
        <v>140</v>
      </c>
      <c r="F37" s="121" t="s">
        <v>183</v>
      </c>
    </row>
    <row r="39" spans="2:18" s="245" customFormat="1" x14ac:dyDescent="0.25">
      <c r="B39" s="350" t="s">
        <v>127</v>
      </c>
      <c r="C39" s="350"/>
      <c r="D39" s="350"/>
      <c r="E39" s="350"/>
      <c r="F39" s="350"/>
      <c r="G39" s="350"/>
      <c r="H39" s="350"/>
      <c r="K39" s="124"/>
      <c r="L39" s="124"/>
      <c r="M39" s="124"/>
      <c r="N39" s="124"/>
      <c r="O39" s="124"/>
      <c r="P39" s="124"/>
      <c r="Q39" s="124"/>
      <c r="R39" s="124"/>
    </row>
    <row r="40" spans="2:18" s="245" customFormat="1" ht="30" x14ac:dyDescent="0.25">
      <c r="B40" s="124"/>
      <c r="C40" s="53" t="s">
        <v>128</v>
      </c>
      <c r="D40" s="53" t="s">
        <v>129</v>
      </c>
      <c r="E40" s="53" t="s">
        <v>130</v>
      </c>
      <c r="F40" s="53" t="s">
        <v>110</v>
      </c>
      <c r="G40" s="53" t="s">
        <v>111</v>
      </c>
      <c r="K40" s="124"/>
      <c r="L40" s="124"/>
      <c r="M40" s="124"/>
      <c r="N40" s="124"/>
      <c r="O40" s="124"/>
      <c r="P40" s="124"/>
      <c r="Q40" s="124"/>
      <c r="R40" s="124"/>
    </row>
    <row r="41" spans="2:18" s="245" customFormat="1" x14ac:dyDescent="0.25">
      <c r="B41" s="250" t="s">
        <v>131</v>
      </c>
      <c r="C41" s="121" t="e">
        <f>#REF!</f>
        <v>#REF!</v>
      </c>
      <c r="D41" s="119" t="e">
        <f>D7</f>
        <v>#REF!</v>
      </c>
      <c r="E41" s="355" t="e">
        <f>(C41*D42)/(C42*D41)</f>
        <v>#REF!</v>
      </c>
      <c r="F41" s="357" t="s">
        <v>132</v>
      </c>
      <c r="G41" s="356" t="e">
        <f>IF(AND(E41&gt;=98%,E41&lt;=102%),"CONFORME","NON CONFORME")</f>
        <v>#REF!</v>
      </c>
      <c r="K41" s="124"/>
      <c r="L41" s="124"/>
      <c r="M41" s="124"/>
      <c r="N41" s="124"/>
      <c r="O41" s="124"/>
      <c r="P41" s="124"/>
      <c r="Q41" s="124"/>
      <c r="R41" s="124"/>
    </row>
    <row r="42" spans="2:18" s="245" customFormat="1" x14ac:dyDescent="0.25">
      <c r="B42" s="250" t="s">
        <v>133</v>
      </c>
      <c r="C42" s="121" t="e">
        <f>#REF!</f>
        <v>#REF!</v>
      </c>
      <c r="D42" s="119" t="e">
        <f>D13</f>
        <v>#REF!</v>
      </c>
      <c r="E42" s="355"/>
      <c r="F42" s="357"/>
      <c r="G42" s="356"/>
      <c r="K42" s="124"/>
      <c r="L42" s="124"/>
      <c r="M42" s="124"/>
      <c r="N42" s="124"/>
      <c r="O42" s="124"/>
      <c r="P42" s="124"/>
      <c r="Q42" s="124"/>
      <c r="R42" s="124"/>
    </row>
    <row r="43" spans="2:18" s="245" customFormat="1" x14ac:dyDescent="0.25">
      <c r="B43" s="124"/>
      <c r="C43" s="79"/>
      <c r="D43" s="79"/>
      <c r="E43" s="79"/>
      <c r="F43" s="133"/>
      <c r="G43" s="79"/>
      <c r="K43" s="124"/>
      <c r="L43" s="124"/>
      <c r="M43" s="124"/>
      <c r="N43" s="124"/>
      <c r="O43" s="124"/>
      <c r="P43" s="124"/>
      <c r="Q43" s="124"/>
      <c r="R43" s="124"/>
    </row>
    <row r="44" spans="2:18" s="245" customFormat="1" x14ac:dyDescent="0.25">
      <c r="B44" s="350" t="s">
        <v>134</v>
      </c>
      <c r="C44" s="350"/>
      <c r="D44" s="350"/>
      <c r="E44" s="350"/>
      <c r="F44" s="350"/>
      <c r="G44" s="350"/>
      <c r="H44" s="350"/>
      <c r="K44" s="124"/>
      <c r="L44" s="124"/>
      <c r="M44" s="124"/>
      <c r="N44" s="124"/>
      <c r="O44" s="124"/>
      <c r="P44" s="124"/>
      <c r="Q44" s="124"/>
      <c r="R44" s="124"/>
    </row>
    <row r="45" spans="2:18" s="245" customFormat="1" ht="30" x14ac:dyDescent="0.25">
      <c r="B45" s="124"/>
      <c r="C45" s="118" t="s">
        <v>135</v>
      </c>
      <c r="D45" s="118" t="s">
        <v>136</v>
      </c>
      <c r="E45" s="118" t="s">
        <v>137</v>
      </c>
      <c r="F45" s="118" t="s">
        <v>108</v>
      </c>
      <c r="G45" s="53" t="s">
        <v>110</v>
      </c>
      <c r="H45" s="53" t="s">
        <v>111</v>
      </c>
      <c r="K45" s="124"/>
      <c r="L45" s="124"/>
      <c r="M45" s="124"/>
      <c r="N45" s="124"/>
      <c r="O45" s="124"/>
      <c r="P45" s="124"/>
      <c r="Q45" s="124"/>
      <c r="R45" s="124"/>
    </row>
    <row r="46" spans="2:18" s="245" customFormat="1" x14ac:dyDescent="0.25">
      <c r="B46" s="353" t="s">
        <v>138</v>
      </c>
      <c r="C46" s="354" t="e">
        <f>#REF!</f>
        <v>#REF!</v>
      </c>
      <c r="D46" s="119" t="s">
        <v>140</v>
      </c>
      <c r="E46" s="120" t="str">
        <f>IF(D46="/","/",(D46*#REF!/AVERAGE($C$7:$C$12))/$C$46)</f>
        <v>/</v>
      </c>
      <c r="F46" s="355" t="e">
        <f>AVERAGE(E46:E51)</f>
        <v>#DIV/0!</v>
      </c>
      <c r="G46" s="356" t="s">
        <v>132</v>
      </c>
      <c r="H46" s="356" t="e">
        <f>IF(AND(F46&lt;=102%,F46&gt;=98%),"CONFORME","NON CONFORME")</f>
        <v>#DIV/0!</v>
      </c>
      <c r="K46" s="124"/>
      <c r="L46" s="124"/>
      <c r="M46" s="124"/>
      <c r="N46" s="124"/>
      <c r="O46" s="124"/>
      <c r="P46" s="124"/>
      <c r="Q46" s="124"/>
      <c r="R46" s="124"/>
    </row>
    <row r="47" spans="2:18" s="245" customFormat="1" x14ac:dyDescent="0.25">
      <c r="B47" s="353"/>
      <c r="C47" s="354"/>
      <c r="D47" s="119" t="s">
        <v>140</v>
      </c>
      <c r="E47" s="120" t="str">
        <f>IF(D47="/","/",(D47*#REF!/AVERAGE($C$7:$C$12))/$C$46)</f>
        <v>/</v>
      </c>
      <c r="F47" s="355"/>
      <c r="G47" s="356"/>
      <c r="H47" s="356"/>
      <c r="K47" s="124"/>
      <c r="L47" s="124"/>
      <c r="M47" s="124"/>
      <c r="N47" s="124"/>
      <c r="O47" s="124"/>
      <c r="P47" s="124"/>
      <c r="Q47" s="124"/>
      <c r="R47" s="124"/>
    </row>
    <row r="48" spans="2:18" s="245" customFormat="1" x14ac:dyDescent="0.25">
      <c r="B48" s="353"/>
      <c r="C48" s="354"/>
      <c r="D48" s="119" t="s">
        <v>140</v>
      </c>
      <c r="E48" s="120" t="str">
        <f>IF(D48="/","/",(D48*#REF!/AVERAGE($C$7:$C$12))/$C$46)</f>
        <v>/</v>
      </c>
      <c r="F48" s="355"/>
      <c r="G48" s="356"/>
      <c r="H48" s="356"/>
      <c r="K48" s="124"/>
      <c r="L48" s="124"/>
      <c r="M48" s="124"/>
      <c r="N48" s="124"/>
      <c r="O48" s="124"/>
      <c r="P48" s="124"/>
      <c r="Q48" s="124"/>
      <c r="R48" s="124"/>
    </row>
    <row r="49" spans="2:18" s="245" customFormat="1" x14ac:dyDescent="0.25">
      <c r="B49" s="353"/>
      <c r="C49" s="354"/>
      <c r="D49" s="119" t="s">
        <v>140</v>
      </c>
      <c r="E49" s="120" t="str">
        <f>IF(D49="/","/",(D49*#REF!/AVERAGE($C$7:$C$12))/$C$46)</f>
        <v>/</v>
      </c>
      <c r="F49" s="355"/>
      <c r="G49" s="356"/>
      <c r="H49" s="356"/>
      <c r="K49" s="124"/>
      <c r="L49" s="124"/>
      <c r="M49" s="124"/>
      <c r="N49" s="124"/>
      <c r="O49" s="124"/>
      <c r="P49" s="124"/>
      <c r="Q49" s="124"/>
      <c r="R49" s="124"/>
    </row>
    <row r="50" spans="2:18" s="245" customFormat="1" x14ac:dyDescent="0.25">
      <c r="B50" s="353"/>
      <c r="C50" s="354"/>
      <c r="D50" s="119" t="s">
        <v>140</v>
      </c>
      <c r="E50" s="120" t="str">
        <f>IF(D50="/","/",(D50*#REF!/AVERAGE($C$7:$C$12))/$C$46)</f>
        <v>/</v>
      </c>
      <c r="F50" s="355"/>
      <c r="G50" s="356"/>
      <c r="H50" s="356"/>
      <c r="K50" s="124"/>
      <c r="L50" s="124"/>
      <c r="M50" s="124"/>
      <c r="N50" s="124"/>
      <c r="O50" s="124"/>
      <c r="P50" s="124"/>
      <c r="Q50" s="124"/>
      <c r="R50" s="124"/>
    </row>
    <row r="51" spans="2:18" s="245" customFormat="1" x14ac:dyDescent="0.25">
      <c r="B51" s="353"/>
      <c r="C51" s="354"/>
      <c r="D51" s="119" t="s">
        <v>140</v>
      </c>
      <c r="E51" s="120" t="str">
        <f>IF(D51="/","/",(D51*#REF!/AVERAGE($C$7:$C$12))/$C$46)</f>
        <v>/</v>
      </c>
      <c r="F51" s="355"/>
      <c r="G51" s="356"/>
      <c r="H51" s="356"/>
      <c r="K51" s="124"/>
      <c r="L51" s="124"/>
      <c r="M51" s="124"/>
      <c r="N51" s="124"/>
      <c r="O51" s="124"/>
      <c r="P51" s="124"/>
      <c r="Q51" s="124"/>
      <c r="R51" s="124"/>
    </row>
    <row r="52" spans="2:18" s="245" customFormat="1" x14ac:dyDescent="0.25">
      <c r="B52" s="118" t="s">
        <v>139</v>
      </c>
      <c r="C52" s="354"/>
      <c r="D52" s="119" t="s">
        <v>140</v>
      </c>
      <c r="E52" s="120" t="str">
        <f>IF(D52="/","/",(D52*#REF!/AVERAGE($C$7:$C$12))/$C$46)</f>
        <v>/</v>
      </c>
      <c r="F52" s="55" t="s">
        <v>140</v>
      </c>
      <c r="G52" s="356"/>
      <c r="H52" s="121" t="str">
        <f>IF(AND(E52&lt;=102%,E52&gt;=98%),"CONFORME",IF(E52="/","N/A","NON CONFORME"))</f>
        <v>N/A</v>
      </c>
      <c r="K52" s="124"/>
      <c r="L52" s="124"/>
      <c r="M52" s="124"/>
      <c r="N52" s="124"/>
      <c r="O52" s="124"/>
      <c r="P52" s="124"/>
      <c r="Q52" s="124"/>
      <c r="R52" s="124"/>
    </row>
    <row r="53" spans="2:18" s="245" customFormat="1" x14ac:dyDescent="0.25">
      <c r="B53" s="118" t="s">
        <v>141</v>
      </c>
      <c r="C53" s="354"/>
      <c r="D53" s="119" t="s">
        <v>140</v>
      </c>
      <c r="E53" s="120" t="str">
        <f>IF(D53="/","/",(D53*#REF!/AVERAGE($C$7:$C$12))/$C$46)</f>
        <v>/</v>
      </c>
      <c r="F53" s="55" t="s">
        <v>140</v>
      </c>
      <c r="G53" s="356"/>
      <c r="H53" s="121" t="str">
        <f t="shared" ref="H53:H55" si="0">IF(AND(E53&lt;=102%,E53&gt;=98%),"CONFORME",IF(E53="/","N/A","NON CONFORME"))</f>
        <v>N/A</v>
      </c>
      <c r="K53" s="124"/>
      <c r="L53" s="124"/>
      <c r="M53" s="124"/>
      <c r="N53" s="124"/>
      <c r="O53" s="124"/>
      <c r="P53" s="124"/>
      <c r="Q53" s="124"/>
      <c r="R53" s="124"/>
    </row>
    <row r="54" spans="2:18" x14ac:dyDescent="0.25">
      <c r="B54" s="118" t="s">
        <v>142</v>
      </c>
      <c r="C54" s="354"/>
      <c r="D54" s="119" t="s">
        <v>140</v>
      </c>
      <c r="E54" s="120" t="str">
        <f>IF(D54="/","/",(D54*#REF!/AVERAGE($C$7:$C$12))/$C$46)</f>
        <v>/</v>
      </c>
      <c r="F54" s="55" t="s">
        <v>140</v>
      </c>
      <c r="G54" s="356"/>
      <c r="H54" s="121" t="str">
        <f t="shared" si="0"/>
        <v>N/A</v>
      </c>
    </row>
    <row r="55" spans="2:18" x14ac:dyDescent="0.25">
      <c r="B55" s="118" t="s">
        <v>143</v>
      </c>
      <c r="C55" s="354"/>
      <c r="D55" s="119" t="s">
        <v>140</v>
      </c>
      <c r="E55" s="120" t="str">
        <f>IF(D55="/","/",(D55*#REF!/AVERAGE($C$7:$C$12))/$C$46)</f>
        <v>/</v>
      </c>
      <c r="F55" s="55" t="s">
        <v>140</v>
      </c>
      <c r="G55" s="356"/>
      <c r="H55" s="121" t="str">
        <f t="shared" si="0"/>
        <v>N/A</v>
      </c>
      <c r="I55" s="124"/>
      <c r="J55" s="124"/>
    </row>
    <row r="56" spans="2:18" x14ac:dyDescent="0.25">
      <c r="C56" s="124"/>
      <c r="D56" s="124"/>
      <c r="E56" s="124"/>
      <c r="F56" s="124"/>
      <c r="G56" s="124"/>
      <c r="H56" s="124"/>
      <c r="I56" s="124"/>
      <c r="J56" s="124"/>
    </row>
    <row r="57" spans="2:18" x14ac:dyDescent="0.25">
      <c r="B57" s="251"/>
      <c r="C57" s="252" t="s">
        <v>144</v>
      </c>
      <c r="D57" s="253"/>
      <c r="F57" s="254" t="s">
        <v>145</v>
      </c>
      <c r="H57" s="124"/>
      <c r="I57" s="124"/>
      <c r="J57" s="124"/>
    </row>
    <row r="58" spans="2:18" ht="15.75" thickBot="1" x14ac:dyDescent="0.3">
      <c r="C58" s="124"/>
      <c r="D58" s="124"/>
      <c r="E58" s="124"/>
      <c r="F58" s="124"/>
      <c r="J58" s="124"/>
    </row>
    <row r="59" spans="2:18" x14ac:dyDescent="0.25">
      <c r="C59" s="56"/>
      <c r="D59" s="57"/>
      <c r="E59" s="57"/>
      <c r="F59" s="58"/>
      <c r="G59" s="59"/>
      <c r="H59" s="255"/>
      <c r="J59" s="124"/>
    </row>
    <row r="60" spans="2:18" x14ac:dyDescent="0.25">
      <c r="C60" s="60" t="s">
        <v>146</v>
      </c>
      <c r="D60" s="61"/>
      <c r="E60" s="62"/>
      <c r="F60" s="63" t="s">
        <v>93</v>
      </c>
      <c r="G60" s="64"/>
      <c r="H60" s="256"/>
      <c r="J60" s="124"/>
    </row>
    <row r="61" spans="2:18" ht="15.75" thickBot="1" x14ac:dyDescent="0.3">
      <c r="C61" s="65"/>
      <c r="D61" s="66"/>
      <c r="E61" s="66"/>
      <c r="F61" s="67"/>
      <c r="G61" s="68"/>
      <c r="H61" s="257"/>
      <c r="I61" s="124"/>
      <c r="J61" s="124"/>
    </row>
    <row r="62" spans="2:18" x14ac:dyDescent="0.25">
      <c r="C62" s="124"/>
      <c r="D62" s="124"/>
      <c r="E62" s="124"/>
      <c r="F62" s="124"/>
      <c r="G62" s="124"/>
      <c r="H62" s="124"/>
      <c r="I62" s="124"/>
      <c r="J62" s="124"/>
    </row>
    <row r="63" spans="2:18" x14ac:dyDescent="0.25">
      <c r="C63" s="124"/>
      <c r="D63" s="124"/>
      <c r="E63" s="124"/>
      <c r="F63" s="124"/>
      <c r="G63" s="124"/>
      <c r="H63" s="124"/>
      <c r="I63" s="124"/>
      <c r="J63" s="124"/>
    </row>
    <row r="64" spans="2:18" x14ac:dyDescent="0.25">
      <c r="C64" s="124"/>
      <c r="D64" s="124"/>
      <c r="E64" s="124"/>
      <c r="F64" s="124"/>
      <c r="G64" s="124"/>
      <c r="H64" s="124"/>
      <c r="I64" s="124"/>
      <c r="J64" s="124"/>
    </row>
    <row r="65" spans="3:10" x14ac:dyDescent="0.25">
      <c r="C65" s="124"/>
      <c r="D65" s="124"/>
      <c r="E65" s="124"/>
      <c r="F65" s="124"/>
      <c r="G65" s="124"/>
      <c r="H65" s="124"/>
      <c r="I65" s="124"/>
      <c r="J65" s="124"/>
    </row>
    <row r="66" spans="3:10" x14ac:dyDescent="0.25">
      <c r="C66" s="124"/>
      <c r="D66" s="124"/>
      <c r="E66" s="124"/>
      <c r="F66" s="124"/>
      <c r="G66" s="124"/>
      <c r="H66" s="124"/>
      <c r="I66" s="124"/>
      <c r="J66" s="124"/>
    </row>
    <row r="67" spans="3:10" x14ac:dyDescent="0.25">
      <c r="C67" s="124"/>
      <c r="D67" s="124"/>
      <c r="E67" s="124"/>
      <c r="F67" s="124"/>
      <c r="G67" s="124"/>
      <c r="H67" s="124"/>
      <c r="I67" s="124"/>
      <c r="J67" s="124"/>
    </row>
    <row r="68" spans="3:10" x14ac:dyDescent="0.25">
      <c r="C68" s="124"/>
      <c r="D68" s="124"/>
      <c r="E68" s="124"/>
      <c r="F68" s="124"/>
      <c r="G68" s="124"/>
      <c r="H68" s="124"/>
      <c r="I68" s="124"/>
      <c r="J68" s="124"/>
    </row>
    <row r="69" spans="3:10" x14ac:dyDescent="0.25">
      <c r="C69" s="124"/>
      <c r="D69" s="124"/>
      <c r="E69" s="124"/>
      <c r="F69" s="124"/>
      <c r="G69" s="124"/>
      <c r="H69" s="124"/>
      <c r="I69" s="124"/>
      <c r="J69" s="124"/>
    </row>
    <row r="70" spans="3:10" x14ac:dyDescent="0.25">
      <c r="C70" s="124"/>
      <c r="D70" s="124"/>
      <c r="E70" s="124"/>
      <c r="F70" s="124"/>
      <c r="G70" s="124"/>
      <c r="H70" s="124"/>
      <c r="I70" s="124"/>
      <c r="J70" s="124"/>
    </row>
    <row r="71" spans="3:10" x14ac:dyDescent="0.25">
      <c r="C71" s="124"/>
      <c r="D71" s="124"/>
      <c r="E71" s="124"/>
      <c r="F71" s="124"/>
      <c r="G71" s="124"/>
      <c r="H71" s="124"/>
      <c r="I71" s="124"/>
      <c r="J71" s="124"/>
    </row>
    <row r="72" spans="3:10" x14ac:dyDescent="0.25">
      <c r="C72" s="124"/>
      <c r="D72" s="124"/>
      <c r="E72" s="124"/>
      <c r="F72" s="124"/>
      <c r="G72" s="124"/>
      <c r="H72" s="124"/>
      <c r="I72" s="124"/>
      <c r="J72" s="124"/>
    </row>
    <row r="73" spans="3:10" x14ac:dyDescent="0.25">
      <c r="C73" s="124"/>
      <c r="D73" s="124"/>
      <c r="E73" s="124"/>
      <c r="F73" s="124"/>
      <c r="G73" s="124"/>
      <c r="H73" s="124"/>
      <c r="I73" s="124"/>
      <c r="J73" s="124"/>
    </row>
    <row r="74" spans="3:10" x14ac:dyDescent="0.25">
      <c r="C74" s="124"/>
      <c r="D74" s="124"/>
      <c r="E74" s="124"/>
      <c r="F74" s="124"/>
    </row>
  </sheetData>
  <mergeCells count="24">
    <mergeCell ref="B20:H20"/>
    <mergeCell ref="B13:B18"/>
    <mergeCell ref="D13:D18"/>
    <mergeCell ref="E13:E18"/>
    <mergeCell ref="G13:G18"/>
    <mergeCell ref="B30:H30"/>
    <mergeCell ref="B39:H39"/>
    <mergeCell ref="B44:H44"/>
    <mergeCell ref="E41:E42"/>
    <mergeCell ref="F41:F42"/>
    <mergeCell ref="G41:G42"/>
    <mergeCell ref="B46:B51"/>
    <mergeCell ref="C46:C55"/>
    <mergeCell ref="F46:F51"/>
    <mergeCell ref="G46:G55"/>
    <mergeCell ref="H46:H51"/>
    <mergeCell ref="B1:H1"/>
    <mergeCell ref="B2:H2"/>
    <mergeCell ref="B4:H4"/>
    <mergeCell ref="B7:B12"/>
    <mergeCell ref="D7:D12"/>
    <mergeCell ref="E7:E12"/>
    <mergeCell ref="G7:G12"/>
    <mergeCell ref="F7:F18"/>
  </mergeCells>
  <conditionalFormatting sqref="D23:D28">
    <cfRule type="cellIs" dxfId="26" priority="11" operator="equal">
      <formula>"non conforme"</formula>
    </cfRule>
    <cfRule type="cellIs" dxfId="25" priority="12" operator="equal">
      <formula>"conforme"</formula>
    </cfRule>
  </conditionalFormatting>
  <conditionalFormatting sqref="D32:D37">
    <cfRule type="cellIs" dxfId="24" priority="7" operator="equal">
      <formula>"non conforme"</formula>
    </cfRule>
    <cfRule type="cellIs" dxfId="23" priority="8" operator="equal">
      <formula>"conforme"</formula>
    </cfRule>
  </conditionalFormatting>
  <conditionalFormatting sqref="E41:E42">
    <cfRule type="cellIs" dxfId="22" priority="14" operator="greaterThan">
      <formula>1.02</formula>
    </cfRule>
    <cfRule type="cellIs" dxfId="21" priority="15" operator="lessThan">
      <formula>0.98</formula>
    </cfRule>
    <cfRule type="cellIs" dxfId="20" priority="16" operator="between">
      <formula>0.98</formula>
      <formula>1.02</formula>
    </cfRule>
  </conditionalFormatting>
  <conditionalFormatting sqref="E46:E55">
    <cfRule type="cellIs" dxfId="19" priority="13" operator="equal">
      <formula>"/"</formula>
    </cfRule>
    <cfRule type="cellIs" dxfId="18" priority="17" operator="greaterThan">
      <formula>1.02</formula>
    </cfRule>
    <cfRule type="cellIs" dxfId="17" priority="18" operator="lessThan">
      <formula>0.98</formula>
    </cfRule>
    <cfRule type="cellIs" dxfId="16" priority="19" operator="between">
      <formula>0.98</formula>
      <formula>1.02</formula>
    </cfRule>
  </conditionalFormatting>
  <conditionalFormatting sqref="F23:F28">
    <cfRule type="cellIs" dxfId="15" priority="9" operator="equal">
      <formula>"non conforme"</formula>
    </cfRule>
    <cfRule type="cellIs" dxfId="14" priority="10" operator="equal">
      <formula>"conforme"</formula>
    </cfRule>
  </conditionalFormatting>
  <conditionalFormatting sqref="F32:F37">
    <cfRule type="cellIs" dxfId="13" priority="5" operator="equal">
      <formula>"non conforme"</formula>
    </cfRule>
    <cfRule type="cellIs" dxfId="12" priority="6" operator="equal">
      <formula>"conforme"</formula>
    </cfRule>
  </conditionalFormatting>
  <conditionalFormatting sqref="G7:G19">
    <cfRule type="cellIs" dxfId="11" priority="3" operator="equal">
      <formula>"NON CONFORME"</formula>
    </cfRule>
    <cfRule type="cellIs" dxfId="10" priority="4" operator="equal">
      <formula>"CONFORME"</formula>
    </cfRule>
  </conditionalFormatting>
  <conditionalFormatting sqref="G41:G42">
    <cfRule type="cellIs" dxfId="9" priority="1" operator="equal">
      <formula>"NON CONFORME"</formula>
    </cfRule>
    <cfRule type="cellIs" dxfId="8" priority="2" operator="equal">
      <formula>"CONFORME"</formula>
    </cfRule>
  </conditionalFormatting>
  <pageMargins left="0.70866141732283505" right="0.70866141732283505" top="0.74803149606299202" bottom="0.74803149606299202" header="0.31496062992126" footer="0.31496062992126"/>
  <pageSetup paperSize="9" scale="7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/>
  </sheetPr>
  <dimension ref="B2:L23"/>
  <sheetViews>
    <sheetView showGridLines="0" zoomScale="85" zoomScaleNormal="85" workbookViewId="0">
      <selection activeCell="M32" sqref="M32"/>
    </sheetView>
  </sheetViews>
  <sheetFormatPr baseColWidth="10" defaultColWidth="11.42578125" defaultRowHeight="15" x14ac:dyDescent="0.25"/>
  <cols>
    <col min="2" max="2" width="11.28515625" customWidth="1"/>
    <col min="5" max="5" width="11.28515625" bestFit="1" customWidth="1"/>
    <col min="9" max="9" width="11.28515625" bestFit="1" customWidth="1"/>
  </cols>
  <sheetData>
    <row r="2" spans="2:12" x14ac:dyDescent="0.25">
      <c r="B2" s="16" t="s">
        <v>51</v>
      </c>
      <c r="C2" s="8"/>
      <c r="D2" s="9"/>
      <c r="E2" s="9"/>
      <c r="F2" s="9"/>
      <c r="G2" s="9"/>
      <c r="H2" s="9"/>
      <c r="I2" s="9"/>
      <c r="J2" s="9"/>
      <c r="K2" s="9"/>
      <c r="L2" s="9"/>
    </row>
    <row r="3" spans="2:12" x14ac:dyDescent="0.25">
      <c r="B3" t="s">
        <v>304</v>
      </c>
    </row>
    <row r="4" spans="2:12" x14ac:dyDescent="0.25">
      <c r="B4" s="94" t="s">
        <v>204</v>
      </c>
      <c r="C4" s="94" t="s">
        <v>205</v>
      </c>
      <c r="D4" s="95" t="s">
        <v>206</v>
      </c>
      <c r="E4" s="96" t="s">
        <v>199</v>
      </c>
      <c r="F4" s="96" t="s">
        <v>200</v>
      </c>
      <c r="G4" s="100" t="s">
        <v>5</v>
      </c>
    </row>
    <row r="5" spans="2:12" x14ac:dyDescent="0.25">
      <c r="B5" s="364" t="s">
        <v>213</v>
      </c>
      <c r="C5" s="364" t="s">
        <v>213</v>
      </c>
      <c r="D5" s="85" t="s">
        <v>207</v>
      </c>
      <c r="E5" s="107">
        <v>1.1825567502986858</v>
      </c>
      <c r="F5" s="107">
        <v>1.1820512820512821</v>
      </c>
      <c r="G5" s="366">
        <f ca="1">AVERAGE(E5:G6)</f>
        <v>1.1818710561358188</v>
      </c>
    </row>
    <row r="6" spans="2:12" x14ac:dyDescent="0.25">
      <c r="B6" s="364"/>
      <c r="C6" s="364"/>
      <c r="D6" s="85" t="s">
        <v>211</v>
      </c>
      <c r="E6" s="107">
        <v>1.1811853619729515</v>
      </c>
      <c r="F6" s="107">
        <v>1.1824702451328131</v>
      </c>
      <c r="G6" s="367"/>
      <c r="I6" s="116"/>
    </row>
    <row r="7" spans="2:12" x14ac:dyDescent="0.25">
      <c r="B7" s="364"/>
      <c r="C7" s="84" t="s">
        <v>212</v>
      </c>
      <c r="D7" s="90"/>
      <c r="E7" s="107">
        <v>1.173</v>
      </c>
      <c r="F7" s="107">
        <v>1.171</v>
      </c>
      <c r="G7" s="114">
        <f>AVERAGE(E7:F7)</f>
        <v>1.1720000000000002</v>
      </c>
    </row>
    <row r="8" spans="2:12" x14ac:dyDescent="0.25">
      <c r="B8" s="84" t="s">
        <v>212</v>
      </c>
      <c r="C8" s="365"/>
      <c r="D8" s="365"/>
      <c r="E8" s="107">
        <v>1.1839999999999999</v>
      </c>
      <c r="F8" s="107">
        <v>1.181</v>
      </c>
      <c r="G8" s="114">
        <f>AVERAGE(E8:F8)</f>
        <v>1.1825000000000001</v>
      </c>
    </row>
    <row r="9" spans="2:12" x14ac:dyDescent="0.25">
      <c r="B9" s="105"/>
      <c r="C9" s="105"/>
      <c r="D9" s="101" t="s">
        <v>5</v>
      </c>
      <c r="E9" s="114">
        <f>AVERAGE(E5:E8)</f>
        <v>1.1801855280679094</v>
      </c>
      <c r="F9" s="114">
        <f t="shared" ref="F9" si="0">AVERAGE(F5:F8)</f>
        <v>1.1791303817960239</v>
      </c>
      <c r="G9" s="105"/>
      <c r="H9" s="105"/>
      <c r="I9" s="105"/>
      <c r="J9" s="105"/>
    </row>
    <row r="10" spans="2:12" x14ac:dyDescent="0.25">
      <c r="B10" s="82"/>
      <c r="C10" s="82"/>
      <c r="D10" s="82"/>
      <c r="E10" s="82"/>
      <c r="F10" s="82"/>
      <c r="G10" s="82"/>
      <c r="H10" s="82"/>
    </row>
    <row r="11" spans="2:12" x14ac:dyDescent="0.25">
      <c r="B11" s="358" t="s">
        <v>27</v>
      </c>
      <c r="C11" s="359"/>
      <c r="D11" s="359"/>
      <c r="E11" s="360"/>
      <c r="F11" s="361" t="s">
        <v>232</v>
      </c>
      <c r="G11" s="362"/>
      <c r="H11" s="362"/>
      <c r="I11" s="362"/>
      <c r="J11" s="362"/>
      <c r="K11" s="363"/>
    </row>
    <row r="12" spans="2:12" x14ac:dyDescent="0.25">
      <c r="B12" s="86" t="s">
        <v>208</v>
      </c>
      <c r="C12" s="86" t="s">
        <v>5</v>
      </c>
      <c r="D12" s="86" t="s">
        <v>233</v>
      </c>
      <c r="E12" s="86" t="s">
        <v>234</v>
      </c>
      <c r="F12" s="86" t="s">
        <v>7</v>
      </c>
      <c r="G12" s="86" t="s">
        <v>8</v>
      </c>
      <c r="H12" s="86" t="s">
        <v>9</v>
      </c>
      <c r="I12" s="86" t="s">
        <v>209</v>
      </c>
      <c r="J12" s="86" t="s">
        <v>210</v>
      </c>
      <c r="K12" s="86" t="s">
        <v>25</v>
      </c>
    </row>
    <row r="13" spans="2:12" x14ac:dyDescent="0.25">
      <c r="B13" s="85" t="s">
        <v>55</v>
      </c>
      <c r="C13" s="87" t="s">
        <v>16</v>
      </c>
      <c r="D13" s="88" t="s">
        <v>16</v>
      </c>
      <c r="E13" s="88" t="s">
        <v>16</v>
      </c>
      <c r="F13" s="111">
        <f>DEVSQ(E5:F8)</f>
        <v>1.6431596553831841E-4</v>
      </c>
      <c r="G13" s="97">
        <f>COUNT(E5:F8)-1</f>
        <v>7</v>
      </c>
      <c r="H13" s="87">
        <f>F13/G13</f>
        <v>2.3473709362616915E-5</v>
      </c>
      <c r="I13" s="87" t="s">
        <v>16</v>
      </c>
      <c r="J13" s="88" t="s">
        <v>16</v>
      </c>
      <c r="K13" s="89">
        <f>SUM(K15:K19)</f>
        <v>1</v>
      </c>
    </row>
    <row r="14" spans="2:12" x14ac:dyDescent="0.25">
      <c r="B14" s="85" t="s">
        <v>26</v>
      </c>
      <c r="C14" s="88" t="s">
        <v>16</v>
      </c>
      <c r="D14" s="88" t="s">
        <v>16</v>
      </c>
      <c r="E14" s="88" t="s">
        <v>16</v>
      </c>
      <c r="F14" s="112">
        <f>SUM(F16:F19)</f>
        <v>1.5908942140925464E-4</v>
      </c>
      <c r="G14" s="88">
        <f>SUM(G16:G19)</f>
        <v>7</v>
      </c>
      <c r="H14" s="87">
        <f>F14/G14</f>
        <v>2.2727060201322091E-5</v>
      </c>
      <c r="I14" s="87">
        <f>H14/H16</f>
        <v>200.43402760665415</v>
      </c>
      <c r="J14" s="87">
        <f>FINV(0.05,G14,G16)</f>
        <v>19.353217536092941</v>
      </c>
      <c r="K14" s="89">
        <f>F14/F13</f>
        <v>0.96819211017054252</v>
      </c>
      <c r="L14" s="102"/>
    </row>
    <row r="15" spans="2:12" x14ac:dyDescent="0.25">
      <c r="B15" s="85" t="s">
        <v>29</v>
      </c>
      <c r="C15" s="87" t="s">
        <v>16</v>
      </c>
      <c r="D15" s="87" t="s">
        <v>16</v>
      </c>
      <c r="E15" s="103" t="s">
        <v>16</v>
      </c>
      <c r="F15" s="112">
        <f>F13-F14</f>
        <v>5.2265441290637673E-6</v>
      </c>
      <c r="G15" s="97">
        <f>G13-G14</f>
        <v>0</v>
      </c>
      <c r="H15" s="87" t="s">
        <v>16</v>
      </c>
      <c r="I15" s="88" t="s">
        <v>16</v>
      </c>
      <c r="J15" s="88" t="s">
        <v>16</v>
      </c>
      <c r="K15" s="89">
        <f>F15/$F$13</f>
        <v>3.1807889829457502E-2</v>
      </c>
      <c r="L15" s="33"/>
    </row>
    <row r="16" spans="2:12" x14ac:dyDescent="0.25">
      <c r="B16" s="85" t="s">
        <v>206</v>
      </c>
      <c r="C16" s="91">
        <f>AVERAGE(E5:F6)</f>
        <v>1.182065909863933</v>
      </c>
      <c r="D16" s="91">
        <f>ABS(AVERAGE(E5:F5)-AVERAGE(E6:F6))</f>
        <v>4.7621262210162385E-4</v>
      </c>
      <c r="E16" s="104">
        <f>0.5*2</f>
        <v>1</v>
      </c>
      <c r="F16" s="113">
        <f>D16^2*E16</f>
        <v>2.2677846144890401E-7</v>
      </c>
      <c r="G16" s="92">
        <f>(COUNT(E5:E6)-1)*COUNT(E5:F5)</f>
        <v>2</v>
      </c>
      <c r="H16" s="91">
        <f>F16/G16</f>
        <v>1.13389230724452E-7</v>
      </c>
      <c r="I16" s="91" t="s">
        <v>16</v>
      </c>
      <c r="J16" s="91" t="s">
        <v>16</v>
      </c>
      <c r="K16" s="93">
        <f>F16/$F$13</f>
        <v>1.3801364992497907E-3</v>
      </c>
    </row>
    <row r="17" spans="2:12" x14ac:dyDescent="0.25">
      <c r="B17" s="83" t="s">
        <v>205</v>
      </c>
      <c r="C17" s="91">
        <f>AVERAGE(E5:F7)</f>
        <v>1.1787106065759554</v>
      </c>
      <c r="D17" s="91">
        <f>ABS(C16-AVERAGE(E7:F7))</f>
        <v>1.0065909863932854E-2</v>
      </c>
      <c r="E17" s="104">
        <f>0.666666666666667*2</f>
        <v>1.3333333333333339</v>
      </c>
      <c r="F17" s="113">
        <f>D17^2*E17</f>
        <v>1.3509672185176103E-4</v>
      </c>
      <c r="G17" s="92">
        <f>G16</f>
        <v>2</v>
      </c>
      <c r="H17" s="91">
        <f t="shared" ref="H17" si="1">F17/G17</f>
        <v>6.7548360925880516E-5</v>
      </c>
      <c r="I17" s="91">
        <f>H17/H16</f>
        <v>595.7211323712944</v>
      </c>
      <c r="J17" s="91">
        <f>FINV(0.05,G17,G$16)</f>
        <v>18.999999999999996</v>
      </c>
      <c r="K17" s="93">
        <f>F17/$F$13</f>
        <v>0.82217647816003936</v>
      </c>
    </row>
    <row r="18" spans="2:12" x14ac:dyDescent="0.25">
      <c r="B18" s="83" t="s">
        <v>204</v>
      </c>
      <c r="C18" s="91">
        <f>AVERAGE(E5:F8)</f>
        <v>1.1796579549319666</v>
      </c>
      <c r="D18" s="91">
        <f>ABS(C17-AVERAGE(E8:F8))</f>
        <v>3.789393424044718E-3</v>
      </c>
      <c r="E18" s="104">
        <f>0.75*2</f>
        <v>1.5</v>
      </c>
      <c r="F18" s="113">
        <f>D18^2*E18</f>
        <v>2.1539253783290029E-5</v>
      </c>
      <c r="G18" s="92">
        <f>G17</f>
        <v>2</v>
      </c>
      <c r="H18" s="91">
        <f>F18/G18</f>
        <v>1.0769626891645014E-5</v>
      </c>
      <c r="I18" s="91">
        <f>H18/H16</f>
        <v>94.979274688055369</v>
      </c>
      <c r="J18" s="91">
        <f>FINV(0.05,G18,G$16)</f>
        <v>18.999999999999996</v>
      </c>
      <c r="K18" s="93">
        <f>F18/$F$13</f>
        <v>0.13108436366925699</v>
      </c>
    </row>
    <row r="19" spans="2:12" x14ac:dyDescent="0.25">
      <c r="B19" s="85" t="s">
        <v>72</v>
      </c>
      <c r="C19" s="92" t="s">
        <v>16</v>
      </c>
      <c r="D19" s="92" t="s">
        <v>16</v>
      </c>
      <c r="E19" s="92" t="s">
        <v>16</v>
      </c>
      <c r="F19" s="113">
        <f>(SUM(E5:E8)^2+SUM(F5:F8)^2)*2/COUNT(E5:F8)-SUM(E5:F8)^2/COUNT(E5:F8)</f>
        <v>2.226667312754671E-6</v>
      </c>
      <c r="G19" s="108">
        <f>COUNT(E5:F5)-1</f>
        <v>1</v>
      </c>
      <c r="H19" s="91">
        <f>F19/G19</f>
        <v>2.226667312754671E-6</v>
      </c>
      <c r="I19" s="91">
        <f>H19/H16</f>
        <v>19.637379127879537</v>
      </c>
      <c r="J19" s="91">
        <f>FINV(0.05,G19,G$16)</f>
        <v>18.512820512820511</v>
      </c>
      <c r="K19" s="93">
        <f>F19/$F$13</f>
        <v>1.3551131841996286E-2</v>
      </c>
    </row>
    <row r="21" spans="2:12" x14ac:dyDescent="0.25">
      <c r="B21" s="16" t="s">
        <v>63</v>
      </c>
      <c r="C21" s="8"/>
      <c r="D21" s="9"/>
      <c r="E21" s="9"/>
      <c r="F21" s="9"/>
      <c r="G21" s="9"/>
      <c r="H21" s="9"/>
      <c r="I21" s="9"/>
      <c r="J21" s="9"/>
      <c r="K21" s="9"/>
      <c r="L21" s="9"/>
    </row>
    <row r="22" spans="2:12" x14ac:dyDescent="0.25">
      <c r="D22" s="98"/>
    </row>
    <row r="23" spans="2:12" x14ac:dyDescent="0.25">
      <c r="E23" s="115"/>
    </row>
  </sheetData>
  <mergeCells count="6">
    <mergeCell ref="B11:E11"/>
    <mergeCell ref="F11:K11"/>
    <mergeCell ref="B5:B7"/>
    <mergeCell ref="C5:C6"/>
    <mergeCell ref="C8:D8"/>
    <mergeCell ref="G5:G6"/>
  </mergeCells>
  <conditionalFormatting sqref="I16">
    <cfRule type="cellIs" dxfId="7" priority="7" operator="greaterThan">
      <formula>$J$16</formula>
    </cfRule>
    <cfRule type="cellIs" dxfId="6" priority="8" operator="lessThan">
      <formula>$J$16</formula>
    </cfRule>
  </conditionalFormatting>
  <conditionalFormatting sqref="I17">
    <cfRule type="cellIs" dxfId="5" priority="5" operator="lessThan">
      <formula>$J$17</formula>
    </cfRule>
    <cfRule type="cellIs" dxfId="4" priority="6" operator="greaterThan">
      <formula>$J$17</formula>
    </cfRule>
  </conditionalFormatting>
  <conditionalFormatting sqref="I18">
    <cfRule type="cellIs" dxfId="3" priority="3" operator="lessThan">
      <formula>$J$18</formula>
    </cfRule>
    <cfRule type="cellIs" dxfId="2" priority="4" operator="greaterThan">
      <formula>$J$18</formula>
    </cfRule>
  </conditionalFormatting>
  <conditionalFormatting sqref="I19">
    <cfRule type="cellIs" dxfId="1" priority="1" operator="lessThan">
      <formula>$J$19</formula>
    </cfRule>
    <cfRule type="cellIs" dxfId="0" priority="2" operator="greaterThan">
      <formula>$J$19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/>
  </sheetPr>
  <dimension ref="B2:K14"/>
  <sheetViews>
    <sheetView showGridLines="0" zoomScale="85" zoomScaleNormal="85" workbookViewId="0">
      <selection activeCell="G17" sqref="G17"/>
    </sheetView>
  </sheetViews>
  <sheetFormatPr baseColWidth="10" defaultColWidth="11.42578125" defaultRowHeight="15" x14ac:dyDescent="0.25"/>
  <cols>
    <col min="4" max="4" width="13.7109375" customWidth="1"/>
  </cols>
  <sheetData>
    <row r="2" spans="2:11" x14ac:dyDescent="0.25">
      <c r="B2" s="10" t="s">
        <v>310</v>
      </c>
      <c r="C2" s="11"/>
      <c r="D2" s="11"/>
      <c r="E2" s="11"/>
      <c r="F2" s="11"/>
      <c r="G2" s="11"/>
      <c r="H2" s="11"/>
      <c r="I2" s="11"/>
      <c r="J2" s="11"/>
      <c r="K2" s="11"/>
    </row>
    <row r="3" spans="2:11" x14ac:dyDescent="0.25">
      <c r="B3" s="5" t="s">
        <v>371</v>
      </c>
    </row>
    <row r="5" spans="2:11" x14ac:dyDescent="0.25">
      <c r="C5" s="368" t="s">
        <v>372</v>
      </c>
      <c r="D5" s="368"/>
      <c r="E5" s="74">
        <f>linéarité!D45</f>
        <v>1.0883821191549506E-2</v>
      </c>
    </row>
    <row r="6" spans="2:11" x14ac:dyDescent="0.25">
      <c r="C6" s="368" t="s">
        <v>193</v>
      </c>
      <c r="D6" s="368"/>
      <c r="E6" s="74">
        <f>TINV(0.05,linéarité!G86)</f>
        <v>2.2281388519862744</v>
      </c>
    </row>
    <row r="7" spans="2:11" x14ac:dyDescent="0.25">
      <c r="C7" s="368" t="s">
        <v>194</v>
      </c>
      <c r="D7" s="368"/>
      <c r="E7" s="74">
        <f>TINV(0.1,linéarité!G86)</f>
        <v>1.812461122811676</v>
      </c>
    </row>
    <row r="8" spans="2:11" x14ac:dyDescent="0.25">
      <c r="C8" s="368" t="s">
        <v>195</v>
      </c>
      <c r="D8" s="368"/>
      <c r="E8" s="74">
        <f>linéarité!C43</f>
        <v>3.8760128333494097</v>
      </c>
    </row>
    <row r="9" spans="2:11" x14ac:dyDescent="0.25">
      <c r="C9" s="368" t="s">
        <v>243</v>
      </c>
      <c r="D9" s="368"/>
      <c r="E9" s="74">
        <f>((E6+E7)*E5*SQRT(2))/E8</f>
        <v>1.6045640087982503E-2</v>
      </c>
      <c r="F9" s="5" t="s">
        <v>370</v>
      </c>
    </row>
    <row r="14" spans="2:11" x14ac:dyDescent="0.25">
      <c r="B14" s="10" t="s">
        <v>63</v>
      </c>
      <c r="C14" s="11"/>
      <c r="D14" s="11"/>
      <c r="E14" s="11"/>
      <c r="F14" s="11"/>
      <c r="G14" s="11"/>
      <c r="H14" s="11"/>
      <c r="I14" s="11"/>
      <c r="J14" s="11"/>
      <c r="K14" s="11"/>
    </row>
  </sheetData>
  <mergeCells count="5">
    <mergeCell ref="C5:D5"/>
    <mergeCell ref="C6:D6"/>
    <mergeCell ref="C7:D7"/>
    <mergeCell ref="C8:D8"/>
    <mergeCell ref="C9:D9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9"/>
  </sheetPr>
  <dimension ref="B2:I26"/>
  <sheetViews>
    <sheetView showGridLines="0" zoomScale="70" zoomScaleNormal="70" workbookViewId="0">
      <selection activeCell="E40" sqref="E40"/>
    </sheetView>
  </sheetViews>
  <sheetFormatPr baseColWidth="10" defaultColWidth="11.42578125" defaultRowHeight="15" x14ac:dyDescent="0.25"/>
  <cols>
    <col min="4" max="4" width="30.140625" customWidth="1"/>
    <col min="5" max="5" width="36.140625" customWidth="1"/>
    <col min="6" max="6" width="21" customWidth="1"/>
    <col min="7" max="7" width="25.140625" customWidth="1"/>
    <col min="8" max="8" width="31.140625" customWidth="1"/>
  </cols>
  <sheetData>
    <row r="2" spans="2:9" ht="45" x14ac:dyDescent="0.25">
      <c r="C2" s="109" t="s">
        <v>217</v>
      </c>
      <c r="D2" s="110" t="s">
        <v>218</v>
      </c>
      <c r="E2" s="110" t="s">
        <v>235</v>
      </c>
      <c r="F2" s="110" t="s">
        <v>214</v>
      </c>
      <c r="G2" s="110" t="s">
        <v>215</v>
      </c>
      <c r="H2" s="110" t="s">
        <v>216</v>
      </c>
      <c r="I2" s="54"/>
    </row>
    <row r="3" spans="2:9" x14ac:dyDescent="0.25">
      <c r="B3" s="369" t="s">
        <v>218</v>
      </c>
      <c r="C3" s="81">
        <v>1</v>
      </c>
      <c r="D3" s="70" t="s">
        <v>227</v>
      </c>
      <c r="E3" s="70"/>
      <c r="F3" s="70"/>
      <c r="G3" s="70"/>
      <c r="H3" s="70"/>
    </row>
    <row r="4" spans="2:9" x14ac:dyDescent="0.25">
      <c r="B4" s="369"/>
      <c r="C4" s="81">
        <v>2</v>
      </c>
      <c r="D4" s="70" t="s">
        <v>228</v>
      </c>
      <c r="E4" s="70"/>
      <c r="F4" s="70"/>
      <c r="G4" s="70"/>
      <c r="H4" s="70"/>
    </row>
    <row r="5" spans="2:9" x14ac:dyDescent="0.25">
      <c r="B5" s="369"/>
      <c r="C5" s="81">
        <v>3</v>
      </c>
      <c r="D5" s="70"/>
      <c r="E5" s="70"/>
      <c r="F5" s="70"/>
      <c r="G5" s="70"/>
      <c r="H5" s="70"/>
    </row>
    <row r="6" spans="2:9" x14ac:dyDescent="0.25">
      <c r="B6" s="369"/>
      <c r="C6" s="81">
        <v>4</v>
      </c>
      <c r="D6" s="70"/>
      <c r="E6" s="70"/>
      <c r="F6" s="70"/>
      <c r="G6" s="70"/>
      <c r="H6" s="70"/>
    </row>
    <row r="7" spans="2:9" x14ac:dyDescent="0.25">
      <c r="B7" s="369"/>
      <c r="C7" s="81">
        <v>5</v>
      </c>
      <c r="D7" s="70"/>
      <c r="E7" s="70"/>
      <c r="F7" s="70"/>
      <c r="G7" s="70"/>
      <c r="H7" s="70"/>
    </row>
    <row r="8" spans="2:9" x14ac:dyDescent="0.25">
      <c r="B8" s="369"/>
      <c r="C8" s="81">
        <v>6</v>
      </c>
      <c r="D8" s="70"/>
      <c r="E8" s="70"/>
      <c r="F8" s="70"/>
      <c r="G8" s="70"/>
      <c r="H8" s="70"/>
    </row>
    <row r="9" spans="2:9" x14ac:dyDescent="0.25">
      <c r="B9" s="369"/>
      <c r="C9" s="81">
        <v>7</v>
      </c>
      <c r="D9" s="70"/>
      <c r="E9" s="70"/>
      <c r="F9" s="70"/>
      <c r="G9" s="70"/>
      <c r="H9" s="70"/>
    </row>
    <row r="10" spans="2:9" x14ac:dyDescent="0.25">
      <c r="B10" s="369"/>
      <c r="C10" s="81">
        <v>8</v>
      </c>
      <c r="D10" s="70"/>
      <c r="E10" s="70"/>
      <c r="F10" s="70"/>
      <c r="G10" s="70"/>
      <c r="H10" s="70"/>
    </row>
    <row r="11" spans="2:9" x14ac:dyDescent="0.25">
      <c r="B11" s="369"/>
      <c r="C11" s="81">
        <v>9</v>
      </c>
      <c r="D11" s="70"/>
      <c r="E11" s="70"/>
      <c r="F11" s="70"/>
      <c r="G11" s="70"/>
      <c r="H11" s="70"/>
    </row>
    <row r="12" spans="2:9" x14ac:dyDescent="0.25">
      <c r="B12" s="369"/>
      <c r="C12" s="81">
        <v>10</v>
      </c>
      <c r="D12" s="70"/>
      <c r="E12" s="70"/>
      <c r="F12" s="70"/>
      <c r="G12" s="70"/>
      <c r="H12" s="70"/>
    </row>
    <row r="13" spans="2:9" x14ac:dyDescent="0.25">
      <c r="B13" s="369"/>
      <c r="C13" s="81"/>
      <c r="D13" s="70"/>
      <c r="E13" s="70"/>
      <c r="F13" s="70"/>
      <c r="G13" s="70"/>
      <c r="H13" s="70"/>
    </row>
    <row r="15" spans="2:9" ht="45" x14ac:dyDescent="0.25">
      <c r="C15" s="109" t="s">
        <v>217</v>
      </c>
      <c r="D15" s="110" t="s">
        <v>219</v>
      </c>
      <c r="E15" s="110" t="s">
        <v>235</v>
      </c>
      <c r="F15" s="110" t="s">
        <v>214</v>
      </c>
      <c r="G15" s="110" t="s">
        <v>215</v>
      </c>
      <c r="H15" s="110" t="s">
        <v>216</v>
      </c>
    </row>
    <row r="16" spans="2:9" x14ac:dyDescent="0.25">
      <c r="B16" s="369" t="s">
        <v>219</v>
      </c>
      <c r="C16" s="81">
        <v>1</v>
      </c>
      <c r="D16" s="70" t="s">
        <v>225</v>
      </c>
      <c r="E16" s="70"/>
      <c r="F16" s="70"/>
      <c r="G16" s="70"/>
      <c r="H16" s="70"/>
    </row>
    <row r="17" spans="2:8" x14ac:dyDescent="0.25">
      <c r="B17" s="369"/>
      <c r="C17" s="81">
        <v>2</v>
      </c>
      <c r="D17" s="70" t="s">
        <v>226</v>
      </c>
      <c r="E17" s="70"/>
      <c r="F17" s="70"/>
      <c r="G17" s="70"/>
      <c r="H17" s="70"/>
    </row>
    <row r="18" spans="2:8" x14ac:dyDescent="0.25">
      <c r="B18" s="369"/>
      <c r="C18" s="81">
        <v>3</v>
      </c>
      <c r="D18" s="70"/>
      <c r="E18" s="70"/>
      <c r="F18" s="70"/>
      <c r="G18" s="70"/>
      <c r="H18" s="70"/>
    </row>
    <row r="19" spans="2:8" x14ac:dyDescent="0.25">
      <c r="B19" s="369"/>
      <c r="C19" s="81">
        <v>4</v>
      </c>
      <c r="D19" s="70"/>
      <c r="E19" s="70"/>
      <c r="F19" s="70"/>
      <c r="G19" s="70"/>
      <c r="H19" s="70"/>
    </row>
    <row r="20" spans="2:8" x14ac:dyDescent="0.25">
      <c r="B20" s="369"/>
      <c r="C20" s="81">
        <v>5</v>
      </c>
      <c r="D20" s="70"/>
      <c r="E20" s="70"/>
      <c r="F20" s="70"/>
      <c r="G20" s="70"/>
      <c r="H20" s="70"/>
    </row>
    <row r="21" spans="2:8" x14ac:dyDescent="0.25">
      <c r="B21" s="369"/>
      <c r="C21" s="81">
        <v>6</v>
      </c>
      <c r="D21" s="70"/>
      <c r="E21" s="70"/>
      <c r="F21" s="70"/>
      <c r="G21" s="70"/>
      <c r="H21" s="70"/>
    </row>
    <row r="22" spans="2:8" x14ac:dyDescent="0.25">
      <c r="B22" s="369"/>
      <c r="C22" s="81">
        <v>7</v>
      </c>
      <c r="D22" s="70"/>
      <c r="E22" s="70"/>
      <c r="F22" s="70"/>
      <c r="G22" s="70"/>
      <c r="H22" s="70"/>
    </row>
    <row r="23" spans="2:8" x14ac:dyDescent="0.25">
      <c r="B23" s="369"/>
      <c r="C23" s="81">
        <v>8</v>
      </c>
      <c r="D23" s="70"/>
      <c r="E23" s="70"/>
      <c r="F23" s="70"/>
      <c r="G23" s="70"/>
      <c r="H23" s="70"/>
    </row>
    <row r="24" spans="2:8" x14ac:dyDescent="0.25">
      <c r="B24" s="369"/>
      <c r="C24" s="81">
        <v>9</v>
      </c>
      <c r="D24" s="70"/>
      <c r="E24" s="70"/>
      <c r="F24" s="70"/>
      <c r="G24" s="70"/>
      <c r="H24" s="70"/>
    </row>
    <row r="25" spans="2:8" x14ac:dyDescent="0.25">
      <c r="B25" s="369"/>
      <c r="C25" s="81">
        <v>10</v>
      </c>
      <c r="D25" s="70"/>
      <c r="E25" s="70"/>
      <c r="F25" s="70"/>
      <c r="G25" s="70"/>
      <c r="H25" s="70"/>
    </row>
    <row r="26" spans="2:8" x14ac:dyDescent="0.25">
      <c r="B26" s="369"/>
      <c r="C26" s="81"/>
      <c r="D26" s="70"/>
      <c r="E26" s="70"/>
      <c r="F26" s="70"/>
      <c r="G26" s="70"/>
      <c r="H26" s="70"/>
    </row>
  </sheetData>
  <mergeCells count="2">
    <mergeCell ref="B3:B13"/>
    <mergeCell ref="B16:B26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>
      <selection activeCell="I51" sqref="I51"/>
    </sheetView>
  </sheetViews>
  <sheetFormatPr baseColWidth="10" defaultColWidth="9.140625" defaultRowHeight="15" x14ac:dyDescent="0.25"/>
  <sheetData/>
  <pageMargins left="0.7" right="0.7" top="0.75" bottom="0.75" header="0.3" footer="0.3"/>
  <pageSetup paperSize="9" scale="5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Bilan</vt:lpstr>
      <vt:lpstr>matériel</vt:lpstr>
      <vt:lpstr>linéarité</vt:lpstr>
      <vt:lpstr>justesse</vt:lpstr>
      <vt:lpstr>fidélité</vt:lpstr>
      <vt:lpstr>robustesse</vt:lpstr>
      <vt:lpstr>LOQLOD</vt:lpstr>
      <vt:lpstr>inter-operators</vt:lpstr>
      <vt:lpstr>system suitability</vt:lpstr>
      <vt:lpstr>stabilité</vt:lpstr>
      <vt:lpstr>sensibilité</vt:lpstr>
      <vt:lpstr>Risque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Morgan GERMA</dc:creator>
  <cp:lastModifiedBy>morgan Germa Colliou</cp:lastModifiedBy>
  <cp:lastPrinted>2015-09-17T14:06:17Z</cp:lastPrinted>
  <dcterms:created xsi:type="dcterms:W3CDTF">2013-03-26T09:15:30Z</dcterms:created>
  <dcterms:modified xsi:type="dcterms:W3CDTF">2025-11-18T06:59:14Z</dcterms:modified>
</cp:coreProperties>
</file>