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rmano\Desktop\projeto olist\"/>
    </mc:Choice>
  </mc:AlternateContent>
  <bookViews>
    <workbookView xWindow="0" yWindow="0" windowWidth="21570" windowHeight="8340" firstSheet="1" activeTab="1"/>
  </bookViews>
  <sheets>
    <sheet name="Capa " sheetId="1" r:id="rId1"/>
    <sheet name="Suposições" sheetId="6" r:id="rId2"/>
    <sheet name="INPUTS Leads- Trafego pago" sheetId="2" r:id="rId3"/>
    <sheet name="Source- Trafego pago " sheetId="7" state="hidden" r:id="rId4"/>
    <sheet name="INPUTS Leads- Trafego organico" sheetId="10" r:id="rId5"/>
    <sheet name="Source- Trafego organico" sheetId="9" state="hidden" r:id="rId6"/>
    <sheet name="Leads Trafego organico" sheetId="8" state="hidden" r:id="rId7"/>
    <sheet name="OUTPUT Desempenho vendas" sheetId="4" r:id="rId8"/>
    <sheet name="Projeção estudo leads organicos" sheetId="11" state="hidden" r:id="rId9"/>
    <sheet name="Projeção estudo leads email" sheetId="12" state="hidden" r:id="rId10"/>
  </sheets>
  <externalReferences>
    <externalReference r:id="rId11"/>
  </externalReferences>
  <definedNames>
    <definedName name="solver_adj" localSheetId="9" hidden="1">'Projeção estudo leads email'!$C$22:$C$23</definedName>
    <definedName name="solver_adj" localSheetId="8" hidden="1">'Projeção estudo leads organicos'!$C$22:$C$23</definedName>
    <definedName name="solver_cvg" localSheetId="9" hidden="1">0.0001</definedName>
    <definedName name="solver_cvg" localSheetId="8" hidden="1">0.0001</definedName>
    <definedName name="solver_drv" localSheetId="9" hidden="1">1</definedName>
    <definedName name="solver_drv" localSheetId="8" hidden="1">1</definedName>
    <definedName name="solver_eng" localSheetId="9" hidden="1">1</definedName>
    <definedName name="solver_eng" localSheetId="8" hidden="1">1</definedName>
    <definedName name="solver_itr" localSheetId="9" hidden="1">2147483647</definedName>
    <definedName name="solver_itr" localSheetId="8" hidden="1">2147483647</definedName>
    <definedName name="solver_lhs1" localSheetId="9" hidden="1">'Projeção estudo leads email'!$C$24</definedName>
    <definedName name="solver_lhs1" localSheetId="8" hidden="1">'Projeção estudo leads organicos'!$C$24</definedName>
    <definedName name="solver_lin" localSheetId="9" hidden="1">2</definedName>
    <definedName name="solver_lin" localSheetId="8" hidden="1">2</definedName>
    <definedName name="solver_mip" localSheetId="9" hidden="1">2147483647</definedName>
    <definedName name="solver_mip" localSheetId="8" hidden="1">2147483647</definedName>
    <definedName name="solver_mni" localSheetId="9" hidden="1">30</definedName>
    <definedName name="solver_mni" localSheetId="8" hidden="1">30</definedName>
    <definedName name="solver_mrt" localSheetId="9" hidden="1">0.075</definedName>
    <definedName name="solver_mrt" localSheetId="8" hidden="1">0.075</definedName>
    <definedName name="solver_msl" localSheetId="9" hidden="1">2</definedName>
    <definedName name="solver_msl" localSheetId="8" hidden="1">2</definedName>
    <definedName name="solver_neg" localSheetId="9" hidden="1">1</definedName>
    <definedName name="solver_neg" localSheetId="8" hidden="1">1</definedName>
    <definedName name="solver_nod" localSheetId="9" hidden="1">2147483647</definedName>
    <definedName name="solver_nod" localSheetId="8" hidden="1">2147483647</definedName>
    <definedName name="solver_num" localSheetId="9" hidden="1">1</definedName>
    <definedName name="solver_num" localSheetId="8" hidden="1">1</definedName>
    <definedName name="solver_opt" localSheetId="9" hidden="1">'Projeção estudo leads email'!$C$45</definedName>
    <definedName name="solver_opt" localSheetId="8" hidden="1">'Projeção estudo leads organicos'!$C$45</definedName>
    <definedName name="solver_pre" localSheetId="9" hidden="1">0.000001</definedName>
    <definedName name="solver_pre" localSheetId="8" hidden="1">0.000001</definedName>
    <definedName name="solver_rbv" localSheetId="9" hidden="1">1</definedName>
    <definedName name="solver_rbv" localSheetId="8" hidden="1">1</definedName>
    <definedName name="solver_rel1" localSheetId="9" hidden="1">2</definedName>
    <definedName name="solver_rel1" localSheetId="8" hidden="1">2</definedName>
    <definedName name="solver_rhs1" localSheetId="9" hidden="1">1</definedName>
    <definedName name="solver_rhs1" localSheetId="8" hidden="1">1</definedName>
    <definedName name="solver_rlx" localSheetId="9" hidden="1">2</definedName>
    <definedName name="solver_rlx" localSheetId="8" hidden="1">2</definedName>
    <definedName name="solver_rsd" localSheetId="9" hidden="1">0</definedName>
    <definedName name="solver_rsd" localSheetId="8" hidden="1">0</definedName>
    <definedName name="solver_scl" localSheetId="9" hidden="1">1</definedName>
    <definedName name="solver_scl" localSheetId="8" hidden="1">1</definedName>
    <definedName name="solver_sho" localSheetId="9" hidden="1">2</definedName>
    <definedName name="solver_sho" localSheetId="8" hidden="1">2</definedName>
    <definedName name="solver_ssz" localSheetId="9" hidden="1">100</definedName>
    <definedName name="solver_ssz" localSheetId="8" hidden="1">100</definedName>
    <definedName name="solver_tim" localSheetId="9" hidden="1">2147483647</definedName>
    <definedName name="solver_tim" localSheetId="8" hidden="1">2147483647</definedName>
    <definedName name="solver_tol" localSheetId="9" hidden="1">0.01</definedName>
    <definedName name="solver_tol" localSheetId="8" hidden="1">0.01</definedName>
    <definedName name="solver_typ" localSheetId="9" hidden="1">2</definedName>
    <definedName name="solver_typ" localSheetId="8" hidden="1">2</definedName>
    <definedName name="solver_val" localSheetId="9" hidden="1">0</definedName>
    <definedName name="solver_val" localSheetId="8" hidden="1">0</definedName>
    <definedName name="solver_ver" localSheetId="9" hidden="1">2</definedName>
    <definedName name="solver_ver" localSheetId="8" hidden="1">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" i="2" l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O26" i="2"/>
  <c r="X19" i="2"/>
  <c r="Y19" i="2" s="1"/>
  <c r="Z19" i="2" s="1"/>
  <c r="W19" i="2"/>
  <c r="P19" i="2"/>
  <c r="Q19" i="2" s="1"/>
  <c r="R19" i="2" s="1"/>
  <c r="S19" i="2" s="1"/>
  <c r="T19" i="2" s="1"/>
  <c r="U19" i="2" s="1"/>
  <c r="V19" i="2" s="1"/>
  <c r="P18" i="2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O19" i="2"/>
  <c r="O18" i="2"/>
  <c r="P11" i="2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P10" i="2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O11" i="2"/>
  <c r="O10" i="2"/>
  <c r="Z20" i="4"/>
  <c r="Y20" i="4"/>
  <c r="X20" i="4"/>
  <c r="W20" i="4"/>
  <c r="V20" i="4"/>
  <c r="U20" i="4"/>
  <c r="T20" i="4"/>
  <c r="S20" i="4"/>
  <c r="R20" i="4"/>
  <c r="Q20" i="4"/>
  <c r="P20" i="4"/>
  <c r="O20" i="4"/>
  <c r="Z12" i="10"/>
  <c r="Y12" i="10"/>
  <c r="X12" i="10"/>
  <c r="W12" i="10"/>
  <c r="V12" i="10"/>
  <c r="U12" i="10"/>
  <c r="T12" i="10"/>
  <c r="S12" i="10"/>
  <c r="R12" i="10"/>
  <c r="Q12" i="10"/>
  <c r="P12" i="10"/>
  <c r="O12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C8" i="1"/>
  <c r="O30" i="4"/>
  <c r="P30" i="4" s="1"/>
  <c r="Q30" i="4" s="1"/>
  <c r="O25" i="4"/>
  <c r="P25" i="4" s="1"/>
  <c r="Q25" i="4" s="1"/>
  <c r="R25" i="4" s="1"/>
  <c r="O15" i="4"/>
  <c r="P15" i="4" s="1"/>
  <c r="Q15" i="4" s="1"/>
  <c r="R15" i="4" s="1"/>
  <c r="O10" i="4"/>
  <c r="M26" i="4"/>
  <c r="D24" i="4"/>
  <c r="D26" i="4" s="1"/>
  <c r="E24" i="4"/>
  <c r="E26" i="4" s="1"/>
  <c r="F24" i="4"/>
  <c r="F26" i="4" s="1"/>
  <c r="G24" i="4"/>
  <c r="G26" i="4" s="1"/>
  <c r="H24" i="4"/>
  <c r="H26" i="4" s="1"/>
  <c r="I24" i="4"/>
  <c r="I26" i="4" s="1"/>
  <c r="J24" i="4"/>
  <c r="J26" i="4" s="1"/>
  <c r="K24" i="4"/>
  <c r="K26" i="4" s="1"/>
  <c r="L24" i="4"/>
  <c r="L26" i="4" s="1"/>
  <c r="M24" i="4"/>
  <c r="N24" i="4"/>
  <c r="N26" i="4" s="1"/>
  <c r="D19" i="4"/>
  <c r="D21" i="4" s="1"/>
  <c r="E19" i="4"/>
  <c r="E21" i="4" s="1"/>
  <c r="F19" i="4"/>
  <c r="F21" i="4" s="1"/>
  <c r="G19" i="4"/>
  <c r="G21" i="4" s="1"/>
  <c r="H19" i="4"/>
  <c r="H21" i="4" s="1"/>
  <c r="I19" i="4"/>
  <c r="I21" i="4" s="1"/>
  <c r="J19" i="4"/>
  <c r="J21" i="4" s="1"/>
  <c r="K19" i="4"/>
  <c r="K21" i="4" s="1"/>
  <c r="L19" i="4"/>
  <c r="L21" i="4" s="1"/>
  <c r="M19" i="4"/>
  <c r="M21" i="4" s="1"/>
  <c r="N19" i="4"/>
  <c r="N21" i="4" s="1"/>
  <c r="D14" i="4"/>
  <c r="D16" i="4" s="1"/>
  <c r="E14" i="4"/>
  <c r="E16" i="4" s="1"/>
  <c r="F14" i="4"/>
  <c r="F16" i="4" s="1"/>
  <c r="G14" i="4"/>
  <c r="G16" i="4" s="1"/>
  <c r="H14" i="4"/>
  <c r="H16" i="4" s="1"/>
  <c r="I14" i="4"/>
  <c r="I16" i="4" s="1"/>
  <c r="J14" i="4"/>
  <c r="J16" i="4" s="1"/>
  <c r="K14" i="4"/>
  <c r="K16" i="4" s="1"/>
  <c r="L14" i="4"/>
  <c r="L16" i="4" s="1"/>
  <c r="M14" i="4"/>
  <c r="M16" i="4" s="1"/>
  <c r="N14" i="4"/>
  <c r="N16" i="4" s="1"/>
  <c r="D9" i="4"/>
  <c r="E9" i="4"/>
  <c r="E11" i="4" s="1"/>
  <c r="F9" i="4"/>
  <c r="G9" i="4"/>
  <c r="H9" i="4"/>
  <c r="H11" i="4" s="1"/>
  <c r="I9" i="4"/>
  <c r="I11" i="4" s="1"/>
  <c r="J9" i="4"/>
  <c r="K9" i="4"/>
  <c r="L9" i="4"/>
  <c r="M9" i="4"/>
  <c r="M11" i="4" s="1"/>
  <c r="N9" i="4"/>
  <c r="C24" i="4"/>
  <c r="C26" i="4" s="1"/>
  <c r="C19" i="4"/>
  <c r="C21" i="4" s="1"/>
  <c r="C14" i="4"/>
  <c r="C16" i="4" s="1"/>
  <c r="C9" i="4"/>
  <c r="D6" i="10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Z13" i="10" s="1"/>
  <c r="Z24" i="4" s="1"/>
  <c r="D38" i="12"/>
  <c r="F38" i="12" s="1"/>
  <c r="H38" i="12" s="1"/>
  <c r="J38" i="12" s="1"/>
  <c r="C38" i="12"/>
  <c r="B38" i="12"/>
  <c r="C37" i="12"/>
  <c r="B37" i="12"/>
  <c r="D36" i="12"/>
  <c r="F36" i="12" s="1"/>
  <c r="H36" i="12" s="1"/>
  <c r="J36" i="12" s="1"/>
  <c r="C36" i="12"/>
  <c r="B36" i="12"/>
  <c r="C35" i="12"/>
  <c r="D37" i="12" s="1"/>
  <c r="F37" i="12" s="1"/>
  <c r="H37" i="12" s="1"/>
  <c r="J37" i="12" s="1"/>
  <c r="B35" i="12"/>
  <c r="C34" i="12"/>
  <c r="B34" i="12"/>
  <c r="D33" i="12"/>
  <c r="F33" i="12" s="1"/>
  <c r="H33" i="12" s="1"/>
  <c r="J33" i="12" s="1"/>
  <c r="C33" i="12"/>
  <c r="D35" i="12" s="1"/>
  <c r="F35" i="12" s="1"/>
  <c r="H35" i="12" s="1"/>
  <c r="J35" i="12" s="1"/>
  <c r="B33" i="12"/>
  <c r="C32" i="12"/>
  <c r="B32" i="12"/>
  <c r="D31" i="12"/>
  <c r="F31" i="12" s="1"/>
  <c r="H31" i="12" s="1"/>
  <c r="J31" i="12" s="1"/>
  <c r="C31" i="12"/>
  <c r="D32" i="12" s="1"/>
  <c r="F32" i="12" s="1"/>
  <c r="H32" i="12" s="1"/>
  <c r="J32" i="12" s="1"/>
  <c r="B31" i="12"/>
  <c r="A31" i="12"/>
  <c r="E31" i="12" s="1"/>
  <c r="G31" i="12" s="1"/>
  <c r="I31" i="12" s="1"/>
  <c r="K31" i="12" s="1"/>
  <c r="E30" i="12"/>
  <c r="G30" i="12" s="1"/>
  <c r="I30" i="12" s="1"/>
  <c r="K30" i="12" s="1"/>
  <c r="D30" i="12"/>
  <c r="F30" i="12" s="1"/>
  <c r="H30" i="12" s="1"/>
  <c r="J30" i="12" s="1"/>
  <c r="C30" i="12"/>
  <c r="B30" i="12"/>
  <c r="A30" i="12"/>
  <c r="G29" i="12"/>
  <c r="E29" i="12"/>
  <c r="C29" i="12"/>
  <c r="B29" i="12"/>
  <c r="C28" i="12"/>
  <c r="D29" i="12" s="1"/>
  <c r="F29" i="12" s="1"/>
  <c r="B28" i="12"/>
  <c r="C27" i="12"/>
  <c r="B27" i="12"/>
  <c r="C24" i="12"/>
  <c r="D38" i="11"/>
  <c r="F38" i="11" s="1"/>
  <c r="H38" i="11" s="1"/>
  <c r="J38" i="11" s="1"/>
  <c r="C38" i="11"/>
  <c r="B38" i="11"/>
  <c r="C37" i="11"/>
  <c r="B37" i="11"/>
  <c r="C36" i="11"/>
  <c r="D37" i="11" s="1"/>
  <c r="F37" i="11" s="1"/>
  <c r="H37" i="11" s="1"/>
  <c r="J37" i="11" s="1"/>
  <c r="B36" i="11"/>
  <c r="C35" i="11"/>
  <c r="B35" i="11"/>
  <c r="C34" i="11"/>
  <c r="D36" i="11" s="1"/>
  <c r="F36" i="11" s="1"/>
  <c r="H36" i="11" s="1"/>
  <c r="J36" i="11" s="1"/>
  <c r="B34" i="11"/>
  <c r="D33" i="11"/>
  <c r="F33" i="11" s="1"/>
  <c r="H33" i="11" s="1"/>
  <c r="J33" i="11" s="1"/>
  <c r="C33" i="11"/>
  <c r="D35" i="11" s="1"/>
  <c r="F35" i="11" s="1"/>
  <c r="H35" i="11" s="1"/>
  <c r="J35" i="11" s="1"/>
  <c r="B33" i="11"/>
  <c r="C32" i="11"/>
  <c r="D34" i="11" s="1"/>
  <c r="F34" i="11" s="1"/>
  <c r="H34" i="11" s="1"/>
  <c r="J34" i="11" s="1"/>
  <c r="B32" i="11"/>
  <c r="D31" i="11"/>
  <c r="F31" i="11" s="1"/>
  <c r="H31" i="11" s="1"/>
  <c r="J31" i="11" s="1"/>
  <c r="C31" i="11"/>
  <c r="B31" i="11"/>
  <c r="A31" i="11"/>
  <c r="E31" i="11" s="1"/>
  <c r="G31" i="11" s="1"/>
  <c r="I31" i="11" s="1"/>
  <c r="K31" i="11" s="1"/>
  <c r="E30" i="11"/>
  <c r="G30" i="11" s="1"/>
  <c r="I30" i="11" s="1"/>
  <c r="K30" i="11" s="1"/>
  <c r="D30" i="11"/>
  <c r="F30" i="11" s="1"/>
  <c r="H30" i="11" s="1"/>
  <c r="J30" i="11" s="1"/>
  <c r="C30" i="11"/>
  <c r="D32" i="11" s="1"/>
  <c r="F32" i="11" s="1"/>
  <c r="H32" i="11" s="1"/>
  <c r="J32" i="11" s="1"/>
  <c r="B30" i="11"/>
  <c r="A30" i="11"/>
  <c r="G29" i="11"/>
  <c r="E29" i="11"/>
  <c r="C29" i="11"/>
  <c r="B29" i="11"/>
  <c r="C28" i="11"/>
  <c r="D29" i="11" s="1"/>
  <c r="F29" i="11" s="1"/>
  <c r="B28" i="11"/>
  <c r="C27" i="11"/>
  <c r="B27" i="11"/>
  <c r="C24" i="11"/>
  <c r="R30" i="4" l="1"/>
  <c r="P10" i="4"/>
  <c r="W19" i="10"/>
  <c r="W29" i="4" s="1"/>
  <c r="X19" i="10"/>
  <c r="X29" i="4" s="1"/>
  <c r="T13" i="10"/>
  <c r="T24" i="4" s="1"/>
  <c r="U13" i="10"/>
  <c r="U24" i="4" s="1"/>
  <c r="V13" i="10"/>
  <c r="V24" i="4" s="1"/>
  <c r="AA6" i="10"/>
  <c r="AB6" i="10" s="1"/>
  <c r="AC6" i="10" s="1"/>
  <c r="AD6" i="10" s="1"/>
  <c r="AE6" i="10" s="1"/>
  <c r="AF6" i="10" s="1"/>
  <c r="AG6" i="10" s="1"/>
  <c r="AH6" i="10" s="1"/>
  <c r="AI6" i="10" s="1"/>
  <c r="AJ6" i="10" s="1"/>
  <c r="AK6" i="10" s="1"/>
  <c r="AL6" i="10" s="1"/>
  <c r="AM6" i="10" s="1"/>
  <c r="AN6" i="10" s="1"/>
  <c r="AO6" i="10" s="1"/>
  <c r="AP6" i="10" s="1"/>
  <c r="AQ6" i="10" s="1"/>
  <c r="AR6" i="10" s="1"/>
  <c r="AS6" i="10" s="1"/>
  <c r="AT6" i="10" s="1"/>
  <c r="AU6" i="10" s="1"/>
  <c r="AV6" i="10" s="1"/>
  <c r="AW6" i="10" s="1"/>
  <c r="AX6" i="10" s="1"/>
  <c r="AY6" i="10" s="1"/>
  <c r="AZ6" i="10" s="1"/>
  <c r="BA6" i="10" s="1"/>
  <c r="BB6" i="10" s="1"/>
  <c r="BC6" i="10" s="1"/>
  <c r="BD6" i="10" s="1"/>
  <c r="BE6" i="10" s="1"/>
  <c r="BF6" i="10" s="1"/>
  <c r="BG6" i="10" s="1"/>
  <c r="BH6" i="10" s="1"/>
  <c r="BI6" i="10" s="1"/>
  <c r="BJ6" i="10" s="1"/>
  <c r="BK6" i="10" s="1"/>
  <c r="BL6" i="10" s="1"/>
  <c r="BM6" i="10" s="1"/>
  <c r="BN6" i="10" s="1"/>
  <c r="BO6" i="10" s="1"/>
  <c r="BP6" i="10" s="1"/>
  <c r="BQ6" i="10" s="1"/>
  <c r="BR6" i="10" s="1"/>
  <c r="BS6" i="10" s="1"/>
  <c r="BT6" i="10" s="1"/>
  <c r="BU6" i="10" s="1"/>
  <c r="BV6" i="10" s="1"/>
  <c r="BW6" i="10" s="1"/>
  <c r="BX6" i="10" s="1"/>
  <c r="BY6" i="10" s="1"/>
  <c r="BZ6" i="10" s="1"/>
  <c r="CA6" i="10" s="1"/>
  <c r="CB6" i="10" s="1"/>
  <c r="CC6" i="10" s="1"/>
  <c r="CD6" i="10" s="1"/>
  <c r="CE6" i="10" s="1"/>
  <c r="CF6" i="10" s="1"/>
  <c r="CG6" i="10" s="1"/>
  <c r="CH6" i="10" s="1"/>
  <c r="S19" i="10"/>
  <c r="J11" i="4"/>
  <c r="D11" i="4"/>
  <c r="L11" i="4"/>
  <c r="C11" i="4"/>
  <c r="K11" i="4"/>
  <c r="F11" i="4"/>
  <c r="N11" i="4"/>
  <c r="G11" i="4"/>
  <c r="S25" i="4"/>
  <c r="U25" i="4" s="1"/>
  <c r="T25" i="4"/>
  <c r="S15" i="4"/>
  <c r="W13" i="10"/>
  <c r="R19" i="10"/>
  <c r="Y19" i="10"/>
  <c r="O19" i="10"/>
  <c r="Z19" i="10"/>
  <c r="P19" i="10"/>
  <c r="O13" i="10"/>
  <c r="Q19" i="10"/>
  <c r="S13" i="10"/>
  <c r="T19" i="10"/>
  <c r="P13" i="10"/>
  <c r="X13" i="10"/>
  <c r="U19" i="10"/>
  <c r="Q13" i="10"/>
  <c r="Y13" i="10"/>
  <c r="V19" i="10"/>
  <c r="R13" i="10"/>
  <c r="H29" i="12"/>
  <c r="I29" i="12"/>
  <c r="A32" i="12"/>
  <c r="D34" i="12"/>
  <c r="F34" i="12" s="1"/>
  <c r="H34" i="12" s="1"/>
  <c r="J34" i="12" s="1"/>
  <c r="C45" i="11"/>
  <c r="C42" i="11"/>
  <c r="H29" i="11"/>
  <c r="I29" i="11"/>
  <c r="A32" i="11"/>
  <c r="S30" i="4" l="1"/>
  <c r="T30" i="4" s="1"/>
  <c r="U30" i="4" s="1"/>
  <c r="T26" i="4"/>
  <c r="U26" i="4"/>
  <c r="Q10" i="4"/>
  <c r="Q29" i="4"/>
  <c r="Q31" i="4" s="1"/>
  <c r="Y24" i="4"/>
  <c r="P29" i="4"/>
  <c r="P31" i="4" s="1"/>
  <c r="U29" i="4"/>
  <c r="Z29" i="4"/>
  <c r="X24" i="4"/>
  <c r="W24" i="4"/>
  <c r="O24" i="4"/>
  <c r="O26" i="4" s="1"/>
  <c r="Q24" i="4"/>
  <c r="Q26" i="4" s="1"/>
  <c r="O29" i="4"/>
  <c r="O31" i="4" s="1"/>
  <c r="W22" i="10"/>
  <c r="P24" i="4"/>
  <c r="P26" i="4" s="1"/>
  <c r="Y29" i="4"/>
  <c r="R24" i="4"/>
  <c r="R26" i="4" s="1"/>
  <c r="T29" i="4"/>
  <c r="S29" i="4"/>
  <c r="S31" i="4" s="1"/>
  <c r="V29" i="4"/>
  <c r="S24" i="4"/>
  <c r="S26" i="4" s="1"/>
  <c r="R29" i="4"/>
  <c r="R31" i="4" s="1"/>
  <c r="V25" i="4"/>
  <c r="V26" i="4" s="1"/>
  <c r="T15" i="4"/>
  <c r="U15" i="4" s="1"/>
  <c r="P22" i="10"/>
  <c r="R22" i="10"/>
  <c r="Z22" i="10"/>
  <c r="U22" i="10"/>
  <c r="V22" i="10"/>
  <c r="S22" i="10"/>
  <c r="O22" i="10"/>
  <c r="X22" i="10"/>
  <c r="Y22" i="10"/>
  <c r="T22" i="10"/>
  <c r="Q22" i="10"/>
  <c r="E32" i="12"/>
  <c r="G32" i="12" s="1"/>
  <c r="A33" i="12"/>
  <c r="C44" i="12"/>
  <c r="J29" i="12"/>
  <c r="C43" i="12" s="1"/>
  <c r="K29" i="12"/>
  <c r="C42" i="12"/>
  <c r="C45" i="12"/>
  <c r="E32" i="11"/>
  <c r="G32" i="11" s="1"/>
  <c r="A33" i="11"/>
  <c r="K29" i="11"/>
  <c r="C44" i="11"/>
  <c r="J29" i="11"/>
  <c r="C43" i="11" s="1"/>
  <c r="D29" i="4"/>
  <c r="E29" i="4"/>
  <c r="F29" i="4"/>
  <c r="G29" i="4"/>
  <c r="H29" i="4"/>
  <c r="I29" i="4"/>
  <c r="J29" i="4"/>
  <c r="K29" i="4"/>
  <c r="L29" i="4"/>
  <c r="M29" i="4"/>
  <c r="N29" i="4"/>
  <c r="C29" i="4"/>
  <c r="D6" i="4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C22" i="10"/>
  <c r="D33" i="2"/>
  <c r="C33" i="2"/>
  <c r="N22" i="10"/>
  <c r="M22" i="10"/>
  <c r="L22" i="10"/>
  <c r="K22" i="10"/>
  <c r="J22" i="10"/>
  <c r="I22" i="10"/>
  <c r="H22" i="10"/>
  <c r="G22" i="10"/>
  <c r="F22" i="10"/>
  <c r="E22" i="10"/>
  <c r="D22" i="10"/>
  <c r="C18" i="10" a="1"/>
  <c r="C17" i="10" a="1"/>
  <c r="C12" i="10" a="1"/>
  <c r="C11" i="10" a="1"/>
  <c r="C11" i="10" s="1"/>
  <c r="D7" i="10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F32" i="9"/>
  <c r="D32" i="9" s="1"/>
  <c r="C32" i="9" s="1"/>
  <c r="F31" i="9"/>
  <c r="D31" i="9" s="1"/>
  <c r="C31" i="9" s="1"/>
  <c r="F30" i="9"/>
  <c r="D30" i="9" s="1"/>
  <c r="C30" i="9" s="1"/>
  <c r="F29" i="9"/>
  <c r="D29" i="9" s="1"/>
  <c r="C29" i="9" s="1"/>
  <c r="F28" i="9"/>
  <c r="D28" i="9" s="1"/>
  <c r="C28" i="9" s="1"/>
  <c r="F27" i="9"/>
  <c r="D27" i="9" s="1"/>
  <c r="C27" i="9" s="1"/>
  <c r="F26" i="9"/>
  <c r="D26" i="9" s="1"/>
  <c r="C26" i="9" s="1"/>
  <c r="F25" i="9"/>
  <c r="D25" i="9" s="1"/>
  <c r="C25" i="9" s="1"/>
  <c r="F24" i="9"/>
  <c r="D24" i="9" s="1"/>
  <c r="C24" i="9" s="1"/>
  <c r="F23" i="9"/>
  <c r="D23" i="9"/>
  <c r="C23" i="9" s="1"/>
  <c r="F22" i="9"/>
  <c r="D22" i="9"/>
  <c r="C22" i="9" s="1"/>
  <c r="F21" i="9"/>
  <c r="D21" i="9" s="1"/>
  <c r="C21" i="9" s="1"/>
  <c r="F15" i="9"/>
  <c r="D15" i="9" s="1"/>
  <c r="C15" i="9" s="1"/>
  <c r="F14" i="9"/>
  <c r="D14" i="9" s="1"/>
  <c r="C14" i="9" s="1"/>
  <c r="F13" i="9"/>
  <c r="D13" i="9"/>
  <c r="C13" i="9"/>
  <c r="F12" i="9"/>
  <c r="D12" i="9"/>
  <c r="C12" i="9"/>
  <c r="F11" i="9"/>
  <c r="D11" i="9" s="1"/>
  <c r="C11" i="9" s="1"/>
  <c r="F10" i="9"/>
  <c r="D10" i="9" s="1"/>
  <c r="C10" i="9" s="1"/>
  <c r="F9" i="9"/>
  <c r="D9" i="9" s="1"/>
  <c r="C9" i="9" s="1"/>
  <c r="F8" i="9"/>
  <c r="D8" i="9" s="1"/>
  <c r="C8" i="9" s="1"/>
  <c r="F7" i="9"/>
  <c r="D7" i="9" s="1"/>
  <c r="C7" i="9" s="1"/>
  <c r="F6" i="9"/>
  <c r="D6" i="9" s="1"/>
  <c r="C6" i="9" s="1"/>
  <c r="F5" i="9"/>
  <c r="D5" i="9"/>
  <c r="C5" i="9" s="1"/>
  <c r="F4" i="9"/>
  <c r="D4" i="9"/>
  <c r="C4" i="9" s="1"/>
  <c r="F32" i="8"/>
  <c r="D32" i="8" s="1"/>
  <c r="C32" i="8" s="1"/>
  <c r="F31" i="8"/>
  <c r="D31" i="8" s="1"/>
  <c r="C31" i="8" s="1"/>
  <c r="F30" i="8"/>
  <c r="D30" i="8" s="1"/>
  <c r="C30" i="8" s="1"/>
  <c r="F29" i="8"/>
  <c r="D29" i="8" s="1"/>
  <c r="C29" i="8" s="1"/>
  <c r="F28" i="8"/>
  <c r="D28" i="8" s="1"/>
  <c r="C28" i="8" s="1"/>
  <c r="F27" i="8"/>
  <c r="D27" i="8" s="1"/>
  <c r="C27" i="8" s="1"/>
  <c r="F26" i="8"/>
  <c r="D26" i="8" s="1"/>
  <c r="C26" i="8" s="1"/>
  <c r="F25" i="8"/>
  <c r="D25" i="8" s="1"/>
  <c r="C25" i="8" s="1"/>
  <c r="F24" i="8"/>
  <c r="D24" i="8" s="1"/>
  <c r="C24" i="8" s="1"/>
  <c r="F23" i="8"/>
  <c r="D23" i="8"/>
  <c r="C23" i="8" s="1"/>
  <c r="F22" i="8"/>
  <c r="D22" i="8" s="1"/>
  <c r="C22" i="8" s="1"/>
  <c r="F21" i="8"/>
  <c r="D21" i="8" s="1"/>
  <c r="C21" i="8" s="1"/>
  <c r="F15" i="8"/>
  <c r="D15" i="8" s="1"/>
  <c r="C15" i="8" s="1"/>
  <c r="F14" i="8"/>
  <c r="D14" i="8" s="1"/>
  <c r="C14" i="8" s="1"/>
  <c r="F13" i="8"/>
  <c r="D13" i="8" s="1"/>
  <c r="C13" i="8" s="1"/>
  <c r="F12" i="8"/>
  <c r="D12" i="8" s="1"/>
  <c r="C12" i="8" s="1"/>
  <c r="F11" i="8"/>
  <c r="D11" i="8" s="1"/>
  <c r="C11" i="8" s="1"/>
  <c r="F10" i="8"/>
  <c r="D10" i="8"/>
  <c r="C10" i="8" s="1"/>
  <c r="F9" i="8"/>
  <c r="D9" i="8"/>
  <c r="C9" i="8" s="1"/>
  <c r="F8" i="8"/>
  <c r="D8" i="8" s="1"/>
  <c r="C8" i="8" s="1"/>
  <c r="F7" i="8"/>
  <c r="D7" i="8" s="1"/>
  <c r="C7" i="8" s="1"/>
  <c r="F6" i="8"/>
  <c r="D6" i="8" s="1"/>
  <c r="C6" i="8" s="1"/>
  <c r="F5" i="8"/>
  <c r="D5" i="8"/>
  <c r="C5" i="8"/>
  <c r="F4" i="8"/>
  <c r="D4" i="8"/>
  <c r="C4" i="8"/>
  <c r="C29" i="2" a="1"/>
  <c r="C21" i="2" a="1"/>
  <c r="C13" i="2" a="1"/>
  <c r="J13" i="2" s="1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B30" i="2"/>
  <c r="B22" i="2"/>
  <c r="U31" i="4" l="1"/>
  <c r="T31" i="4"/>
  <c r="V30" i="4"/>
  <c r="R10" i="4"/>
  <c r="L31" i="4"/>
  <c r="L34" i="4" s="1"/>
  <c r="L33" i="4"/>
  <c r="J31" i="4"/>
  <c r="J34" i="4" s="1"/>
  <c r="J33" i="4"/>
  <c r="C12" i="10"/>
  <c r="I31" i="4"/>
  <c r="I34" i="4" s="1"/>
  <c r="I33" i="4"/>
  <c r="C31" i="4"/>
  <c r="C34" i="4" s="1"/>
  <c r="C33" i="4"/>
  <c r="C18" i="10"/>
  <c r="N31" i="4"/>
  <c r="N34" i="4" s="1"/>
  <c r="N33" i="4"/>
  <c r="F31" i="4"/>
  <c r="F34" i="4" s="1"/>
  <c r="F33" i="4"/>
  <c r="D31" i="4"/>
  <c r="D34" i="4" s="1"/>
  <c r="D33" i="4"/>
  <c r="K31" i="4"/>
  <c r="K34" i="4" s="1"/>
  <c r="K33" i="4"/>
  <c r="C17" i="10"/>
  <c r="C23" i="10" s="1"/>
  <c r="N23" i="10"/>
  <c r="M23" i="10"/>
  <c r="E23" i="10"/>
  <c r="I23" i="10"/>
  <c r="H23" i="10"/>
  <c r="F23" i="10"/>
  <c r="L23" i="10"/>
  <c r="D23" i="10"/>
  <c r="K23" i="10"/>
  <c r="J23" i="10"/>
  <c r="G23" i="10"/>
  <c r="H31" i="4"/>
  <c r="H34" i="4" s="1"/>
  <c r="H33" i="4"/>
  <c r="G31" i="4"/>
  <c r="G34" i="4" s="1"/>
  <c r="G33" i="4"/>
  <c r="M31" i="4"/>
  <c r="M34" i="4" s="1"/>
  <c r="M33" i="4"/>
  <c r="E31" i="4"/>
  <c r="E34" i="4" s="1"/>
  <c r="E33" i="4"/>
  <c r="C21" i="2"/>
  <c r="O21" i="2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C29" i="2"/>
  <c r="O29" i="2"/>
  <c r="P29" i="2" s="1"/>
  <c r="Q29" i="2" s="1"/>
  <c r="R29" i="2" s="1"/>
  <c r="S29" i="2" s="1"/>
  <c r="T29" i="2" s="1"/>
  <c r="U29" i="2" s="1"/>
  <c r="V29" i="2" s="1"/>
  <c r="W25" i="4"/>
  <c r="W26" i="4" s="1"/>
  <c r="V15" i="4"/>
  <c r="W15" i="4" s="1"/>
  <c r="E33" i="12"/>
  <c r="G33" i="12" s="1"/>
  <c r="I33" i="12" s="1"/>
  <c r="K33" i="12" s="1"/>
  <c r="A34" i="12"/>
  <c r="I32" i="12"/>
  <c r="E33" i="11"/>
  <c r="G33" i="11" s="1"/>
  <c r="I33" i="11" s="1"/>
  <c r="K33" i="11" s="1"/>
  <c r="A34" i="11"/>
  <c r="I32" i="11"/>
  <c r="L33" i="2"/>
  <c r="H33" i="2"/>
  <c r="G33" i="2"/>
  <c r="F33" i="2"/>
  <c r="M33" i="2"/>
  <c r="E33" i="2"/>
  <c r="K33" i="2"/>
  <c r="N33" i="2"/>
  <c r="J33" i="2"/>
  <c r="I33" i="2"/>
  <c r="H13" i="2"/>
  <c r="G13" i="2"/>
  <c r="N13" i="2"/>
  <c r="O13" i="2" s="1"/>
  <c r="P13" i="2" s="1"/>
  <c r="F13" i="2"/>
  <c r="I13" i="2"/>
  <c r="M13" i="2"/>
  <c r="E13" i="2"/>
  <c r="L13" i="2"/>
  <c r="D13" i="2"/>
  <c r="K13" i="2"/>
  <c r="C13" i="2"/>
  <c r="J48" i="7"/>
  <c r="J47" i="7"/>
  <c r="J46" i="7"/>
  <c r="J45" i="7"/>
  <c r="J44" i="7"/>
  <c r="J43" i="7"/>
  <c r="J42" i="7"/>
  <c r="J41" i="7"/>
  <c r="J40" i="7"/>
  <c r="J39" i="7"/>
  <c r="J38" i="7"/>
  <c r="J37" i="7"/>
  <c r="J32" i="7"/>
  <c r="J31" i="7"/>
  <c r="J30" i="7"/>
  <c r="J29" i="7"/>
  <c r="J28" i="7"/>
  <c r="J27" i="7"/>
  <c r="J26" i="7"/>
  <c r="J25" i="7"/>
  <c r="J24" i="7"/>
  <c r="J23" i="7"/>
  <c r="J22" i="7"/>
  <c r="J21" i="7"/>
  <c r="J5" i="7"/>
  <c r="J6" i="7"/>
  <c r="J7" i="7"/>
  <c r="J8" i="7"/>
  <c r="J9" i="7"/>
  <c r="J10" i="7"/>
  <c r="J11" i="7"/>
  <c r="J12" i="7"/>
  <c r="J13" i="7"/>
  <c r="J14" i="7"/>
  <c r="J15" i="7"/>
  <c r="J4" i="7"/>
  <c r="E37" i="7"/>
  <c r="E6" i="7"/>
  <c r="E39" i="7" s="1"/>
  <c r="E7" i="7"/>
  <c r="E40" i="7" s="1"/>
  <c r="E8" i="7"/>
  <c r="E41" i="7" s="1"/>
  <c r="E9" i="7"/>
  <c r="E42" i="7" s="1"/>
  <c r="E10" i="7"/>
  <c r="E43" i="7" s="1"/>
  <c r="E11" i="7"/>
  <c r="E44" i="7" s="1"/>
  <c r="E12" i="7"/>
  <c r="E45" i="7" s="1"/>
  <c r="E13" i="7"/>
  <c r="E46" i="7" s="1"/>
  <c r="E14" i="7"/>
  <c r="E47" i="7" s="1"/>
  <c r="E15" i="7"/>
  <c r="E48" i="7" s="1"/>
  <c r="E5" i="7"/>
  <c r="E38" i="7" s="1"/>
  <c r="H48" i="7"/>
  <c r="G48" i="7" s="1"/>
  <c r="F48" i="7" s="1"/>
  <c r="H47" i="7"/>
  <c r="G47" i="7" s="1"/>
  <c r="F47" i="7" s="1"/>
  <c r="H46" i="7"/>
  <c r="G46" i="7" s="1"/>
  <c r="F46" i="7" s="1"/>
  <c r="H45" i="7"/>
  <c r="G45" i="7" s="1"/>
  <c r="F45" i="7" s="1"/>
  <c r="H44" i="7"/>
  <c r="G44" i="7" s="1"/>
  <c r="F44" i="7" s="1"/>
  <c r="H43" i="7"/>
  <c r="G43" i="7" s="1"/>
  <c r="F43" i="7" s="1"/>
  <c r="H42" i="7"/>
  <c r="G42" i="7" s="1"/>
  <c r="F42" i="7" s="1"/>
  <c r="H41" i="7"/>
  <c r="G41" i="7" s="1"/>
  <c r="F41" i="7" s="1"/>
  <c r="H40" i="7"/>
  <c r="G40" i="7" s="1"/>
  <c r="F40" i="7" s="1"/>
  <c r="H39" i="7"/>
  <c r="G39" i="7" s="1"/>
  <c r="F39" i="7" s="1"/>
  <c r="H38" i="7"/>
  <c r="G38" i="7" s="1"/>
  <c r="F38" i="7" s="1"/>
  <c r="H37" i="7"/>
  <c r="G37" i="7" s="1"/>
  <c r="F37" i="7" s="1"/>
  <c r="H32" i="7"/>
  <c r="G32" i="7" s="1"/>
  <c r="F32" i="7" s="1"/>
  <c r="D32" i="7" s="1"/>
  <c r="H31" i="7"/>
  <c r="G31" i="7" s="1"/>
  <c r="F31" i="7" s="1"/>
  <c r="D31" i="7" s="1"/>
  <c r="H30" i="7"/>
  <c r="G30" i="7" s="1"/>
  <c r="F30" i="7" s="1"/>
  <c r="D30" i="7" s="1"/>
  <c r="H29" i="7"/>
  <c r="G29" i="7" s="1"/>
  <c r="F29" i="7" s="1"/>
  <c r="D29" i="7" s="1"/>
  <c r="H28" i="7"/>
  <c r="G28" i="7" s="1"/>
  <c r="F28" i="7" s="1"/>
  <c r="D28" i="7" s="1"/>
  <c r="H27" i="7"/>
  <c r="G27" i="7" s="1"/>
  <c r="F27" i="7" s="1"/>
  <c r="D27" i="7" s="1"/>
  <c r="H26" i="7"/>
  <c r="G26" i="7" s="1"/>
  <c r="F26" i="7" s="1"/>
  <c r="D26" i="7" s="1"/>
  <c r="H25" i="7"/>
  <c r="G25" i="7" s="1"/>
  <c r="F25" i="7" s="1"/>
  <c r="D25" i="7" s="1"/>
  <c r="H24" i="7"/>
  <c r="G24" i="7" s="1"/>
  <c r="F24" i="7" s="1"/>
  <c r="D24" i="7" s="1"/>
  <c r="H23" i="7"/>
  <c r="G23" i="7" s="1"/>
  <c r="F23" i="7" s="1"/>
  <c r="D23" i="7" s="1"/>
  <c r="H22" i="7"/>
  <c r="G22" i="7" s="1"/>
  <c r="F22" i="7" s="1"/>
  <c r="D22" i="7" s="1"/>
  <c r="H21" i="7"/>
  <c r="G21" i="7" s="1"/>
  <c r="F21" i="7" s="1"/>
  <c r="D21" i="7" s="1"/>
  <c r="H5" i="7"/>
  <c r="G5" i="7" s="1"/>
  <c r="F5" i="7" s="1"/>
  <c r="D5" i="7" s="1"/>
  <c r="H6" i="7"/>
  <c r="G6" i="7" s="1"/>
  <c r="F6" i="7" s="1"/>
  <c r="H7" i="7"/>
  <c r="G7" i="7" s="1"/>
  <c r="F7" i="7" s="1"/>
  <c r="H8" i="7"/>
  <c r="G8" i="7" s="1"/>
  <c r="F8" i="7" s="1"/>
  <c r="H9" i="7"/>
  <c r="G9" i="7" s="1"/>
  <c r="F9" i="7" s="1"/>
  <c r="H10" i="7"/>
  <c r="G10" i="7" s="1"/>
  <c r="F10" i="7" s="1"/>
  <c r="H11" i="7"/>
  <c r="G11" i="7" s="1"/>
  <c r="F11" i="7" s="1"/>
  <c r="H12" i="7"/>
  <c r="G12" i="7" s="1"/>
  <c r="F12" i="7" s="1"/>
  <c r="H13" i="7"/>
  <c r="G13" i="7" s="1"/>
  <c r="F13" i="7" s="1"/>
  <c r="H14" i="7"/>
  <c r="G14" i="7" s="1"/>
  <c r="F14" i="7" s="1"/>
  <c r="H15" i="7"/>
  <c r="G15" i="7" s="1"/>
  <c r="F15" i="7" s="1"/>
  <c r="H4" i="7"/>
  <c r="G4" i="7" s="1"/>
  <c r="F4" i="7" s="1"/>
  <c r="D4" i="7" s="1"/>
  <c r="W30" i="4" l="1"/>
  <c r="S10" i="4"/>
  <c r="X25" i="4"/>
  <c r="X26" i="4" s="1"/>
  <c r="V31" i="4"/>
  <c r="T10" i="4"/>
  <c r="O17" i="10"/>
  <c r="O11" i="10"/>
  <c r="Q13" i="2"/>
  <c r="R13" i="2" s="1"/>
  <c r="S13" i="2" s="1"/>
  <c r="T13" i="2" s="1"/>
  <c r="U13" i="2" s="1"/>
  <c r="V13" i="2" s="1"/>
  <c r="X15" i="4"/>
  <c r="Y15" i="4" s="1"/>
  <c r="W29" i="2"/>
  <c r="K32" i="12"/>
  <c r="E34" i="12"/>
  <c r="G34" i="12" s="1"/>
  <c r="A35" i="12"/>
  <c r="E34" i="11"/>
  <c r="G34" i="11" s="1"/>
  <c r="A35" i="11"/>
  <c r="K32" i="11"/>
  <c r="C18" i="2" a="1"/>
  <c r="D37" i="7"/>
  <c r="D12" i="7"/>
  <c r="D11" i="7"/>
  <c r="D10" i="7"/>
  <c r="D15" i="7"/>
  <c r="D7" i="7"/>
  <c r="D8" i="7"/>
  <c r="D43" i="7"/>
  <c r="D6" i="7"/>
  <c r="C10" i="2" s="1" a="1"/>
  <c r="D42" i="7"/>
  <c r="D38" i="7"/>
  <c r="D39" i="7"/>
  <c r="D46" i="7"/>
  <c r="D47" i="7"/>
  <c r="D41" i="7"/>
  <c r="D44" i="7"/>
  <c r="D45" i="7"/>
  <c r="D40" i="7"/>
  <c r="D48" i="7"/>
  <c r="D9" i="7"/>
  <c r="D14" i="7"/>
  <c r="D13" i="7"/>
  <c r="Y25" i="4" l="1"/>
  <c r="Z25" i="4"/>
  <c r="Z26" i="4" s="1"/>
  <c r="Y26" i="4"/>
  <c r="W31" i="4"/>
  <c r="X30" i="4"/>
  <c r="X31" i="4" s="1"/>
  <c r="V10" i="4"/>
  <c r="U10" i="4"/>
  <c r="O23" i="10"/>
  <c r="P11" i="10"/>
  <c r="P17" i="10"/>
  <c r="C18" i="2"/>
  <c r="Z15" i="4"/>
  <c r="X29" i="2"/>
  <c r="W13" i="2"/>
  <c r="A36" i="12"/>
  <c r="E35" i="12"/>
  <c r="G35" i="12" s="1"/>
  <c r="I35" i="12" s="1"/>
  <c r="K35" i="12" s="1"/>
  <c r="I34" i="12"/>
  <c r="A36" i="11"/>
  <c r="E35" i="11"/>
  <c r="G35" i="11" s="1"/>
  <c r="I35" i="11" s="1"/>
  <c r="K35" i="11" s="1"/>
  <c r="I34" i="11"/>
  <c r="C10" i="2"/>
  <c r="C26" i="2" a="1"/>
  <c r="Y30" i="4" l="1"/>
  <c r="Y31" i="4" s="1"/>
  <c r="P23" i="10"/>
  <c r="W10" i="4"/>
  <c r="Z30" i="4"/>
  <c r="Z31" i="4" s="1"/>
  <c r="Q17" i="10"/>
  <c r="Q11" i="10"/>
  <c r="O12" i="2"/>
  <c r="O14" i="2" s="1"/>
  <c r="C26" i="2"/>
  <c r="C32" i="2" s="1"/>
  <c r="O20" i="2"/>
  <c r="O22" i="2" s="1"/>
  <c r="O14" i="4" s="1"/>
  <c r="O16" i="4" s="1"/>
  <c r="Y29" i="2"/>
  <c r="X13" i="2"/>
  <c r="K34" i="12"/>
  <c r="E36" i="12"/>
  <c r="G36" i="12" s="1"/>
  <c r="A37" i="12"/>
  <c r="K34" i="11"/>
  <c r="E36" i="11"/>
  <c r="G36" i="11" s="1"/>
  <c r="A37" i="11"/>
  <c r="J32" i="2"/>
  <c r="I32" i="2"/>
  <c r="H32" i="2"/>
  <c r="F32" i="2"/>
  <c r="G32" i="2"/>
  <c r="K32" i="2"/>
  <c r="E32" i="2"/>
  <c r="L32" i="2"/>
  <c r="D32" i="2"/>
  <c r="M32" i="2"/>
  <c r="N32" i="2"/>
  <c r="X10" i="4" l="1"/>
  <c r="Q23" i="10"/>
  <c r="R11" i="10"/>
  <c r="R17" i="10"/>
  <c r="O27" i="2"/>
  <c r="O28" i="2" s="1"/>
  <c r="O30" i="2" s="1"/>
  <c r="P32" i="2"/>
  <c r="O32" i="2"/>
  <c r="P12" i="2"/>
  <c r="P14" i="2" s="1"/>
  <c r="P20" i="2"/>
  <c r="P22" i="2" s="1"/>
  <c r="P14" i="4" s="1"/>
  <c r="P16" i="4" s="1"/>
  <c r="O9" i="4"/>
  <c r="Z29" i="2"/>
  <c r="Y13" i="2"/>
  <c r="E37" i="12"/>
  <c r="G37" i="12" s="1"/>
  <c r="I37" i="12" s="1"/>
  <c r="K37" i="12" s="1"/>
  <c r="A38" i="12"/>
  <c r="E38" i="12" s="1"/>
  <c r="G38" i="12" s="1"/>
  <c r="I38" i="12" s="1"/>
  <c r="K38" i="12" s="1"/>
  <c r="I36" i="12"/>
  <c r="D45" i="12"/>
  <c r="D42" i="12"/>
  <c r="E37" i="11"/>
  <c r="G37" i="11" s="1"/>
  <c r="I37" i="11" s="1"/>
  <c r="K37" i="11" s="1"/>
  <c r="A38" i="11"/>
  <c r="E38" i="11" s="1"/>
  <c r="G38" i="11" s="1"/>
  <c r="I38" i="11" s="1"/>
  <c r="K38" i="11" s="1"/>
  <c r="I36" i="11"/>
  <c r="D42" i="11"/>
  <c r="D45" i="11"/>
  <c r="Y10" i="4" l="1"/>
  <c r="Z10" i="4" s="1"/>
  <c r="S17" i="10"/>
  <c r="S11" i="10"/>
  <c r="R23" i="10"/>
  <c r="O19" i="4"/>
  <c r="O21" i="4" s="1"/>
  <c r="O33" i="2"/>
  <c r="Q20" i="2"/>
  <c r="Q22" i="2" s="1"/>
  <c r="Q14" i="4" s="1"/>
  <c r="Q16" i="4" s="1"/>
  <c r="P9" i="4"/>
  <c r="Q12" i="2"/>
  <c r="Q14" i="2" s="1"/>
  <c r="O11" i="4"/>
  <c r="Q32" i="2"/>
  <c r="P27" i="2"/>
  <c r="P28" i="2" s="1"/>
  <c r="P30" i="2" s="1"/>
  <c r="Z13" i="2"/>
  <c r="K36" i="12"/>
  <c r="D43" i="12" s="1"/>
  <c r="D44" i="12"/>
  <c r="K36" i="11"/>
  <c r="D43" i="11" s="1"/>
  <c r="D44" i="11"/>
  <c r="S23" i="10" l="1"/>
  <c r="T11" i="10"/>
  <c r="T17" i="10"/>
  <c r="T23" i="10" s="1"/>
  <c r="O33" i="4"/>
  <c r="P19" i="4"/>
  <c r="P21" i="4" s="1"/>
  <c r="P33" i="2"/>
  <c r="R20" i="2"/>
  <c r="R22" i="2" s="1"/>
  <c r="R14" i="4" s="1"/>
  <c r="R16" i="4" s="1"/>
  <c r="P11" i="4"/>
  <c r="R32" i="2"/>
  <c r="Q27" i="2"/>
  <c r="Q28" i="2" s="1"/>
  <c r="Q30" i="2" s="1"/>
  <c r="Q19" i="4" s="1"/>
  <c r="Q21" i="4" s="1"/>
  <c r="R12" i="2"/>
  <c r="R14" i="2" s="1"/>
  <c r="Q9" i="4"/>
  <c r="O34" i="4"/>
  <c r="U17" i="10" l="1"/>
  <c r="U11" i="10"/>
  <c r="P34" i="4"/>
  <c r="R9" i="4"/>
  <c r="Q33" i="2"/>
  <c r="P33" i="4"/>
  <c r="S32" i="2"/>
  <c r="S12" i="2"/>
  <c r="S14" i="2" s="1"/>
  <c r="S20" i="2"/>
  <c r="S22" i="2" s="1"/>
  <c r="S14" i="4" s="1"/>
  <c r="S16" i="4" s="1"/>
  <c r="R27" i="2"/>
  <c r="R28" i="2" s="1"/>
  <c r="R30" i="2" s="1"/>
  <c r="R19" i="4" s="1"/>
  <c r="R21" i="4" s="1"/>
  <c r="Q33" i="4"/>
  <c r="Q11" i="4"/>
  <c r="Q34" i="4" s="1"/>
  <c r="V11" i="10" l="1"/>
  <c r="U23" i="10"/>
  <c r="V17" i="10"/>
  <c r="R33" i="2"/>
  <c r="T20" i="2"/>
  <c r="T22" i="2" s="1"/>
  <c r="T14" i="4" s="1"/>
  <c r="T16" i="4" s="1"/>
  <c r="S9" i="4"/>
  <c r="T12" i="2"/>
  <c r="T14" i="2" s="1"/>
  <c r="T32" i="2"/>
  <c r="S27" i="2"/>
  <c r="S28" i="2" s="1"/>
  <c r="S30" i="2" s="1"/>
  <c r="S19" i="4" s="1"/>
  <c r="S21" i="4" s="1"/>
  <c r="R33" i="4"/>
  <c r="R11" i="4"/>
  <c r="R34" i="4" s="1"/>
  <c r="V23" i="10" l="1"/>
  <c r="W17" i="10"/>
  <c r="W11" i="10"/>
  <c r="U12" i="2"/>
  <c r="U14" i="2" s="1"/>
  <c r="T9" i="4"/>
  <c r="S33" i="2"/>
  <c r="S33" i="4"/>
  <c r="S11" i="4"/>
  <c r="S34" i="4" s="1"/>
  <c r="U32" i="2"/>
  <c r="T27" i="2"/>
  <c r="T28" i="2" s="1"/>
  <c r="T30" i="2" s="1"/>
  <c r="T19" i="4" s="1"/>
  <c r="T21" i="4" s="1"/>
  <c r="U20" i="2"/>
  <c r="U22" i="2" s="1"/>
  <c r="U14" i="4" s="1"/>
  <c r="U16" i="4" s="1"/>
  <c r="X11" i="10" l="1"/>
  <c r="W23" i="10"/>
  <c r="X17" i="10"/>
  <c r="T33" i="2"/>
  <c r="V20" i="2"/>
  <c r="V22" i="2" s="1"/>
  <c r="V14" i="4" s="1"/>
  <c r="V16" i="4" s="1"/>
  <c r="T33" i="4"/>
  <c r="T11" i="4"/>
  <c r="T34" i="4" s="1"/>
  <c r="V32" i="2"/>
  <c r="U27" i="2"/>
  <c r="U28" i="2" s="1"/>
  <c r="U30" i="2" s="1"/>
  <c r="V12" i="2"/>
  <c r="V14" i="2" s="1"/>
  <c r="U9" i="4"/>
  <c r="X23" i="10" l="1"/>
  <c r="Z17" i="10"/>
  <c r="Y17" i="10"/>
  <c r="Z11" i="10"/>
  <c r="Y11" i="10"/>
  <c r="U19" i="4"/>
  <c r="U21" i="4" s="1"/>
  <c r="U33" i="2"/>
  <c r="V9" i="4"/>
  <c r="W32" i="2"/>
  <c r="V27" i="2"/>
  <c r="V28" i="2" s="1"/>
  <c r="V30" i="2" s="1"/>
  <c r="W12" i="2"/>
  <c r="W14" i="2" s="1"/>
  <c r="W20" i="2"/>
  <c r="W22" i="2" s="1"/>
  <c r="W14" i="4" s="1"/>
  <c r="W16" i="4" s="1"/>
  <c r="U11" i="4"/>
  <c r="Y23" i="10" l="1"/>
  <c r="Z23" i="10"/>
  <c r="U33" i="4"/>
  <c r="V19" i="4"/>
  <c r="V21" i="4" s="1"/>
  <c r="V33" i="2"/>
  <c r="X32" i="2"/>
  <c r="W27" i="2"/>
  <c r="W28" i="2" s="1"/>
  <c r="W30" i="2" s="1"/>
  <c r="W19" i="4" s="1"/>
  <c r="W21" i="4" s="1"/>
  <c r="X12" i="2"/>
  <c r="X14" i="2" s="1"/>
  <c r="X20" i="2"/>
  <c r="X22" i="2" s="1"/>
  <c r="X14" i="4" s="1"/>
  <c r="X16" i="4" s="1"/>
  <c r="V11" i="4"/>
  <c r="W9" i="4"/>
  <c r="U34" i="4"/>
  <c r="W33" i="2" l="1"/>
  <c r="V33" i="4"/>
  <c r="V34" i="4"/>
  <c r="X9" i="4"/>
  <c r="W11" i="4"/>
  <c r="W34" i="4" s="1"/>
  <c r="W33" i="4"/>
  <c r="Y12" i="2"/>
  <c r="Y14" i="2" s="1"/>
  <c r="Y32" i="2"/>
  <c r="X27" i="2"/>
  <c r="X28" i="2" s="1"/>
  <c r="X30" i="2" s="1"/>
  <c r="Z20" i="2"/>
  <c r="Z22" i="2" s="1"/>
  <c r="Z14" i="4" s="1"/>
  <c r="Z16" i="4" s="1"/>
  <c r="Y20" i="2"/>
  <c r="Y22" i="2" s="1"/>
  <c r="Y14" i="4" s="1"/>
  <c r="Y16" i="4" s="1"/>
  <c r="X19" i="4" l="1"/>
  <c r="X21" i="4" s="1"/>
  <c r="X33" i="2"/>
  <c r="Y9" i="4"/>
  <c r="Z12" i="2"/>
  <c r="Z14" i="2" s="1"/>
  <c r="X11" i="4"/>
  <c r="Z32" i="2"/>
  <c r="Y27" i="2"/>
  <c r="Y28" i="2" s="1"/>
  <c r="Y30" i="2" s="1"/>
  <c r="X33" i="4" l="1"/>
  <c r="Y19" i="4"/>
  <c r="Y21" i="4" s="1"/>
  <c r="Y33" i="2"/>
  <c r="Y11" i="4"/>
  <c r="Z9" i="4"/>
  <c r="Z27" i="2"/>
  <c r="Z28" i="2" s="1"/>
  <c r="Z30" i="2" s="1"/>
  <c r="X34" i="4"/>
  <c r="Y34" i="4" l="1"/>
  <c r="Z19" i="4"/>
  <c r="Z21" i="4" s="1"/>
  <c r="Z33" i="2"/>
  <c r="Y33" i="4"/>
  <c r="Z11" i="4"/>
  <c r="Z34" i="4" l="1"/>
  <c r="Z33" i="4"/>
  <c r="N18" i="10"/>
  <c r="M18" i="10"/>
  <c r="L18" i="10"/>
  <c r="K18" i="10"/>
  <c r="J18" i="10"/>
  <c r="I18" i="10"/>
  <c r="H18" i="10"/>
  <c r="G18" i="10"/>
  <c r="F18" i="10"/>
  <c r="E18" i="10"/>
  <c r="D18" i="10"/>
  <c r="N17" i="10"/>
  <c r="M17" i="10"/>
  <c r="L17" i="10"/>
  <c r="K17" i="10"/>
  <c r="J17" i="10"/>
  <c r="I17" i="10"/>
  <c r="H17" i="10"/>
  <c r="G17" i="10"/>
  <c r="F17" i="10"/>
  <c r="E17" i="10"/>
  <c r="D17" i="10"/>
  <c r="N12" i="10"/>
  <c r="M12" i="10"/>
  <c r="L12" i="10"/>
  <c r="K12" i="10"/>
  <c r="J12" i="10"/>
  <c r="I12" i="10"/>
  <c r="H12" i="10"/>
  <c r="G12" i="10"/>
  <c r="F12" i="10"/>
  <c r="E12" i="10"/>
  <c r="D12" i="10"/>
  <c r="N11" i="10"/>
  <c r="M11" i="10"/>
  <c r="L11" i="10"/>
  <c r="K11" i="10"/>
  <c r="J11" i="10"/>
  <c r="I11" i="10"/>
  <c r="H11" i="10"/>
  <c r="G11" i="10"/>
  <c r="F11" i="10"/>
  <c r="E11" i="10"/>
  <c r="D11" i="10"/>
  <c r="N29" i="2"/>
  <c r="M29" i="2"/>
  <c r="L29" i="2"/>
  <c r="K29" i="2"/>
  <c r="J29" i="2"/>
  <c r="I29" i="2"/>
  <c r="H29" i="2"/>
  <c r="G29" i="2"/>
  <c r="F29" i="2"/>
  <c r="E29" i="2"/>
  <c r="D29" i="2"/>
  <c r="N28" i="2"/>
  <c r="M28" i="2"/>
  <c r="L28" i="2"/>
  <c r="K28" i="2"/>
  <c r="J28" i="2"/>
  <c r="I28" i="2"/>
  <c r="H28" i="2"/>
  <c r="G28" i="2"/>
  <c r="F28" i="2"/>
  <c r="E28" i="2"/>
  <c r="D28" i="2"/>
  <c r="C28" i="2"/>
  <c r="N27" i="2"/>
  <c r="M27" i="2"/>
  <c r="L27" i="2"/>
  <c r="K27" i="2"/>
  <c r="J27" i="2"/>
  <c r="I27" i="2"/>
  <c r="H27" i="2"/>
  <c r="G27" i="2"/>
  <c r="F27" i="2"/>
  <c r="E27" i="2"/>
  <c r="D27" i="2"/>
  <c r="C27" i="2"/>
  <c r="N26" i="2"/>
  <c r="M26" i="2"/>
  <c r="L26" i="2"/>
  <c r="K26" i="2"/>
  <c r="J26" i="2"/>
  <c r="I26" i="2"/>
  <c r="H26" i="2"/>
  <c r="G26" i="2"/>
  <c r="F26" i="2"/>
  <c r="E26" i="2"/>
  <c r="D26" i="2"/>
  <c r="N21" i="2"/>
  <c r="M21" i="2"/>
  <c r="L21" i="2"/>
  <c r="K21" i="2"/>
  <c r="J21" i="2"/>
  <c r="I21" i="2"/>
  <c r="H21" i="2"/>
  <c r="G21" i="2"/>
  <c r="F21" i="2"/>
  <c r="E21" i="2"/>
  <c r="D21" i="2"/>
  <c r="N20" i="2"/>
  <c r="M20" i="2"/>
  <c r="L20" i="2"/>
  <c r="K20" i="2"/>
  <c r="J20" i="2"/>
  <c r="I20" i="2"/>
  <c r="H20" i="2"/>
  <c r="G20" i="2"/>
  <c r="F20" i="2"/>
  <c r="E20" i="2"/>
  <c r="D20" i="2"/>
  <c r="C20" i="2"/>
  <c r="N19" i="2"/>
  <c r="M19" i="2"/>
  <c r="L19" i="2"/>
  <c r="K19" i="2"/>
  <c r="J19" i="2"/>
  <c r="I19" i="2"/>
  <c r="H19" i="2"/>
  <c r="G19" i="2"/>
  <c r="F19" i="2"/>
  <c r="E19" i="2"/>
  <c r="D19" i="2"/>
  <c r="C19" i="2"/>
  <c r="N18" i="2"/>
  <c r="M18" i="2"/>
  <c r="L18" i="2"/>
  <c r="K18" i="2"/>
  <c r="J18" i="2"/>
  <c r="I18" i="2"/>
  <c r="H18" i="2"/>
  <c r="G18" i="2"/>
  <c r="F18" i="2"/>
  <c r="E18" i="2"/>
  <c r="D18" i="2"/>
  <c r="N12" i="2"/>
  <c r="M12" i="2"/>
  <c r="L12" i="2"/>
  <c r="K12" i="2"/>
  <c r="J12" i="2"/>
  <c r="I12" i="2"/>
  <c r="H12" i="2"/>
  <c r="G12" i="2"/>
  <c r="F12" i="2"/>
  <c r="E12" i="2"/>
  <c r="D12" i="2"/>
  <c r="C12" i="2"/>
  <c r="N11" i="2"/>
  <c r="M11" i="2"/>
  <c r="L11" i="2"/>
  <c r="K11" i="2"/>
  <c r="J11" i="2"/>
  <c r="I11" i="2"/>
  <c r="H11" i="2"/>
  <c r="G11" i="2"/>
  <c r="F11" i="2"/>
  <c r="E11" i="2"/>
  <c r="D11" i="2"/>
  <c r="C11" i="2"/>
  <c r="N10" i="2"/>
  <c r="M10" i="2"/>
  <c r="L10" i="2"/>
  <c r="K10" i="2"/>
  <c r="J10" i="2"/>
  <c r="I10" i="2"/>
  <c r="H10" i="2"/>
  <c r="G10" i="2"/>
  <c r="F10" i="2"/>
  <c r="E10" i="2"/>
  <c r="D10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<sst xmlns="http://schemas.openxmlformats.org/spreadsheetml/2006/main" count="354" uniqueCount="110">
  <si>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</si>
  <si>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</si>
  <si>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</si>
  <si>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</si>
  <si>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</si>
  <si>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</si>
  <si>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</si>
  <si>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</si>
  <si>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</si>
  <si>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</si>
  <si>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</si>
  <si>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</si>
  <si>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Data</t>
  </si>
  <si>
    <t>CPC</t>
  </si>
  <si>
    <t>Click</t>
  </si>
  <si>
    <t>Custo</t>
  </si>
  <si>
    <t>Usuários</t>
  </si>
  <si>
    <t>Sessóes</t>
  </si>
  <si>
    <t>Taxa de conversão</t>
  </si>
  <si>
    <t>Conclusões da meta 1</t>
  </si>
  <si>
    <t>Conversão da página</t>
  </si>
  <si>
    <t>Total leads</t>
  </si>
  <si>
    <t>Campanha</t>
  </si>
  <si>
    <t>SEARCH-1</t>
  </si>
  <si>
    <t>DISPLAY-1</t>
  </si>
  <si>
    <t>SEARCH</t>
  </si>
  <si>
    <t>DISPLAY</t>
  </si>
  <si>
    <t>OTHER- FACEBOOK</t>
  </si>
  <si>
    <t>FACE-ADS-1</t>
  </si>
  <si>
    <t>Leads</t>
  </si>
  <si>
    <t>Tráfego pago</t>
  </si>
  <si>
    <t>1. Google Search</t>
  </si>
  <si>
    <t xml:space="preserve">Total Leads Google Search </t>
  </si>
  <si>
    <t>2. Google Display</t>
  </si>
  <si>
    <t>3. Facebook</t>
  </si>
  <si>
    <t>TOTAL INVESTIMENTO</t>
  </si>
  <si>
    <t>TOTAL LEADS</t>
  </si>
  <si>
    <t>EMAIL</t>
  </si>
  <si>
    <t>OUTROS</t>
  </si>
  <si>
    <t>Tráfego Orgânico</t>
  </si>
  <si>
    <t>1. Email</t>
  </si>
  <si>
    <t>Sessões</t>
  </si>
  <si>
    <t>DESEMPENHO DE VENDAS</t>
  </si>
  <si>
    <t>4. Email</t>
  </si>
  <si>
    <t>5. Others</t>
  </si>
  <si>
    <t>Conversão de vendas</t>
  </si>
  <si>
    <t>Total Vendas</t>
  </si>
  <si>
    <t>LEAD ORGÂNICO</t>
  </si>
  <si>
    <t>Mes</t>
  </si>
  <si>
    <t>Leads organicos</t>
  </si>
  <si>
    <t>Exponential Smoothing</t>
  </si>
  <si>
    <t>Coeficientes Regressão</t>
  </si>
  <si>
    <t>Alfa mês -2</t>
  </si>
  <si>
    <t>a</t>
  </si>
  <si>
    <t>Alfa mes anterior (-1)</t>
  </si>
  <si>
    <t>c</t>
  </si>
  <si>
    <t>Previsão Exponential smoothing</t>
  </si>
  <si>
    <t>Regressão linear</t>
  </si>
  <si>
    <t>Erro Exp. Smoothing</t>
  </si>
  <si>
    <t>Erro Regressão linear</t>
  </si>
  <si>
    <t>Abs Error  Exp. Smoothing</t>
  </si>
  <si>
    <t>Abs. Error Regressão Linear</t>
  </si>
  <si>
    <t>Abs Error % ES</t>
  </si>
  <si>
    <t>Abs Error % RL</t>
  </si>
  <si>
    <t>Métricas de avaliação</t>
  </si>
  <si>
    <t>Exp. Smoothing</t>
  </si>
  <si>
    <t>Regressão Linear</t>
  </si>
  <si>
    <t>Bias Forecast Error</t>
  </si>
  <si>
    <t>MAPE</t>
  </si>
  <si>
    <t>MAE</t>
  </si>
  <si>
    <t>RMSE</t>
  </si>
  <si>
    <t>b</t>
  </si>
  <si>
    <t>Dados de projeção:</t>
  </si>
  <si>
    <t>Regressão linear- Orgânico</t>
  </si>
  <si>
    <t>Regressão linear- Email</t>
  </si>
  <si>
    <t>2. Orgânico</t>
  </si>
  <si>
    <t>TOTAL SESSIONS</t>
  </si>
  <si>
    <t>ORGANICO</t>
  </si>
  <si>
    <t>FACEBOOK</t>
  </si>
  <si>
    <t>Regressão linear- Facebook</t>
  </si>
  <si>
    <t>Conversao de vendas</t>
  </si>
  <si>
    <t>Conversão vendas</t>
  </si>
  <si>
    <t>Total Leads</t>
  </si>
  <si>
    <t>VENDAS</t>
  </si>
  <si>
    <t>Taxa de conversão canais (exceto facebook)- Média dos ultimos 3 meses</t>
  </si>
  <si>
    <t>Projeção de Crescimento E-commerce</t>
  </si>
  <si>
    <t>Autor:</t>
  </si>
  <si>
    <t>Data de atualização</t>
  </si>
  <si>
    <t>Descrição do modelo</t>
  </si>
  <si>
    <t>Previsão de crescimento do e-commerce nos períodos de 06-2018 até 05-2019</t>
  </si>
  <si>
    <t>Projeções de número de leads por canais.</t>
  </si>
  <si>
    <t>Contato:</t>
  </si>
  <si>
    <t>MENU DE NAVEGAÇÃO</t>
  </si>
  <si>
    <t>Suposições</t>
  </si>
  <si>
    <t>Leads- Trafego Pago</t>
  </si>
  <si>
    <t>Leads- Trafego orgânico</t>
  </si>
  <si>
    <t>Modelo previsão</t>
  </si>
  <si>
    <t>Voltar para o menu</t>
  </si>
  <si>
    <t>Taxa conversão site</t>
  </si>
  <si>
    <t xml:space="preserve">Taxa Facebook </t>
  </si>
  <si>
    <t xml:space="preserve">Conversão vendas </t>
  </si>
  <si>
    <t>GOOGLE SEARCH</t>
  </si>
  <si>
    <t>Aumento investimento (mensal)</t>
  </si>
  <si>
    <t>Aumento CPC (mensal)</t>
  </si>
  <si>
    <t>GOOGLE DISPLAY</t>
  </si>
  <si>
    <t>Investimento Search</t>
  </si>
  <si>
    <t>Investimento Display</t>
  </si>
  <si>
    <t>Investimento Facebook</t>
  </si>
  <si>
    <t>Germano Jorge</t>
  </si>
  <si>
    <t>germano.jorge@alumni.usp.br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</si>
</sst>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US$&quot;\ * #,##0.00_-;\-&quot;US$&quot;\ * #,##0.00_-;_-&quot;US$&quot;\ * &quot;-&quot;??_-;_-@_-"/>
    <numFmt numFmtId="165" formatCode="_-[$R$-416]\ * #,##0.00_-;\-[$R$-416]\ * #,##0.00_-;_-[$R$-416]\ * &quot;-&quot;??_-;_-@_-"/>
    <numFmt numFmtId="166" formatCode="yyyy\-mm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40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7030A0"/>
      <name val="Helvetica"/>
      <family val="2"/>
    </font>
    <font>
      <b/>
      <sz val="12"/>
      <color rgb="FF7030A0"/>
      <name val="Helvetica"/>
      <family val="2"/>
    </font>
    <font>
      <sz val="12"/>
      <color rgb="FF0432FF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23"/>
      <color theme="1"/>
      <name val="Calibri"/>
      <family val="2"/>
      <scheme val="minor"/>
    </font>
    <font>
      <sz val="11"/>
      <color rgb="FF0432FF"/>
      <name val="Calibri"/>
      <family val="2"/>
      <scheme val="minor"/>
    </font>
    <font>
      <sz val="12"/>
      <color rgb="FF00B050"/>
      <name val="Calibri"/>
      <family val="2"/>
      <scheme val="minor"/>
    </font>
    <font>
      <sz val="20"/>
      <color rgb="FF7030A0"/>
      <name val="Calibri"/>
      <family val="2"/>
      <scheme val="minor"/>
    </font>
    <font>
      <b/>
      <sz val="20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8">
    <xf numFmtId="0" fontId="0" fillId="0" borderId="0" xfId="0"/>
    <xf numFmtId="9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9" fontId="0" fillId="0" borderId="1" xfId="0" applyNumberFormat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1" fontId="0" fillId="0" borderId="1" xfId="0" applyNumberFormat="1" applyBorder="1"/>
    <xf numFmtId="0" fontId="2" fillId="0" borderId="0" xfId="0" applyFont="1" applyFill="1" applyBorder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6" fillId="0" borderId="0" xfId="3" applyFont="1"/>
    <xf numFmtId="0" fontId="5" fillId="0" borderId="0" xfId="3"/>
    <xf numFmtId="0" fontId="6" fillId="0" borderId="1" xfId="3" applyFont="1" applyBorder="1"/>
    <xf numFmtId="0" fontId="6" fillId="0" borderId="1" xfId="3" applyFont="1" applyBorder="1" applyAlignment="1">
      <alignment horizontal="right"/>
    </xf>
    <xf numFmtId="0" fontId="6" fillId="0" borderId="1" xfId="3" applyFont="1" applyBorder="1" applyAlignment="1">
      <alignment horizontal="left"/>
    </xf>
    <xf numFmtId="0" fontId="5" fillId="0" borderId="1" xfId="3" applyBorder="1"/>
    <xf numFmtId="0" fontId="6" fillId="0" borderId="0" xfId="3" applyFont="1" applyAlignment="1">
      <alignment horizontal="left"/>
    </xf>
    <xf numFmtId="0" fontId="7" fillId="2" borderId="1" xfId="3" applyFont="1" applyFill="1" applyBorder="1"/>
    <xf numFmtId="0" fontId="8" fillId="3" borderId="1" xfId="3" applyFont="1" applyFill="1" applyBorder="1"/>
    <xf numFmtId="0" fontId="8" fillId="3" borderId="1" xfId="3" applyFont="1" applyFill="1" applyBorder="1" applyAlignment="1">
      <alignment horizontal="right"/>
    </xf>
    <xf numFmtId="1" fontId="5" fillId="0" borderId="1" xfId="3" applyNumberFormat="1" applyBorder="1"/>
    <xf numFmtId="9" fontId="0" fillId="0" borderId="1" xfId="4" applyFont="1" applyBorder="1"/>
    <xf numFmtId="9" fontId="0" fillId="2" borderId="1" xfId="4" applyFont="1" applyFill="1" applyBorder="1"/>
    <xf numFmtId="9" fontId="5" fillId="2" borderId="1" xfId="3" applyNumberFormat="1" applyFill="1" applyBorder="1"/>
    <xf numFmtId="9" fontId="5" fillId="0" borderId="1" xfId="3" applyNumberFormat="1" applyBorder="1"/>
    <xf numFmtId="1" fontId="5" fillId="2" borderId="1" xfId="3" applyNumberFormat="1" applyFill="1" applyBorder="1"/>
    <xf numFmtId="0" fontId="5" fillId="0" borderId="1" xfId="3" applyBorder="1" applyAlignment="1">
      <alignment horizontal="left"/>
    </xf>
    <xf numFmtId="0" fontId="9" fillId="0" borderId="1" xfId="0" applyFont="1" applyBorder="1"/>
    <xf numFmtId="0" fontId="9" fillId="0" borderId="3" xfId="0" applyFont="1" applyBorder="1"/>
    <xf numFmtId="0" fontId="0" fillId="0" borderId="0" xfId="0" applyBorder="1"/>
    <xf numFmtId="0" fontId="9" fillId="0" borderId="0" xfId="0" applyFont="1" applyBorder="1"/>
    <xf numFmtId="3" fontId="0" fillId="0" borderId="0" xfId="0" applyNumberFormat="1"/>
    <xf numFmtId="14" fontId="0" fillId="0" borderId="0" xfId="0" applyNumberForma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5"/>
    <xf numFmtId="0" fontId="18" fillId="0" borderId="0" xfId="0" applyFont="1"/>
    <xf numFmtId="0" fontId="19" fillId="0" borderId="0" xfId="0" applyFont="1"/>
    <xf numFmtId="9" fontId="20" fillId="0" borderId="1" xfId="0" applyNumberFormat="1" applyFont="1" applyBorder="1"/>
    <xf numFmtId="9" fontId="15" fillId="0" borderId="1" xfId="0" applyNumberFormat="1" applyFont="1" applyBorder="1"/>
    <xf numFmtId="0" fontId="11" fillId="4" borderId="0" xfId="0" applyFont="1" applyFill="1"/>
    <xf numFmtId="0" fontId="12" fillId="4" borderId="0" xfId="0" applyFont="1" applyFill="1"/>
    <xf numFmtId="0" fontId="11" fillId="5" borderId="0" xfId="0" applyFont="1" applyFill="1"/>
    <xf numFmtId="0" fontId="12" fillId="5" borderId="0" xfId="0" applyFont="1" applyFill="1"/>
    <xf numFmtId="2" fontId="0" fillId="0" borderId="1" xfId="0" applyNumberFormat="1" applyBorder="1"/>
    <xf numFmtId="2" fontId="20" fillId="0" borderId="2" xfId="0" applyNumberFormat="1" applyFont="1" applyBorder="1"/>
    <xf numFmtId="2" fontId="20" fillId="0" borderId="4" xfId="0" applyNumberFormat="1" applyFont="1" applyBorder="1"/>
    <xf numFmtId="2" fontId="20" fillId="0" borderId="1" xfId="3" applyNumberFormat="1" applyFont="1" applyBorder="1"/>
    <xf numFmtId="166" fontId="12" fillId="4" borderId="1" xfId="0" applyNumberFormat="1" applyFont="1" applyFill="1" applyBorder="1"/>
    <xf numFmtId="0" fontId="22" fillId="0" borderId="0" xfId="0" applyFont="1"/>
    <xf numFmtId="0" fontId="23" fillId="0" borderId="0" xfId="0" applyFont="1"/>
    <xf numFmtId="165" fontId="21" fillId="0" borderId="1" xfId="0" applyNumberFormat="1" applyFont="1" applyBorder="1"/>
    <xf numFmtId="165" fontId="10" fillId="0" borderId="1" xfId="0" applyNumberFormat="1" applyFont="1" applyBorder="1"/>
    <xf numFmtId="165" fontId="0" fillId="0" borderId="1" xfId="0" applyNumberFormat="1" applyBorder="1"/>
    <xf numFmtId="3" fontId="21" fillId="0" borderId="1" xfId="0" applyNumberFormat="1" applyFont="1" applyBorder="1"/>
    <xf numFmtId="3" fontId="0" fillId="0" borderId="1" xfId="0" applyNumberFormat="1" applyBorder="1"/>
    <xf numFmtId="9" fontId="21" fillId="0" borderId="1" xfId="2" applyFont="1" applyBorder="1"/>
    <xf numFmtId="0" fontId="2" fillId="0" borderId="1" xfId="0" applyFont="1" applyBorder="1"/>
    <xf numFmtId="0" fontId="15" fillId="0" borderId="1" xfId="0" applyFont="1" applyBorder="1"/>
    <xf numFmtId="0" fontId="0" fillId="0" borderId="1" xfId="0" applyFont="1" applyBorder="1"/>
    <xf numFmtId="165" fontId="0" fillId="0" borderId="1" xfId="0" applyNumberFormat="1" applyFont="1" applyBorder="1"/>
    <xf numFmtId="3" fontId="0" fillId="0" borderId="1" xfId="0" applyNumberFormat="1" applyFont="1" applyBorder="1"/>
    <xf numFmtId="9" fontId="0" fillId="0" borderId="1" xfId="0" applyNumberFormat="1" applyFont="1" applyBorder="1"/>
    <xf numFmtId="3" fontId="2" fillId="0" borderId="1" xfId="0" applyNumberFormat="1" applyFont="1" applyBorder="1"/>
    <xf numFmtId="9" fontId="21" fillId="0" borderId="1" xfId="0" applyNumberFormat="1" applyFont="1" applyBorder="1"/>
    <xf numFmtId="3" fontId="15" fillId="0" borderId="1" xfId="0" applyNumberFormat="1" applyFont="1" applyBorder="1"/>
    <xf numFmtId="3" fontId="10" fillId="0" borderId="1" xfId="0" applyNumberFormat="1" applyFont="1" applyBorder="1"/>
    <xf numFmtId="0" fontId="21" fillId="0" borderId="1" xfId="0" applyFont="1" applyBorder="1"/>
    <xf numFmtId="9" fontId="15" fillId="0" borderId="1" xfId="2" applyFont="1" applyBorder="1"/>
    <xf numFmtId="9" fontId="10" fillId="0" borderId="1" xfId="0" applyNumberFormat="1" applyFont="1" applyBorder="1"/>
    <xf numFmtId="9" fontId="0" fillId="0" borderId="1" xfId="2" applyFont="1" applyBorder="1"/>
  </cellXfs>
  <cellStyles count="6">
    <cellStyle name="Hiperlink" xfId="5" builtinId="8"/>
    <cellStyle name="Moeda" xfId="1" builtinId="4"/>
    <cellStyle name="Normal" xfId="0" builtinId="0"/>
    <cellStyle name="Normal 2" xfId="3"/>
    <cellStyle name="Porcentagem" xfId="2" builtinId="5"/>
    <cellStyle name="Porcentagem 2" xfId="4"/>
  </cellStyles>
  <dxfs count="0"/>
  <tableStyles count="0" defaultTableStyle="TableStyleMedium2" defaultPivotStyle="PivotStyleLight16"/>
  <colors>
    <mruColors>
      <color rgb="FF0432FF"/>
      <color rgb="FF00FA00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2060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pt-BR" b="1">
                <a:solidFill>
                  <a:srgbClr val="002060"/>
                </a:solidFill>
                <a:latin typeface="Helvetica" pitchFamily="2" charset="0"/>
              </a:rPr>
              <a:t>Evolução do número de leads pagos: Real vs Projetado</a:t>
            </a:r>
            <a:r>
              <a:rPr lang="pt-BR" b="1" baseline="0">
                <a:solidFill>
                  <a:srgbClr val="002060"/>
                </a:solidFill>
                <a:latin typeface="Helvetica" pitchFamily="2" charset="0"/>
              </a:rPr>
              <a:t> (12 meses)</a:t>
            </a:r>
            <a:endParaRPr lang="pt-BR" b="1">
              <a:solidFill>
                <a:srgbClr val="002060"/>
              </a:solidFill>
              <a:latin typeface="Helvetica" pitchFamily="2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Helvetica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5721773452058045E-2"/>
          <c:y val="0.1391481776571693"/>
          <c:w val="0.95998094030385228"/>
          <c:h val="0.72246330101334577"/>
        </c:manualLayout>
      </c:layout>
      <c:lineChart>
        <c:grouping val="standard"/>
        <c:varyColors val="0"/>
        <c:ser>
          <c:idx val="0"/>
          <c:order val="0"/>
          <c:tx>
            <c:strRef>
              <c:f>'INPUTS Leads- Trafego pago'!$B$14</c:f>
              <c:strCache>
                <c:ptCount val="1"/>
                <c:pt idx="0">
                  <c:v>Total Leads Google Search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pago'!$C$14:$Z$14</c:f>
              <c:numCache>
                <c:formatCode>General</c:formatCode>
                <c:ptCount val="24"/>
                <c:pt idx="0">
                  <c:v>0</c:v>
                </c:pt>
                <c:pt idx="1">
                  <c:v>56</c:v>
                </c:pt>
                <c:pt idx="2">
                  <c:v>79</c:v>
                </c:pt>
                <c:pt idx="3">
                  <c:v>64</c:v>
                </c:pt>
                <c:pt idx="4">
                  <c:v>100</c:v>
                </c:pt>
                <c:pt idx="5">
                  <c:v>70</c:v>
                </c:pt>
                <c:pt idx="6">
                  <c:v>35</c:v>
                </c:pt>
                <c:pt idx="7">
                  <c:v>170</c:v>
                </c:pt>
                <c:pt idx="8">
                  <c:v>212</c:v>
                </c:pt>
                <c:pt idx="9">
                  <c:v>262</c:v>
                </c:pt>
                <c:pt idx="10">
                  <c:v>272</c:v>
                </c:pt>
                <c:pt idx="11">
                  <c:v>266</c:v>
                </c:pt>
                <c:pt idx="12">
                  <c:v>298</c:v>
                </c:pt>
                <c:pt idx="13">
                  <c:v>310</c:v>
                </c:pt>
                <c:pt idx="14">
                  <c:v>323</c:v>
                </c:pt>
                <c:pt idx="15">
                  <c:v>335</c:v>
                </c:pt>
                <c:pt idx="16">
                  <c:v>349</c:v>
                </c:pt>
                <c:pt idx="17">
                  <c:v>363</c:v>
                </c:pt>
                <c:pt idx="18">
                  <c:v>377</c:v>
                </c:pt>
                <c:pt idx="19">
                  <c:v>392</c:v>
                </c:pt>
                <c:pt idx="20">
                  <c:v>408</c:v>
                </c:pt>
                <c:pt idx="21">
                  <c:v>424</c:v>
                </c:pt>
                <c:pt idx="22">
                  <c:v>441</c:v>
                </c:pt>
                <c:pt idx="23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1-D34D-ACE1-99883BDD499F}"/>
            </c:ext>
          </c:extLst>
        </c:ser>
        <c:ser>
          <c:idx val="1"/>
          <c:order val="1"/>
          <c:tx>
            <c:strRef>
              <c:f>'INPUTS Leads- Trafego pago'!$B$22</c:f>
              <c:strCache>
                <c:ptCount val="1"/>
                <c:pt idx="0">
                  <c:v>Total Leads Google Display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pago'!$C$22:$Z$22</c:f>
              <c:numCache>
                <c:formatCode>General</c:formatCode>
                <c:ptCount val="24"/>
                <c:pt idx="0">
                  <c:v>1</c:v>
                </c:pt>
                <c:pt idx="1">
                  <c:v>19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11</c:v>
                </c:pt>
                <c:pt idx="8">
                  <c:v>18</c:v>
                </c:pt>
                <c:pt idx="9">
                  <c:v>16</c:v>
                </c:pt>
                <c:pt idx="10">
                  <c:v>19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E1-D34D-ACE1-99883BDD499F}"/>
            </c:ext>
          </c:extLst>
        </c:ser>
        <c:ser>
          <c:idx val="2"/>
          <c:order val="2"/>
          <c:tx>
            <c:strRef>
              <c:f>'INPUTS Leads- Trafego pago'!$B$30</c:f>
              <c:strCache>
                <c:ptCount val="1"/>
                <c:pt idx="0">
                  <c:v>Total Leads Facebook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pago'!$C$30:$Z$30</c:f>
              <c:numCache>
                <c:formatCode>General</c:formatCode>
                <c:ptCount val="2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11</c:v>
                </c:pt>
                <c:pt idx="5">
                  <c:v>3</c:v>
                </c:pt>
                <c:pt idx="6">
                  <c:v>1</c:v>
                </c:pt>
                <c:pt idx="7">
                  <c:v>7</c:v>
                </c:pt>
                <c:pt idx="8">
                  <c:v>5</c:v>
                </c:pt>
                <c:pt idx="9">
                  <c:v>8</c:v>
                </c:pt>
                <c:pt idx="10">
                  <c:v>12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E1-D34D-ACE1-99883BDD4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558464"/>
        <c:axId val="1379473296"/>
      </c:lineChart>
      <c:catAx>
        <c:axId val="1377558464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pt-BR"/>
          </a:p>
        </c:txPr>
        <c:crossAx val="1379473296"/>
        <c:crosses val="autoZero"/>
        <c:auto val="0"/>
        <c:lblAlgn val="ctr"/>
        <c:lblOffset val="300"/>
        <c:noMultiLvlLbl val="0"/>
      </c:catAx>
      <c:valAx>
        <c:axId val="1379473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755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rgbClr val="002060"/>
                </a:solidFill>
                <a:latin typeface="Helvetica" pitchFamily="2" charset="0"/>
              </a:rPr>
              <a:t>Evolução do investimento em mídia paga -</a:t>
            </a:r>
            <a:r>
              <a:rPr lang="pt-BR" b="1" baseline="0">
                <a:solidFill>
                  <a:srgbClr val="002060"/>
                </a:solidFill>
                <a:latin typeface="Helvetica" pitchFamily="2" charset="0"/>
              </a:rPr>
              <a:t> </a:t>
            </a:r>
            <a:r>
              <a:rPr lang="pt-BR" b="1">
                <a:solidFill>
                  <a:srgbClr val="002060"/>
                </a:solidFill>
                <a:latin typeface="Helvetica" pitchFamily="2" charset="0"/>
              </a:rPr>
              <a:t>Real vs Projeção (12 meses)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'INPUTS Leads- Trafego pago'!$B$10</c:f>
              <c:strCache>
                <c:ptCount val="1"/>
                <c:pt idx="0">
                  <c:v>Investimento Search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[$R$-416]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pago'!$C$10:$Z$10</c:f>
              <c:numCache>
                <c:formatCode>_-[$R$-416]\ * #,##0.00_-;\-[$R$-416]\ * #,##0.00_-;_-[$R$-416]\ * "-"??_-;_-@_-</c:formatCode>
                <c:ptCount val="24"/>
                <c:pt idx="0">
                  <c:v>0</c:v>
                </c:pt>
                <c:pt idx="1">
                  <c:v>636.70949999999993</c:v>
                </c:pt>
                <c:pt idx="2">
                  <c:v>778.30200000000002</c:v>
                </c:pt>
                <c:pt idx="3">
                  <c:v>783</c:v>
                </c:pt>
                <c:pt idx="4">
                  <c:v>1193.6399999999999</c:v>
                </c:pt>
                <c:pt idx="5">
                  <c:v>887.92200000000003</c:v>
                </c:pt>
                <c:pt idx="6">
                  <c:v>340.34399999999999</c:v>
                </c:pt>
                <c:pt idx="7">
                  <c:v>2512.125</c:v>
                </c:pt>
                <c:pt idx="8">
                  <c:v>2717.0099999999998</c:v>
                </c:pt>
                <c:pt idx="9">
                  <c:v>4119.4412999999995</c:v>
                </c:pt>
                <c:pt idx="10">
                  <c:v>4479.1949999999997</c:v>
                </c:pt>
                <c:pt idx="11">
                  <c:v>3982.86</c:v>
                </c:pt>
                <c:pt idx="12">
                  <c:v>4182.0030000000006</c:v>
                </c:pt>
                <c:pt idx="13">
                  <c:v>4391.1031500000008</c:v>
                </c:pt>
                <c:pt idx="14">
                  <c:v>4610.6583075000008</c:v>
                </c:pt>
                <c:pt idx="15">
                  <c:v>4841.1912228750007</c:v>
                </c:pt>
                <c:pt idx="16">
                  <c:v>5083.2507840187509</c:v>
                </c:pt>
                <c:pt idx="17">
                  <c:v>5337.4133232196882</c:v>
                </c:pt>
                <c:pt idx="18">
                  <c:v>5604.2839893806731</c:v>
                </c:pt>
                <c:pt idx="19">
                  <c:v>5884.4981888497068</c:v>
                </c:pt>
                <c:pt idx="20">
                  <c:v>6178.7230982921928</c:v>
                </c:pt>
                <c:pt idx="21">
                  <c:v>6487.6592532068025</c:v>
                </c:pt>
                <c:pt idx="22">
                  <c:v>6812.0422158671427</c:v>
                </c:pt>
                <c:pt idx="23">
                  <c:v>7152.6443266605002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1-1948-9595-922E4BEFDC75}"/>
            </c:ext>
          </c:extLst>
        </c:ser>
        <c:ser>
          <c:idx val="1"/>
          <c:order val="1"/>
          <c:tx>
            <c:strRef>
              <c:f>'INPUTS Leads- Trafego pago'!$B$18</c:f>
              <c:strCache>
                <c:ptCount val="1"/>
                <c:pt idx="0">
                  <c:v>Investimento Display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[$R$-416]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pago'!$C$18:$Z$18</c:f>
              <c:numCache>
                <c:formatCode>_-[$R$-416]\ * #,##0.00_-;\-[$R$-416]\ * #,##0.00_-;_-[$R$-416]\ * "-"??_-;_-@_-</c:formatCode>
                <c:ptCount val="24"/>
                <c:pt idx="0">
                  <c:v>10</c:v>
                </c:pt>
                <c:pt idx="1">
                  <c:v>244.79999999999998</c:v>
                </c:pt>
                <c:pt idx="2">
                  <c:v>20.16</c:v>
                </c:pt>
                <c:pt idx="3">
                  <c:v>66</c:v>
                </c:pt>
                <c:pt idx="4">
                  <c:v>64.399999999999991</c:v>
                </c:pt>
                <c:pt idx="5">
                  <c:v>83.7</c:v>
                </c:pt>
                <c:pt idx="6">
                  <c:v>52.8</c:v>
                </c:pt>
                <c:pt idx="7">
                  <c:v>181.5</c:v>
                </c:pt>
                <c:pt idx="8">
                  <c:v>261</c:v>
                </c:pt>
                <c:pt idx="9">
                  <c:v>284.31</c:v>
                </c:pt>
                <c:pt idx="10">
                  <c:v>357</c:v>
                </c:pt>
                <c:pt idx="11">
                  <c:v>189</c:v>
                </c:pt>
                <c:pt idx="12">
                  <c:v>198.45000000000002</c:v>
                </c:pt>
                <c:pt idx="13">
                  <c:v>208.37250000000003</c:v>
                </c:pt>
                <c:pt idx="14">
                  <c:v>218.79112500000005</c:v>
                </c:pt>
                <c:pt idx="15">
                  <c:v>229.73068125000006</c:v>
                </c:pt>
                <c:pt idx="16">
                  <c:v>241.21721531250009</c:v>
                </c:pt>
                <c:pt idx="17">
                  <c:v>253.27807607812511</c:v>
                </c:pt>
                <c:pt idx="18">
                  <c:v>265.94197988203138</c:v>
                </c:pt>
                <c:pt idx="19">
                  <c:v>279.23907887613296</c:v>
                </c:pt>
                <c:pt idx="20">
                  <c:v>293.2010328199396</c:v>
                </c:pt>
                <c:pt idx="21">
                  <c:v>307.86108446093658</c:v>
                </c:pt>
                <c:pt idx="22">
                  <c:v>323.2541386839834</c:v>
                </c:pt>
                <c:pt idx="23">
                  <c:v>339.41684561818261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61-1948-9595-922E4BEFDC75}"/>
            </c:ext>
          </c:extLst>
        </c:ser>
        <c:ser>
          <c:idx val="2"/>
          <c:order val="2"/>
          <c:tx>
            <c:strRef>
              <c:f>'INPUTS Leads- Trafego pago'!$B$26</c:f>
              <c:strCache>
                <c:ptCount val="1"/>
                <c:pt idx="0">
                  <c:v>Investimento Facebook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[$R$-416]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pago'!$C$26:$Z$26</c:f>
              <c:numCache>
                <c:formatCode>_-[$R$-416]\ * #,##0.00_-;\-[$R$-416]\ * #,##0.00_-;_-[$R$-416]\ * "-"??_-;_-@_-</c:formatCode>
                <c:ptCount val="24"/>
                <c:pt idx="0">
                  <c:v>0</c:v>
                </c:pt>
                <c:pt idx="1">
                  <c:v>41.929649999999995</c:v>
                </c:pt>
                <c:pt idx="2">
                  <c:v>23.677920000000004</c:v>
                </c:pt>
                <c:pt idx="3">
                  <c:v>59.899499999999996</c:v>
                </c:pt>
                <c:pt idx="4">
                  <c:v>177.58440000000002</c:v>
                </c:pt>
                <c:pt idx="5">
                  <c:v>47.567250000000008</c:v>
                </c:pt>
                <c:pt idx="6">
                  <c:v>8.4564000000000021</c:v>
                </c:pt>
                <c:pt idx="7">
                  <c:v>135.65475000000001</c:v>
                </c:pt>
                <c:pt idx="8">
                  <c:v>81.040499999999994</c:v>
                </c:pt>
                <c:pt idx="9">
                  <c:v>164.8998</c:v>
                </c:pt>
                <c:pt idx="10">
                  <c:v>263.08800000000002</c:v>
                </c:pt>
                <c:pt idx="11">
                  <c:v>172.65150000000003</c:v>
                </c:pt>
                <c:pt idx="12">
                  <c:v>184.73710500000004</c:v>
                </c:pt>
                <c:pt idx="13">
                  <c:v>197.66870235000005</c:v>
                </c:pt>
                <c:pt idx="14">
                  <c:v>211.50551151450006</c:v>
                </c:pt>
                <c:pt idx="15">
                  <c:v>226.31089732051507</c:v>
                </c:pt>
                <c:pt idx="16">
                  <c:v>242.15266013295113</c:v>
                </c:pt>
                <c:pt idx="17">
                  <c:v>259.10334634225774</c:v>
                </c:pt>
                <c:pt idx="18">
                  <c:v>277.2405805862158</c:v>
                </c:pt>
                <c:pt idx="19">
                  <c:v>296.6474212272509</c:v>
                </c:pt>
                <c:pt idx="20">
                  <c:v>317.41274071315848</c:v>
                </c:pt>
                <c:pt idx="21">
                  <c:v>339.63163256307962</c:v>
                </c:pt>
                <c:pt idx="22">
                  <c:v>363.40584684249524</c:v>
                </c:pt>
                <c:pt idx="23">
                  <c:v>388.84425612146993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61-1948-9595-922E4BEFDC75}"/>
            </c:ext>
          </c:extLst>
        </c:ser>
        <c:ser>
          <c:idx val="3"/>
          <c:order val="3"/>
          <c:tx>
            <c:strRef>
              <c:f>'INPUTS Leads- Trafego pago'!$B$32</c:f>
              <c:strCache>
                <c:ptCount val="1"/>
                <c:pt idx="0">
                  <c:v>TOTAL INVESTIMENTO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[$R$-416]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'INPUTS Leads- Trafego pago'!$K$6:$Z$6</c:f>
              <c:numCache>
                <c:formatCode>yyyy\-mm</c:formatCode>
                <c:ptCount val="16"/>
                <c:pt idx="0">
                  <c:v>43159</c:v>
                </c:pt>
                <c:pt idx="1">
                  <c:v>43190</c:v>
                </c:pt>
                <c:pt idx="2">
                  <c:v>43220</c:v>
                </c:pt>
                <c:pt idx="3">
                  <c:v>43251</c:v>
                </c:pt>
                <c:pt idx="4">
                  <c:v>43281</c:v>
                </c:pt>
                <c:pt idx="5">
                  <c:v>43312</c:v>
                </c:pt>
                <c:pt idx="6">
                  <c:v>43343</c:v>
                </c:pt>
                <c:pt idx="7">
                  <c:v>43373</c:v>
                </c:pt>
                <c:pt idx="8">
                  <c:v>43404</c:v>
                </c:pt>
                <c:pt idx="9">
                  <c:v>43434</c:v>
                </c:pt>
                <c:pt idx="10">
                  <c:v>43465</c:v>
                </c:pt>
                <c:pt idx="11">
                  <c:v>43496</c:v>
                </c:pt>
                <c:pt idx="12">
                  <c:v>43524</c:v>
                </c:pt>
                <c:pt idx="13">
                  <c:v>43555</c:v>
                </c:pt>
                <c:pt idx="14">
                  <c:v>43585</c:v>
                </c:pt>
                <c:pt idx="15">
                  <c:v>43616</c:v>
                </c:pt>
              </c:numCache>
            </c:numRef>
          </c:cat>
          <c:val>
            <c:numRef>
              <c:f>'INPUTS Leads- Trafego pago'!$C$32:$Z$32</c:f>
              <c:numCache>
                <c:formatCode>_-[$R$-416]\ * #,##0.00_-;\-[$R$-416]\ * #,##0.00_-;_-[$R$-416]\ * "-"??_-;_-@_-</c:formatCode>
                <c:ptCount val="24"/>
                <c:pt idx="0">
                  <c:v>10</c:v>
                </c:pt>
                <c:pt idx="1">
                  <c:v>923.43914999999993</c:v>
                </c:pt>
                <c:pt idx="2">
                  <c:v>822.13991999999996</c:v>
                </c:pt>
                <c:pt idx="3">
                  <c:v>908.89949999999999</c:v>
                </c:pt>
                <c:pt idx="4">
                  <c:v>1435.6243999999999</c:v>
                </c:pt>
                <c:pt idx="5">
                  <c:v>1019.1892500000001</c:v>
                </c:pt>
                <c:pt idx="6">
                  <c:v>401.60040000000004</c:v>
                </c:pt>
                <c:pt idx="7">
                  <c:v>2829.2797500000001</c:v>
                </c:pt>
                <c:pt idx="8">
                  <c:v>3059.0504999999998</c:v>
                </c:pt>
                <c:pt idx="9">
                  <c:v>4568.6511</c:v>
                </c:pt>
                <c:pt idx="10">
                  <c:v>5099.2829999999994</c:v>
                </c:pt>
                <c:pt idx="11">
                  <c:v>4344.5115000000005</c:v>
                </c:pt>
                <c:pt idx="12">
                  <c:v>4565.1901050000006</c:v>
                </c:pt>
                <c:pt idx="13">
                  <c:v>4797.1443523500011</c:v>
                </c:pt>
                <c:pt idx="14">
                  <c:v>5040.9549440145001</c:v>
                </c:pt>
                <c:pt idx="15">
                  <c:v>5297.2328014455161</c:v>
                </c:pt>
                <c:pt idx="16">
                  <c:v>5566.6206594642026</c:v>
                </c:pt>
                <c:pt idx="17">
                  <c:v>5849.7947456400707</c:v>
                </c:pt>
                <c:pt idx="18">
                  <c:v>6147.4665498489203</c:v>
                </c:pt>
                <c:pt idx="19">
                  <c:v>6460.3846889530905</c:v>
                </c:pt>
                <c:pt idx="20">
                  <c:v>6789.3368718252905</c:v>
                </c:pt>
                <c:pt idx="21">
                  <c:v>7135.1519702308187</c:v>
                </c:pt>
                <c:pt idx="22">
                  <c:v>7498.7022013936212</c:v>
                </c:pt>
                <c:pt idx="23">
                  <c:v>7880.9054284001522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61-1948-9595-922E4BEFD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3153648"/>
        <c:axId val="1399452400"/>
      </c:barChart>
      <c:catAx>
        <c:axId val="1383153648"/>
        <c:scaling>
          <c:orientation val="minMax"/>
        </c:scaling>
        <c:delete val="0"/>
        <c:axPos val="b"/>
        <c:numFmt formatCode="yyyy\-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pt-BR"/>
          </a:p>
        </c:txPr>
        <c:crossAx val="1399452400"/>
        <c:crosses val="autoZero"/>
        <c:auto val="0"/>
        <c:lblAlgn val="ctr"/>
        <c:lblOffset val="100"/>
        <c:noMultiLvlLbl val="0"/>
      </c:catAx>
      <c:valAx>
        <c:axId val="1399452400"/>
        <c:scaling>
          <c:orientation val="minMax"/>
          <c:max val="8500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38315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0.27009930008748906"/>
                  <c:y val="3.999927092446777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0,0051x + 2,958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0,6859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'Source- Trafego pago '!$D$38:$D$48</c:f>
              <c:numCache>
                <c:formatCode>_-[$R$-416]\ * #,##0.00_-;\-[$R$-416]\ * #,##0.00_-;_-[$R$-416]\ * "-"??_-;_-@_-</c:formatCode>
                <c:ptCount val="11"/>
                <c:pt idx="0">
                  <c:v>41.929649999999995</c:v>
                </c:pt>
                <c:pt idx="1">
                  <c:v>23.677920000000004</c:v>
                </c:pt>
                <c:pt idx="2">
                  <c:v>59.899499999999996</c:v>
                </c:pt>
                <c:pt idx="3">
                  <c:v>177.58440000000002</c:v>
                </c:pt>
                <c:pt idx="4">
                  <c:v>47.567250000000008</c:v>
                </c:pt>
                <c:pt idx="5">
                  <c:v>8.4564000000000021</c:v>
                </c:pt>
                <c:pt idx="6">
                  <c:v>135.65475000000001</c:v>
                </c:pt>
                <c:pt idx="7">
                  <c:v>81.040499999999994</c:v>
                </c:pt>
                <c:pt idx="8">
                  <c:v>164.8998</c:v>
                </c:pt>
                <c:pt idx="9">
                  <c:v>263.08800000000002</c:v>
                </c:pt>
                <c:pt idx="10">
                  <c:v>172.65150000000003</c:v>
                </c:pt>
              </c:numCache>
            </c:numRef>
          </c:xVal>
          <c:yVal>
            <c:numRef>
              <c:f>'Source- Trafego pago '!$E$38:$E$48</c:f>
              <c:numCache>
                <c:formatCode>_-[$R$-416]\ * #,##0.00_-;\-[$R$-416]\ * #,##0.00_-;_-[$R$-416]\ * "-"??_-;_-@_-</c:formatCode>
                <c:ptCount val="11"/>
                <c:pt idx="0">
                  <c:v>2.9949749999999997</c:v>
                </c:pt>
                <c:pt idx="1">
                  <c:v>2.9597400000000005</c:v>
                </c:pt>
                <c:pt idx="2">
                  <c:v>3.5234999999999999</c:v>
                </c:pt>
                <c:pt idx="3">
                  <c:v>3.2886000000000002</c:v>
                </c:pt>
                <c:pt idx="4">
                  <c:v>3.1711500000000004</c:v>
                </c:pt>
                <c:pt idx="5">
                  <c:v>2.8188000000000004</c:v>
                </c:pt>
                <c:pt idx="6">
                  <c:v>3.8758500000000002</c:v>
                </c:pt>
                <c:pt idx="7">
                  <c:v>3.5234999999999999</c:v>
                </c:pt>
                <c:pt idx="8">
                  <c:v>4.1224949999999998</c:v>
                </c:pt>
                <c:pt idx="9">
                  <c:v>4.1107500000000003</c:v>
                </c:pt>
                <c:pt idx="10">
                  <c:v>4.1107500000000003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A-EE40-810E-E351A9BF2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688464"/>
        <c:axId val="1158999392"/>
      </c:scatterChart>
      <c:valAx>
        <c:axId val="115968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8999392"/>
        <c:crosses val="autoZero"/>
        <c:crossBetween val="midCat"/>
      </c:valAx>
      <c:valAx>
        <c:axId val="115899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968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Regressão linear- Previsão de leads por</a:t>
            </a:r>
            <a:r>
              <a:rPr lang="en-US" baseline="0"/>
              <a:t>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'Projeção estudo leads organicos'!$C$26</c:f>
              <c:strCache>
                <c:ptCount val="1"/>
                <c:pt idx="0">
                  <c:v>Leads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2.3595423196256397E-2"/>
                  <c:y val="-8.60553943914905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strRef>
              <c:f>'Projeção estudo leads organicos'!$B$28:$B$38</c:f>
              <c:strCache>
                <c:ptCount val="11"/>
                <c:pt idx="0">
                  <c:v>2017-07</c:v>
                </c:pt>
                <c:pt idx="1">
                  <c:v>2017-08</c:v>
                </c:pt>
                <c:pt idx="2">
                  <c:v>2017-09</c:v>
                </c:pt>
                <c:pt idx="3">
                  <c:v>2017-10</c:v>
                </c:pt>
                <c:pt idx="4">
                  <c:v>2017-11</c:v>
                </c:pt>
                <c:pt idx="5">
                  <c:v>2017-12</c:v>
                </c:pt>
                <c:pt idx="6">
                  <c:v>2018-01</c:v>
                </c:pt>
                <c:pt idx="7">
                  <c:v>2018-02</c:v>
                </c:pt>
                <c:pt idx="8">
                  <c:v>2018-03</c:v>
                </c:pt>
                <c:pt idx="9">
                  <c:v>2018-04</c:v>
                </c:pt>
                <c:pt idx="10">
                  <c:v>2018-05</c:v>
                </c:pt>
              </c:strCache>
            </c:strRef>
          </c:xVal>
          <c:yVal>
            <c:numRef>
              <c:f>'Projeção estudo leads organicos'!$C$28:$C$38</c:f>
              <c:numCache>
                <c:formatCode>General</c:formatCode>
                <c:ptCount val="11"/>
                <c:pt idx="0">
                  <c:v>142</c:v>
                </c:pt>
                <c:pt idx="1">
                  <c:v>279</c:v>
                </c:pt>
                <c:pt idx="2">
                  <c:v>216</c:v>
                </c:pt>
                <c:pt idx="3">
                  <c:v>270</c:v>
                </c:pt>
                <c:pt idx="4">
                  <c:v>329</c:v>
                </c:pt>
                <c:pt idx="5">
                  <c:v>147</c:v>
                </c:pt>
                <c:pt idx="6">
                  <c:v>892</c:v>
                </c:pt>
                <c:pt idx="7">
                  <c:v>725</c:v>
                </c:pt>
                <c:pt idx="8">
                  <c:v>814</c:v>
                </c:pt>
                <c:pt idx="9">
                  <c:v>999</c:v>
                </c:pt>
                <c:pt idx="10">
                  <c:v>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B3-0648-B585-2089DEFF9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628304"/>
        <c:axId val="1130181072"/>
      </c:scatterChart>
      <c:valAx>
        <c:axId val="112662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0181072"/>
        <c:crosses val="autoZero"/>
        <c:crossBetween val="midCat"/>
      </c:valAx>
      <c:valAx>
        <c:axId val="113018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662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Regressão linear- Previsão de leads email  por</a:t>
            </a:r>
            <a:r>
              <a:rPr lang="en-US" baseline="0"/>
              <a:t>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'Projeção estudo leads email'!$C$26</c:f>
              <c:strCache>
                <c:ptCount val="1"/>
                <c:pt idx="0">
                  <c:v>Leads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8.96828654854359E-2"/>
                  <c:y val="0.15313579223649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6,6545x + 4,8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0,6929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strRef>
              <c:f>'Projeção estudo leads email'!$B$28:$B$38</c:f>
              <c:strCache>
                <c:ptCount val="11"/>
                <c:pt idx="0">
                  <c:v>2017-07</c:v>
                </c:pt>
                <c:pt idx="1">
                  <c:v>2017-08</c:v>
                </c:pt>
                <c:pt idx="2">
                  <c:v>2017-09</c:v>
                </c:pt>
                <c:pt idx="3">
                  <c:v>2017-10</c:v>
                </c:pt>
                <c:pt idx="4">
                  <c:v>2017-11</c:v>
                </c:pt>
                <c:pt idx="5">
                  <c:v>2017-12</c:v>
                </c:pt>
                <c:pt idx="6">
                  <c:v>2018-01</c:v>
                </c:pt>
                <c:pt idx="7">
                  <c:v>2018-02</c:v>
                </c:pt>
                <c:pt idx="8">
                  <c:v>2018-03</c:v>
                </c:pt>
                <c:pt idx="9">
                  <c:v>2018-04</c:v>
                </c:pt>
                <c:pt idx="10">
                  <c:v>2018-05</c:v>
                </c:pt>
              </c:strCache>
            </c:strRef>
          </c:xVal>
          <c:yVal>
            <c:numRef>
              <c:f>'Projeção estudo leads email'!$C$28:$C$38</c:f>
              <c:numCache>
                <c:formatCode>General</c:formatCode>
                <c:ptCount val="11"/>
                <c:pt idx="0">
                  <c:v>19</c:v>
                </c:pt>
                <c:pt idx="1">
                  <c:v>24</c:v>
                </c:pt>
                <c:pt idx="2">
                  <c:v>23</c:v>
                </c:pt>
                <c:pt idx="3">
                  <c:v>30</c:v>
                </c:pt>
                <c:pt idx="4">
                  <c:v>37</c:v>
                </c:pt>
                <c:pt idx="5">
                  <c:v>12</c:v>
                </c:pt>
                <c:pt idx="6">
                  <c:v>61</c:v>
                </c:pt>
                <c:pt idx="7">
                  <c:v>68</c:v>
                </c:pt>
                <c:pt idx="8">
                  <c:v>74</c:v>
                </c:pt>
                <c:pt idx="9">
                  <c:v>50</c:v>
                </c:pt>
                <c:pt idx="10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ED-F648-A522-3F66810F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628304"/>
        <c:axId val="1130181072"/>
      </c:scatterChart>
      <c:valAx>
        <c:axId val="112662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0181072"/>
        <c:crosses val="autoZero"/>
        <c:crossBetween val="midCat"/>
      </c:valAx>
      <c:valAx>
        <c:axId val="113018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662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184151</xdr:colOff>
      <xdr:row>34</xdr:row>
      <xdr:rowOff>101599</xdr:rowOff>
    </xdr:from>
    <xdr:to>
      <xdr:col>17</xdr:col>
      <xdr:colOff>370417</xdr:colOff>
      <xdr:row>58</xdr:row>
      <xdr:rowOff>21166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A161D4-02C8-0048-B556-4F5F18C03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941918</xdr:colOff>
      <xdr:row>38</xdr:row>
      <xdr:rowOff>148167</xdr:rowOff>
    </xdr:from>
    <xdr:to>
      <xdr:col>10</xdr:col>
      <xdr:colOff>21168</xdr:colOff>
      <xdr:row>40</xdr:row>
      <xdr:rowOff>42334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9DD7105-0139-8343-957E-CC91EDD53D56}"/>
            </a:ext>
          </a:extLst>
        </xdr:cNvPr>
        <xdr:cNvSpPr txBox="1"/>
      </xdr:nvSpPr>
      <xdr:spPr>
        <a:xfrm>
          <a:off x="1174751" y="7926917"/>
          <a:ext cx="1259417" cy="2963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2060"/>
              </a:solidFill>
            </a:rPr>
            <a:t>Histórico</a:t>
          </a:r>
        </a:p>
      </xdr:txBody>
    </xdr:sp>
    <xdr:clientData/>
  </xdr:twoCellAnchor>
  <xdr:twoCellAnchor>
    <xdr:from>
      <xdr:col>10</xdr:col>
      <xdr:colOff>639234</xdr:colOff>
      <xdr:row>38</xdr:row>
      <xdr:rowOff>141817</xdr:rowOff>
    </xdr:from>
    <xdr:to>
      <xdr:col>12</xdr:col>
      <xdr:colOff>31750</xdr:colOff>
      <xdr:row>40</xdr:row>
      <xdr:rowOff>35984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D2E8F66-3BDD-B244-B99C-4371B1FFBFA5}"/>
            </a:ext>
          </a:extLst>
        </xdr:cNvPr>
        <xdr:cNvSpPr txBox="1"/>
      </xdr:nvSpPr>
      <xdr:spPr>
        <a:xfrm>
          <a:off x="3052234" y="7920567"/>
          <a:ext cx="1255183" cy="2963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2060"/>
              </a:solidFill>
            </a:rPr>
            <a:t>Projeção</a:t>
          </a:r>
        </a:p>
      </xdr:txBody>
    </xdr:sp>
    <xdr:clientData/>
  </xdr:twoCellAnchor>
  <xdr:twoCellAnchor>
    <xdr:from>
      <xdr:col>17</xdr:col>
      <xdr:colOff>866048</xdr:colOff>
      <xdr:row>34</xdr:row>
      <xdr:rowOff>97315</xdr:rowOff>
    </xdr:from>
    <xdr:to>
      <xdr:col>27</xdr:col>
      <xdr:colOff>397832</xdr:colOff>
      <xdr:row>58</xdr:row>
      <xdr:rowOff>15302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382A612-D175-724C-9E2F-253F8EBC4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819150</xdr:colOff>
      <xdr:row>38</xdr:row>
      <xdr:rowOff>110067</xdr:rowOff>
    </xdr:from>
    <xdr:to>
      <xdr:col>20</xdr:col>
      <xdr:colOff>215901</xdr:colOff>
      <xdr:row>40</xdr:row>
      <xdr:rowOff>4234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F9E25FED-F0D1-344F-8D99-B85A0104DC03}"/>
            </a:ext>
          </a:extLst>
        </xdr:cNvPr>
        <xdr:cNvSpPr txBox="1"/>
      </xdr:nvSpPr>
      <xdr:spPr>
        <a:xfrm>
          <a:off x="10682817" y="7888817"/>
          <a:ext cx="1259417" cy="2963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2060"/>
              </a:solidFill>
            </a:rPr>
            <a:t>Histórico</a:t>
          </a:r>
        </a:p>
      </xdr:txBody>
    </xdr:sp>
    <xdr:clientData/>
  </xdr:twoCellAnchor>
  <xdr:twoCellAnchor>
    <xdr:from>
      <xdr:col>20</xdr:col>
      <xdr:colOff>706967</xdr:colOff>
      <xdr:row>38</xdr:row>
      <xdr:rowOff>103718</xdr:rowOff>
    </xdr:from>
    <xdr:to>
      <xdr:col>22</xdr:col>
      <xdr:colOff>99483</xdr:colOff>
      <xdr:row>39</xdr:row>
      <xdr:rowOff>198969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819B20D0-5DAF-FE40-B75F-2E2E3947DE6F}"/>
            </a:ext>
          </a:extLst>
        </xdr:cNvPr>
        <xdr:cNvSpPr txBox="1"/>
      </xdr:nvSpPr>
      <xdr:spPr>
        <a:xfrm>
          <a:off x="12433300" y="7882468"/>
          <a:ext cx="1255183" cy="2963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2060"/>
              </a:solidFill>
            </a:rPr>
            <a:t>Projeção</a:t>
          </a:r>
        </a:p>
      </xdr:txBody>
    </xdr:sp>
    <xdr:clientData/>
  </xdr:twoCellAnchor>
  <xdr:twoCellAnchor>
    <xdr:from>
      <xdr:col>20</xdr:col>
      <xdr:colOff>317500</xdr:colOff>
      <xdr:row>38</xdr:row>
      <xdr:rowOff>0</xdr:rowOff>
    </xdr:from>
    <xdr:to>
      <xdr:col>20</xdr:col>
      <xdr:colOff>328084</xdr:colOff>
      <xdr:row>54</xdr:row>
      <xdr:rowOff>190500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0A2260E7-6221-EA44-9B0D-26D8606C32DC}"/>
            </a:ext>
          </a:extLst>
        </xdr:cNvPr>
        <xdr:cNvCxnSpPr/>
      </xdr:nvCxnSpPr>
      <xdr:spPr>
        <a:xfrm>
          <a:off x="12043833" y="7778750"/>
          <a:ext cx="10584" cy="3407833"/>
        </a:xfrm>
        <a:prstGeom prst="line">
          <a:avLst/>
        </a:prstGeom>
        <a:ln w="19050">
          <a:solidFill>
            <a:srgbClr val="00206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36</xdr:row>
      <xdr:rowOff>21167</xdr:rowOff>
    </xdr:from>
    <xdr:to>
      <xdr:col>25</xdr:col>
      <xdr:colOff>539750</xdr:colOff>
      <xdr:row>38</xdr:row>
      <xdr:rowOff>142875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EB111609-D8E5-474E-A9A8-C79DC7E4B073}"/>
            </a:ext>
          </a:extLst>
        </xdr:cNvPr>
        <xdr:cNvSpPr txBox="1"/>
      </xdr:nvSpPr>
      <xdr:spPr>
        <a:xfrm>
          <a:off x="11176000" y="7593542"/>
          <a:ext cx="5588000" cy="5344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Investimento</a:t>
          </a:r>
          <a:r>
            <a:rPr lang="pt-BR" sz="1100" baseline="0"/>
            <a:t> de mídia é crescente, com Search sendo responsável por mais de 90% dos gastos. </a:t>
          </a:r>
          <a:endParaRPr lang="pt-BR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0.25798</cdr:x>
      <cdr:y>0.19046</cdr:y>
    </cdr:from>
    <cdr:to>
      <cdr:x>0.25798</cdr:x>
      <cdr:y>0.86173</cdr:y>
    </cdr:to>
    <cdr:cxnSp macro="">
      <cdr:nvCxnSpPr>
        <cdr:cNvPr id="3" name="Conector Reto 2">
          <a:extLst xmlns:a="http://schemas.openxmlformats.org/drawingml/2006/main">
            <a:ext uri="{FF2B5EF4-FFF2-40B4-BE49-F238E27FC236}">
              <a16:creationId xmlns:a16="http://schemas.microsoft.com/office/drawing/2014/main" id="{53659FFA-6CB5-BB4B-B99D-261DB82A6525}"/>
            </a:ext>
          </a:extLst>
        </cdr:cNvPr>
        <cdr:cNvCxnSpPr/>
      </cdr:nvCxnSpPr>
      <cdr:spPr>
        <a:xfrm xmlns:a="http://schemas.openxmlformats.org/drawingml/2006/main">
          <a:off x="2292349" y="903817"/>
          <a:ext cx="0" cy="3185583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rgbClr val="002060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0.25202</cdr:x>
      <cdr:y>0.05442</cdr:y>
    </cdr:from>
    <cdr:to>
      <cdr:x>0.70581</cdr:x>
      <cdr:y>0.15031</cdr:y>
    </cdr:to>
    <cdr:sp macro="" textlink="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D08F78E7-A4AF-574E-B9DB-AFAD784CB85D}"/>
            </a:ext>
          </a:extLst>
        </cdr:cNvPr>
        <cdr:cNvSpPr txBox="1"/>
      </cdr:nvSpPr>
      <cdr:spPr>
        <a:xfrm xmlns:a="http://schemas.openxmlformats.org/drawingml/2006/main">
          <a:off x="2239432" y="258233"/>
          <a:ext cx="4032250" cy="4550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pt-BR" sz="1000">
              <a:solidFill>
                <a:schemeClr val="tx1"/>
              </a:solidFill>
              <a:latin typeface="Helvetica" pitchFamily="2" charset="0"/>
            </a:rPr>
            <a:t>O número de leads por marketing pago crescerá devido a aumento mensal de investimento</a:t>
          </a:r>
        </a:p>
      </cdr:txBody>
    </cdr:sp>
  </cdr:relSizeAnchor>
  <cdr:relSizeAnchor xmlns:cdr="http://schemas.openxmlformats.org/drawingml/2006/chartDrawing">
    <cdr:from>
      <cdr:x>0.75941</cdr:x>
      <cdr:y>0.29839</cdr:y>
    </cdr:from>
    <cdr:to>
      <cdr:x>0.98094</cdr:x>
      <cdr:y>0.39429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C0B4257C-D32A-9E46-9587-0A21F6DD4A8F}"/>
            </a:ext>
          </a:extLst>
        </cdr:cNvPr>
        <cdr:cNvSpPr txBox="1"/>
      </cdr:nvSpPr>
      <cdr:spPr>
        <a:xfrm xmlns:a="http://schemas.openxmlformats.org/drawingml/2006/main">
          <a:off x="6747933" y="1416050"/>
          <a:ext cx="1968500" cy="4550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800">
              <a:solidFill>
                <a:schemeClr val="accent1"/>
              </a:solidFill>
              <a:latin typeface="Helvetica" pitchFamily="2" charset="0"/>
            </a:rPr>
            <a:t>Google search continuará a ser nosso canal campeão,</a:t>
          </a:r>
          <a:r>
            <a:rPr lang="pt-BR" sz="800" baseline="0">
              <a:solidFill>
                <a:schemeClr val="accent1"/>
              </a:solidFill>
              <a:latin typeface="Helvetica" pitchFamily="2" charset="0"/>
            </a:rPr>
            <a:t> sendo responsável por mais de 90% dos leads pagos. </a:t>
          </a:r>
          <a:endParaRPr lang="pt-BR" sz="800">
            <a:solidFill>
              <a:schemeClr val="accent1"/>
            </a:solidFill>
            <a:latin typeface="Helvetica" pitchFamily="2" charset="0"/>
          </a:endParaRPr>
        </a:p>
      </cdr:txBody>
    </cdr:sp>
  </cdr:relSizeAnchor>
  <cdr:relSizeAnchor xmlns:cdr="http://schemas.openxmlformats.org/drawingml/2006/chartDrawing">
    <cdr:from>
      <cdr:x>0.74416</cdr:x>
      <cdr:y>0.65968</cdr:y>
    </cdr:from>
    <cdr:to>
      <cdr:x>0.9657</cdr:x>
      <cdr:y>0.75558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id="{F2B6C8CB-DDF6-B94C-99E5-F359F08CC338}"/>
            </a:ext>
          </a:extLst>
        </cdr:cNvPr>
        <cdr:cNvSpPr txBox="1"/>
      </cdr:nvSpPr>
      <cdr:spPr>
        <a:xfrm xmlns:a="http://schemas.openxmlformats.org/drawingml/2006/main">
          <a:off x="6612466" y="3130550"/>
          <a:ext cx="1968500" cy="4550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800">
              <a:solidFill>
                <a:schemeClr val="accent2"/>
              </a:solidFill>
              <a:latin typeface="Helvetica" pitchFamily="2" charset="0"/>
            </a:rPr>
            <a:t>Investimento em Display</a:t>
          </a:r>
          <a:r>
            <a:rPr lang="pt-BR" sz="800" baseline="0">
              <a:solidFill>
                <a:schemeClr val="accent2"/>
              </a:solidFill>
              <a:latin typeface="Helvetica" pitchFamily="2" charset="0"/>
            </a:rPr>
            <a:t> e Facebook está baixo, por isso há poucos leads. Necessário mais investimento para escalar esses canais.</a:t>
          </a:r>
          <a:r>
            <a:rPr lang="pt-BR" sz="900" baseline="0">
              <a:solidFill>
                <a:schemeClr val="accent2"/>
              </a:solidFill>
              <a:latin typeface="Helvetica" pitchFamily="2" charset="0"/>
            </a:rPr>
            <a:t> </a:t>
          </a:r>
          <a:endParaRPr lang="pt-BR" sz="900">
            <a:solidFill>
              <a:schemeClr val="accent2"/>
            </a:solidFill>
            <a:latin typeface="Helvetica" pitchFamily="2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34</xdr:row>
      <xdr:rowOff>19050</xdr:rowOff>
    </xdr:from>
    <xdr:to>
      <xdr:col>16</xdr:col>
      <xdr:colOff>666750</xdr:colOff>
      <xdr:row>47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8B5AB3-2FC5-C348-972D-D76EDBF08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613832</xdr:colOff>
      <xdr:row>2</xdr:row>
      <xdr:rowOff>35983</xdr:rowOff>
    </xdr:from>
    <xdr:to>
      <xdr:col>13</xdr:col>
      <xdr:colOff>582083</xdr:colOff>
      <xdr:row>17</xdr:row>
      <xdr:rowOff>74083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3DCA48-CC7B-D149-9C43-D7A711C25A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613832</xdr:colOff>
      <xdr:row>2</xdr:row>
      <xdr:rowOff>35983</xdr:rowOff>
    </xdr:from>
    <xdr:to>
      <xdr:col>13</xdr:col>
      <xdr:colOff>582083</xdr:colOff>
      <xdr:row>17</xdr:row>
      <xdr:rowOff>74083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1CCFD9-A723-D64D-9779-1FB744EE2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nandakuvabara/Documents/arquivos%20aulas%20/Projecaoplanoa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- Trafego organic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mano.jorge@alumni.usp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GridLines="0" topLeftCell="A10" zoomScale="152" zoomScaleNormal="152" workbookViewId="0">
      <selection activeCell="D13" sqref="D13"/>
    </sheetView>
  </sheetViews>
  <sheetFormatPr defaultColWidth="11" defaultRowHeight="15.75" x14ac:dyDescent="0.25"/>
  <cols>
    <col min="1" max="1" width="5.625" customWidth="1"/>
    <col min="2" max="2" width="16.875" customWidth="1"/>
  </cols>
  <sheetData>
    <row r="3" spans="2:4" x14ac:dyDescent="0.25">
      <c r="B3" s="39" t="s">
        <v>85</v>
      </c>
      <c r="C3" s="38"/>
      <c r="D3" s="38"/>
    </row>
    <row r="6" spans="2:4" x14ac:dyDescent="0.25">
      <c r="B6" t="s">
        <v>86</v>
      </c>
      <c r="C6" s="40" t="s">
        <v>108</v>
      </c>
    </row>
    <row r="7" spans="2:4" x14ac:dyDescent="0.25">
      <c r="B7" t="s">
        <v>91</v>
      </c>
      <c r="C7" s="42" t="s">
        <v>109</v>
      </c>
    </row>
    <row r="8" spans="2:4" x14ac:dyDescent="0.25">
      <c r="B8" t="s">
        <v>87</v>
      </c>
      <c r="C8" s="37">
        <f ca="1">TODAY()</f>
        <v>44837</v>
      </c>
    </row>
    <row r="10" spans="2:4" x14ac:dyDescent="0.25">
      <c r="B10" s="5" t="s">
        <v>88</v>
      </c>
    </row>
    <row r="12" spans="2:4" x14ac:dyDescent="0.25">
      <c r="B12" s="41" t="s">
        <v>89</v>
      </c>
    </row>
    <row r="13" spans="2:4" x14ac:dyDescent="0.25">
      <c r="B13" s="41" t="s">
        <v>90</v>
      </c>
    </row>
    <row r="15" spans="2:4" x14ac:dyDescent="0.25">
      <c r="B15" s="43" t="s">
        <v>92</v>
      </c>
    </row>
    <row r="17" spans="2:2" x14ac:dyDescent="0.25">
      <c r="B17" s="42" t="s">
        <v>93</v>
      </c>
    </row>
    <row r="18" spans="2:2" x14ac:dyDescent="0.25">
      <c r="B18" s="42" t="s">
        <v>94</v>
      </c>
    </row>
    <row r="19" spans="2:2" x14ac:dyDescent="0.25">
      <c r="B19" s="42" t="s">
        <v>95</v>
      </c>
    </row>
    <row r="20" spans="2:2" x14ac:dyDescent="0.25">
      <c r="B20" s="42" t="s">
        <v>96</v>
      </c>
    </row>
  </sheetData>
  <hyperlinks>
    <hyperlink ref="B17" location="Suposições!A1" display="Suposições"/>
    <hyperlink ref="B18" location="'Leads- Trafego pago'!A1" display="Leads- Trafego Pago"/>
    <hyperlink ref="B19" location="'Leads- Trafego organico'!A1" display="Leads- Trafego orgânico"/>
    <hyperlink ref="B20" location="'Desempenho vendas'!A1" display="Modelo previsão"/>
    <hyperlink ref="C7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7"/>
  <sheetViews>
    <sheetView showGridLines="0" tabSelected="1" topLeftCell="A7" workbookViewId="0">
      <selection activeCell="C19" sqref="C19"/>
    </sheetView>
  </sheetViews>
  <sheetFormatPr defaultColWidth="11" defaultRowHeight="15.75" x14ac:dyDescent="0.25"/>
  <cols>
    <col min="2" max="2" width="29" customWidth="1"/>
  </cols>
  <sheetData>
    <row r="2" spans="2:3" x14ac:dyDescent="0.25">
      <c r="B2" s="42" t="s">
        <v>97</v>
      </c>
    </row>
    <row r="4" spans="2:3" ht="30" x14ac:dyDescent="0.45">
      <c r="B4" s="44" t="s">
        <v>72</v>
      </c>
    </row>
    <row r="6" spans="2:3" x14ac:dyDescent="0.25">
      <c r="B6" s="47" t="s">
        <v>77</v>
      </c>
      <c r="C6" s="48"/>
    </row>
    <row r="7" spans="2:3" x14ac:dyDescent="0.25">
      <c r="B7" t="s">
        <v>73</v>
      </c>
    </row>
    <row r="9" spans="2:3" x14ac:dyDescent="0.25">
      <c r="B9" s="32" t="s">
        <v>53</v>
      </c>
      <c r="C9" s="52">
        <v>91.382000000000005</v>
      </c>
    </row>
    <row r="10" spans="2:3" x14ac:dyDescent="0.25">
      <c r="B10" s="33" t="s">
        <v>71</v>
      </c>
      <c r="C10" s="53">
        <v>-26.835999999999999</v>
      </c>
    </row>
    <row r="11" spans="2:3" x14ac:dyDescent="0.25">
      <c r="B11" s="35"/>
      <c r="C11" s="35"/>
    </row>
    <row r="12" spans="2:3" x14ac:dyDescent="0.25">
      <c r="B12" s="32" t="s">
        <v>98</v>
      </c>
      <c r="C12" s="45">
        <v>0.22</v>
      </c>
    </row>
    <row r="15" spans="2:3" x14ac:dyDescent="0.25">
      <c r="B15" s="47" t="s">
        <v>37</v>
      </c>
      <c r="C15" s="47"/>
    </row>
    <row r="16" spans="2:3" x14ac:dyDescent="0.25">
      <c r="B16" t="s">
        <v>74</v>
      </c>
    </row>
    <row r="18" spans="2:3" x14ac:dyDescent="0.25">
      <c r="B18" s="20" t="s">
        <v>53</v>
      </c>
      <c r="C18" s="54">
        <v>6.6544999999999996</v>
      </c>
    </row>
    <row r="19" spans="2:3" x14ac:dyDescent="0.25">
      <c r="B19" s="20" t="s">
        <v>71</v>
      </c>
      <c r="C19" s="54">
        <v>4.8</v>
      </c>
    </row>
    <row r="21" spans="2:3" x14ac:dyDescent="0.25">
      <c r="B21" s="32" t="s">
        <v>98</v>
      </c>
      <c r="C21" s="45">
        <v>0.32</v>
      </c>
    </row>
    <row r="24" spans="2:3" x14ac:dyDescent="0.25">
      <c r="B24" s="47" t="s">
        <v>101</v>
      </c>
      <c r="C24" s="47"/>
    </row>
    <row r="26" spans="2:3" x14ac:dyDescent="0.25">
      <c r="B26" s="2" t="s">
        <v>102</v>
      </c>
      <c r="C26" s="51">
        <v>1.05</v>
      </c>
    </row>
    <row r="27" spans="2:3" x14ac:dyDescent="0.25">
      <c r="B27" s="2" t="s">
        <v>103</v>
      </c>
      <c r="C27" s="2">
        <v>1.01</v>
      </c>
    </row>
    <row r="29" spans="2:3" x14ac:dyDescent="0.25">
      <c r="B29" s="47" t="s">
        <v>104</v>
      </c>
      <c r="C29" s="47"/>
    </row>
    <row r="31" spans="2:3" x14ac:dyDescent="0.25">
      <c r="B31" s="2" t="s">
        <v>102</v>
      </c>
      <c r="C31" s="51">
        <v>1.05</v>
      </c>
    </row>
    <row r="32" spans="2:3" x14ac:dyDescent="0.25">
      <c r="B32" s="2" t="s">
        <v>103</v>
      </c>
      <c r="C32" s="2">
        <v>1.01</v>
      </c>
    </row>
    <row r="33" spans="2:3" x14ac:dyDescent="0.25">
      <c r="B33" s="34"/>
      <c r="C33" s="34"/>
    </row>
    <row r="35" spans="2:3" x14ac:dyDescent="0.25">
      <c r="B35" s="47" t="s">
        <v>78</v>
      </c>
      <c r="C35" s="47"/>
    </row>
    <row r="36" spans="2:3" x14ac:dyDescent="0.25">
      <c r="B36" t="s">
        <v>79</v>
      </c>
    </row>
    <row r="38" spans="2:3" x14ac:dyDescent="0.25">
      <c r="B38" s="20" t="s">
        <v>53</v>
      </c>
      <c r="C38" s="54">
        <v>5.1000000000000004E-3</v>
      </c>
    </row>
    <row r="39" spans="2:3" x14ac:dyDescent="0.25">
      <c r="B39" s="20" t="s">
        <v>71</v>
      </c>
      <c r="C39" s="54">
        <v>2.9580000000000002</v>
      </c>
    </row>
    <row r="41" spans="2:3" x14ac:dyDescent="0.25">
      <c r="B41" s="2" t="s">
        <v>102</v>
      </c>
      <c r="C41" s="51">
        <v>1.07</v>
      </c>
    </row>
    <row r="42" spans="2:3" x14ac:dyDescent="0.25">
      <c r="B42" s="2" t="s">
        <v>100</v>
      </c>
      <c r="C42" s="46">
        <v>0.13</v>
      </c>
    </row>
    <row r="44" spans="2:3" x14ac:dyDescent="0.25">
      <c r="B44" s="49" t="s">
        <v>83</v>
      </c>
      <c r="C44" s="50"/>
    </row>
    <row r="46" spans="2:3" x14ac:dyDescent="0.25">
      <c r="B46" t="s">
        <v>84</v>
      </c>
    </row>
    <row r="47" spans="2:3" x14ac:dyDescent="0.25">
      <c r="B47" t="s">
        <v>99</v>
      </c>
    </row>
  </sheetData>
  <hyperlinks>
    <hyperlink ref="B2" location="'Capa '!A1" display="Voltar para o menu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3"/>
  <sheetViews>
    <sheetView showGridLines="0" topLeftCell="A4" zoomScale="80" zoomScaleNormal="80" workbookViewId="0">
      <selection activeCell="O18" sqref="O18"/>
    </sheetView>
  </sheetViews>
  <sheetFormatPr defaultColWidth="11" defaultRowHeight="15.75" outlineLevelCol="1" x14ac:dyDescent="0.25"/>
  <cols>
    <col min="1" max="1" width="3" customWidth="1"/>
    <col min="2" max="2" width="28.625" customWidth="1"/>
    <col min="3" max="6" width="11" customWidth="1" outlineLevel="1"/>
    <col min="7" max="8" width="12.125" customWidth="1" outlineLevel="1"/>
    <col min="9" max="9" width="11" customWidth="1" outlineLevel="1"/>
    <col min="10" max="10" width="12.125" customWidth="1" outlineLevel="1"/>
    <col min="11" max="26" width="12.125" bestFit="1" customWidth="1"/>
  </cols>
  <sheetData>
    <row r="2" spans="2:26" x14ac:dyDescent="0.25">
      <c r="B2" s="42" t="s">
        <v>97</v>
      </c>
    </row>
    <row r="4" spans="2:26" ht="26.25" x14ac:dyDescent="0.4">
      <c r="B4" s="57" t="s">
        <v>30</v>
      </c>
    </row>
    <row r="6" spans="2:26" ht="17.100000000000001" customHeight="1" x14ac:dyDescent="0.25">
      <c r="C6" s="55">
        <v>42887</v>
      </c>
      <c r="D6" s="55">
        <f>EOMONTH(C6,1)</f>
        <v>42947</v>
      </c>
      <c r="E6" s="55">
        <f t="shared" ref="E6:N6" si="0">EOMONTH(D6,1)</f>
        <v>42978</v>
      </c>
      <c r="F6" s="55">
        <f t="shared" si="0"/>
        <v>43008</v>
      </c>
      <c r="G6" s="55">
        <f t="shared" si="0"/>
        <v>43039</v>
      </c>
      <c r="H6" s="55">
        <f t="shared" si="0"/>
        <v>43069</v>
      </c>
      <c r="I6" s="55">
        <f t="shared" si="0"/>
        <v>43100</v>
      </c>
      <c r="J6" s="55">
        <f t="shared" si="0"/>
        <v>43131</v>
      </c>
      <c r="K6" s="55">
        <f t="shared" si="0"/>
        <v>43159</v>
      </c>
      <c r="L6" s="55">
        <f t="shared" si="0"/>
        <v>43190</v>
      </c>
      <c r="M6" s="55">
        <f t="shared" si="0"/>
        <v>43220</v>
      </c>
      <c r="N6" s="55">
        <f t="shared" si="0"/>
        <v>43251</v>
      </c>
      <c r="O6" s="55">
        <f t="shared" ref="O6" si="1">EOMONTH(N6,1)</f>
        <v>43281</v>
      </c>
      <c r="P6" s="55">
        <f t="shared" ref="P6" si="2">EOMONTH(O6,1)</f>
        <v>43312</v>
      </c>
      <c r="Q6" s="55">
        <f t="shared" ref="Q6" si="3">EOMONTH(P6,1)</f>
        <v>43343</v>
      </c>
      <c r="R6" s="55">
        <f t="shared" ref="R6" si="4">EOMONTH(Q6,1)</f>
        <v>43373</v>
      </c>
      <c r="S6" s="55">
        <f t="shared" ref="S6" si="5">EOMONTH(R6,1)</f>
        <v>43404</v>
      </c>
      <c r="T6" s="55">
        <f t="shared" ref="T6" si="6">EOMONTH(S6,1)</f>
        <v>43434</v>
      </c>
      <c r="U6" s="55">
        <f t="shared" ref="U6" si="7">EOMONTH(T6,1)</f>
        <v>43465</v>
      </c>
      <c r="V6" s="55">
        <f t="shared" ref="V6" si="8">EOMONTH(U6,1)</f>
        <v>43496</v>
      </c>
      <c r="W6" s="55">
        <f t="shared" ref="W6" si="9">EOMONTH(V6,1)</f>
        <v>43524</v>
      </c>
      <c r="X6" s="55">
        <f t="shared" ref="X6" si="10">EOMONTH(W6,1)</f>
        <v>43555</v>
      </c>
      <c r="Y6" s="55">
        <f t="shared" ref="Y6" si="11">EOMONTH(X6,1)</f>
        <v>43585</v>
      </c>
      <c r="Z6" s="55">
        <f t="shared" ref="Z6" si="12">EOMONTH(Y6,1)</f>
        <v>43616</v>
      </c>
    </row>
    <row r="8" spans="2:26" x14ac:dyDescent="0.25">
      <c r="B8" s="48" t="s">
        <v>31</v>
      </c>
    </row>
    <row r="10" spans="2:26" x14ac:dyDescent="0.25">
      <c r="B10" s="2" t="s">
        <v>105</v>
      </c>
      <c r="C10" s="58" cm="1">
        <f t="array" ref="C10:N12">TRANSPOSE('Source- Trafego pago '!D4:F15)</f>
        <v>0</v>
      </c>
      <c r="D10" s="58">
        <v>636.70949999999993</v>
      </c>
      <c r="E10" s="58">
        <v>778.30200000000002</v>
      </c>
      <c r="F10" s="58">
        <v>783</v>
      </c>
      <c r="G10" s="58">
        <v>1193.6399999999999</v>
      </c>
      <c r="H10" s="58">
        <v>887.92200000000003</v>
      </c>
      <c r="I10" s="58">
        <v>340.34399999999999</v>
      </c>
      <c r="J10" s="58">
        <v>2512.125</v>
      </c>
      <c r="K10" s="58">
        <v>2717.0099999999998</v>
      </c>
      <c r="L10" s="58">
        <v>4119.4412999999995</v>
      </c>
      <c r="M10" s="58">
        <v>4479.1949999999997</v>
      </c>
      <c r="N10" s="58">
        <v>3982.86</v>
      </c>
      <c r="O10" s="59">
        <f>N10*Suposições!$C$26</f>
        <v>4182.0030000000006</v>
      </c>
      <c r="P10" s="60">
        <f>O10*Suposições!$C$26</f>
        <v>4391.1031500000008</v>
      </c>
      <c r="Q10" s="60">
        <f>P10*Suposições!$C$26</f>
        <v>4610.6583075000008</v>
      </c>
      <c r="R10" s="60">
        <f>Q10*Suposições!$C$26</f>
        <v>4841.1912228750007</v>
      </c>
      <c r="S10" s="60">
        <f>R10*Suposições!$C$26</f>
        <v>5083.2507840187509</v>
      </c>
      <c r="T10" s="60">
        <f>S10*Suposições!$C$26</f>
        <v>5337.4133232196882</v>
      </c>
      <c r="U10" s="60">
        <f>T10*Suposições!$C$26</f>
        <v>5604.2839893806731</v>
      </c>
      <c r="V10" s="60">
        <f>U10*Suposições!$C$26</f>
        <v>5884.4981888497068</v>
      </c>
      <c r="W10" s="60">
        <f>V10*Suposições!$C$26</f>
        <v>6178.7230982921928</v>
      </c>
      <c r="X10" s="60">
        <f>W10*Suposições!$C$26</f>
        <v>6487.6592532068025</v>
      </c>
      <c r="Y10" s="60">
        <f>X10*Suposições!$C$26</f>
        <v>6812.0422158671427</v>
      </c>
      <c r="Z10" s="60">
        <f>Y10*Suposições!$C$26</f>
        <v>7152.6443266605002</v>
      </c>
    </row>
    <row r="11" spans="2:26" x14ac:dyDescent="0.25">
      <c r="B11" s="2" t="s">
        <v>13</v>
      </c>
      <c r="C11" s="58">
        <v>0</v>
      </c>
      <c r="D11" s="58">
        <v>2.2184999999999997</v>
      </c>
      <c r="E11" s="58">
        <v>2.1924000000000001</v>
      </c>
      <c r="F11" s="58">
        <v>2.61</v>
      </c>
      <c r="G11" s="58">
        <v>2.4359999999999999</v>
      </c>
      <c r="H11" s="58">
        <v>2.3490000000000002</v>
      </c>
      <c r="I11" s="58">
        <v>2.0880000000000001</v>
      </c>
      <c r="J11" s="58">
        <v>2.871</v>
      </c>
      <c r="K11" s="58">
        <v>2.61</v>
      </c>
      <c r="L11" s="58">
        <v>3.0536999999999996</v>
      </c>
      <c r="M11" s="58">
        <v>3.0449999999999999</v>
      </c>
      <c r="N11" s="58">
        <v>3.0449999999999999</v>
      </c>
      <c r="O11" s="59">
        <f>N11*Suposições!$C$27</f>
        <v>3.07545</v>
      </c>
      <c r="P11" s="60">
        <f>O11*Suposições!$C$27</f>
        <v>3.1062045</v>
      </c>
      <c r="Q11" s="60">
        <f>P11*Suposições!$C$27</f>
        <v>3.1372665450000001</v>
      </c>
      <c r="R11" s="60">
        <f>Q11*Suposições!$C$27</f>
        <v>3.1686392104500003</v>
      </c>
      <c r="S11" s="60">
        <f>R11*Suposições!$C$27</f>
        <v>3.2003256025545004</v>
      </c>
      <c r="T11" s="60">
        <f>S11*Suposições!$C$27</f>
        <v>3.2323288585800456</v>
      </c>
      <c r="U11" s="60">
        <f>T11*Suposições!$C$27</f>
        <v>3.2646521471658461</v>
      </c>
      <c r="V11" s="60">
        <f>U11*Suposições!$C$27</f>
        <v>3.2972986686375045</v>
      </c>
      <c r="W11" s="60">
        <f>V11*Suposições!$C$27</f>
        <v>3.3302716553238798</v>
      </c>
      <c r="X11" s="60">
        <f>W11*Suposições!$C$27</f>
        <v>3.3635743718771187</v>
      </c>
      <c r="Y11" s="60">
        <f>X11*Suposições!$C$27</f>
        <v>3.39721011559589</v>
      </c>
      <c r="Z11" s="60">
        <f>Y11*Suposições!$C$27</f>
        <v>3.4311822167518491</v>
      </c>
    </row>
    <row r="12" spans="2:26" x14ac:dyDescent="0.25">
      <c r="B12" s="2" t="s">
        <v>14</v>
      </c>
      <c r="C12" s="61">
        <v>0</v>
      </c>
      <c r="D12" s="61">
        <v>287</v>
      </c>
      <c r="E12" s="61">
        <v>355</v>
      </c>
      <c r="F12" s="61">
        <v>300</v>
      </c>
      <c r="G12" s="61">
        <v>490</v>
      </c>
      <c r="H12" s="61">
        <v>378</v>
      </c>
      <c r="I12" s="61">
        <v>163</v>
      </c>
      <c r="J12" s="61">
        <v>875</v>
      </c>
      <c r="K12" s="61">
        <v>1041</v>
      </c>
      <c r="L12" s="61">
        <v>1349</v>
      </c>
      <c r="M12" s="61">
        <v>1471</v>
      </c>
      <c r="N12" s="61">
        <v>1308</v>
      </c>
      <c r="O12" s="62">
        <f>INT(O10/O11)</f>
        <v>1359</v>
      </c>
      <c r="P12" s="62">
        <f t="shared" ref="P12:Z12" si="13">INT(P10/P11)</f>
        <v>1413</v>
      </c>
      <c r="Q12" s="62">
        <f t="shared" si="13"/>
        <v>1469</v>
      </c>
      <c r="R12" s="62">
        <f t="shared" si="13"/>
        <v>1527</v>
      </c>
      <c r="S12" s="62">
        <f t="shared" si="13"/>
        <v>1588</v>
      </c>
      <c r="T12" s="62">
        <f t="shared" si="13"/>
        <v>1651</v>
      </c>
      <c r="U12" s="62">
        <f t="shared" si="13"/>
        <v>1716</v>
      </c>
      <c r="V12" s="62">
        <f t="shared" si="13"/>
        <v>1784</v>
      </c>
      <c r="W12" s="62">
        <f t="shared" si="13"/>
        <v>1855</v>
      </c>
      <c r="X12" s="62">
        <f t="shared" si="13"/>
        <v>1928</v>
      </c>
      <c r="Y12" s="62">
        <f t="shared" si="13"/>
        <v>2005</v>
      </c>
      <c r="Z12" s="62">
        <f t="shared" si="13"/>
        <v>2084</v>
      </c>
    </row>
    <row r="13" spans="2:26" x14ac:dyDescent="0.25">
      <c r="B13" s="2" t="s">
        <v>20</v>
      </c>
      <c r="C13" s="63">
        <f t="array" ref="C13:N13">TRANSPOSE('Source- Trafego pago '!I4:I15)</f>
        <v>0.2</v>
      </c>
      <c r="D13" s="63">
        <v>0.21</v>
      </c>
      <c r="E13" s="63">
        <v>0.24</v>
      </c>
      <c r="F13" s="63">
        <v>0.23</v>
      </c>
      <c r="G13" s="63">
        <v>0.22</v>
      </c>
      <c r="H13" s="63">
        <v>0.2</v>
      </c>
      <c r="I13" s="63">
        <v>0.23</v>
      </c>
      <c r="J13" s="63">
        <v>0.21</v>
      </c>
      <c r="K13" s="63">
        <v>0.22</v>
      </c>
      <c r="L13" s="63">
        <v>0.21</v>
      </c>
      <c r="M13" s="63">
        <v>0.2</v>
      </c>
      <c r="N13" s="63">
        <v>0.22</v>
      </c>
      <c r="O13" s="4">
        <f>N13</f>
        <v>0.22</v>
      </c>
      <c r="P13" s="4">
        <f t="shared" ref="P13:Z13" si="14">O13</f>
        <v>0.22</v>
      </c>
      <c r="Q13" s="4">
        <f t="shared" si="14"/>
        <v>0.22</v>
      </c>
      <c r="R13" s="4">
        <f t="shared" si="14"/>
        <v>0.22</v>
      </c>
      <c r="S13" s="4">
        <f t="shared" si="14"/>
        <v>0.22</v>
      </c>
      <c r="T13" s="4">
        <f t="shared" si="14"/>
        <v>0.22</v>
      </c>
      <c r="U13" s="4">
        <f t="shared" si="14"/>
        <v>0.22</v>
      </c>
      <c r="V13" s="4">
        <f t="shared" si="14"/>
        <v>0.22</v>
      </c>
      <c r="W13" s="4">
        <f t="shared" si="14"/>
        <v>0.22</v>
      </c>
      <c r="X13" s="4">
        <f t="shared" si="14"/>
        <v>0.22</v>
      </c>
      <c r="Y13" s="4">
        <f t="shared" si="14"/>
        <v>0.22</v>
      </c>
      <c r="Z13" s="4">
        <f t="shared" si="14"/>
        <v>0.22</v>
      </c>
    </row>
    <row r="14" spans="2:26" x14ac:dyDescent="0.25">
      <c r="B14" s="64" t="s">
        <v>32</v>
      </c>
      <c r="C14" s="65">
        <v>0</v>
      </c>
      <c r="D14" s="65">
        <v>56</v>
      </c>
      <c r="E14" s="65">
        <v>79</v>
      </c>
      <c r="F14" s="65">
        <v>64</v>
      </c>
      <c r="G14" s="65">
        <v>100</v>
      </c>
      <c r="H14" s="65">
        <v>70</v>
      </c>
      <c r="I14" s="65">
        <v>35</v>
      </c>
      <c r="J14" s="65">
        <v>170</v>
      </c>
      <c r="K14" s="65">
        <v>212</v>
      </c>
      <c r="L14" s="65">
        <v>262</v>
      </c>
      <c r="M14" s="65">
        <v>272</v>
      </c>
      <c r="N14" s="65">
        <v>266</v>
      </c>
      <c r="O14" s="2">
        <f>INT(O12*O13)</f>
        <v>298</v>
      </c>
      <c r="P14" s="2">
        <f t="shared" ref="P14:Z14" si="15">INT(P12*P13)</f>
        <v>310</v>
      </c>
      <c r="Q14" s="2">
        <f t="shared" si="15"/>
        <v>323</v>
      </c>
      <c r="R14" s="2">
        <f t="shared" si="15"/>
        <v>335</v>
      </c>
      <c r="S14" s="2">
        <f t="shared" si="15"/>
        <v>349</v>
      </c>
      <c r="T14" s="2">
        <f t="shared" si="15"/>
        <v>363</v>
      </c>
      <c r="U14" s="2">
        <f t="shared" si="15"/>
        <v>377</v>
      </c>
      <c r="V14" s="2">
        <f t="shared" si="15"/>
        <v>392</v>
      </c>
      <c r="W14" s="2">
        <f t="shared" si="15"/>
        <v>408</v>
      </c>
      <c r="X14" s="2">
        <f t="shared" si="15"/>
        <v>424</v>
      </c>
      <c r="Y14" s="2">
        <f t="shared" si="15"/>
        <v>441</v>
      </c>
      <c r="Z14" s="2">
        <f t="shared" si="15"/>
        <v>458</v>
      </c>
    </row>
    <row r="16" spans="2:26" x14ac:dyDescent="0.25">
      <c r="B16" s="48" t="s">
        <v>33</v>
      </c>
    </row>
    <row r="18" spans="2:26" x14ac:dyDescent="0.25">
      <c r="B18" s="2" t="s">
        <v>106</v>
      </c>
      <c r="C18" s="58" cm="1">
        <f t="array" ref="C18:N20">TRANSPOSE('Source- Trafego pago '!D21:F32)</f>
        <v>10</v>
      </c>
      <c r="D18" s="58">
        <v>244.79999999999998</v>
      </c>
      <c r="E18" s="58">
        <v>20.16</v>
      </c>
      <c r="F18" s="58">
        <v>66</v>
      </c>
      <c r="G18" s="58">
        <v>64.399999999999991</v>
      </c>
      <c r="H18" s="58">
        <v>83.7</v>
      </c>
      <c r="I18" s="58">
        <v>52.8</v>
      </c>
      <c r="J18" s="58">
        <v>181.5</v>
      </c>
      <c r="K18" s="58">
        <v>261</v>
      </c>
      <c r="L18" s="58">
        <v>284.31</v>
      </c>
      <c r="M18" s="58">
        <v>357</v>
      </c>
      <c r="N18" s="58">
        <v>189</v>
      </c>
      <c r="O18" s="59">
        <f>N18*Suposições!$C$31</f>
        <v>198.45000000000002</v>
      </c>
      <c r="P18" s="60">
        <f>O18*Suposições!$C$31</f>
        <v>208.37250000000003</v>
      </c>
      <c r="Q18" s="60">
        <f>P18*Suposições!$C$31</f>
        <v>218.79112500000005</v>
      </c>
      <c r="R18" s="60">
        <f>Q18*Suposições!$C$31</f>
        <v>229.73068125000006</v>
      </c>
      <c r="S18" s="60">
        <f>R18*Suposições!$C$31</f>
        <v>241.21721531250009</v>
      </c>
      <c r="T18" s="60">
        <f>S18*Suposições!$C$31</f>
        <v>253.27807607812511</v>
      </c>
      <c r="U18" s="60">
        <f>T18*Suposições!$C$31</f>
        <v>265.94197988203138</v>
      </c>
      <c r="V18" s="60">
        <f>U18*Suposições!$C$31</f>
        <v>279.23907887613296</v>
      </c>
      <c r="W18" s="60">
        <f>V18*Suposições!$C$31</f>
        <v>293.2010328199396</v>
      </c>
      <c r="X18" s="60">
        <f>W18*Suposições!$C$31</f>
        <v>307.86108446093658</v>
      </c>
      <c r="Y18" s="60">
        <f>X18*Suposições!$C$31</f>
        <v>323.2541386839834</v>
      </c>
      <c r="Z18" s="60">
        <f>Y18*Suposições!$C$31</f>
        <v>339.41684561818261</v>
      </c>
    </row>
    <row r="19" spans="2:26" x14ac:dyDescent="0.25">
      <c r="B19" s="2" t="s">
        <v>13</v>
      </c>
      <c r="C19" s="58">
        <v>2.5</v>
      </c>
      <c r="D19" s="58">
        <v>2.5499999999999998</v>
      </c>
      <c r="E19" s="58">
        <v>2.52</v>
      </c>
      <c r="F19" s="58">
        <v>3</v>
      </c>
      <c r="G19" s="58">
        <v>2.8</v>
      </c>
      <c r="H19" s="58">
        <v>2.7</v>
      </c>
      <c r="I19" s="58">
        <v>2.4</v>
      </c>
      <c r="J19" s="58">
        <v>3.3</v>
      </c>
      <c r="K19" s="58">
        <v>3</v>
      </c>
      <c r="L19" s="58">
        <v>3.51</v>
      </c>
      <c r="M19" s="58">
        <v>3.5</v>
      </c>
      <c r="N19" s="58">
        <v>3.5</v>
      </c>
      <c r="O19" s="59">
        <f>N19*Suposições!$C$32</f>
        <v>3.5350000000000001</v>
      </c>
      <c r="P19" s="60">
        <f>O19*Suposições!$C$32</f>
        <v>3.5703500000000004</v>
      </c>
      <c r="Q19" s="60">
        <f>P19*Suposições!$C$32</f>
        <v>3.6060535000000002</v>
      </c>
      <c r="R19" s="60">
        <f>Q19*Suposições!$C$32</f>
        <v>3.6421140350000001</v>
      </c>
      <c r="S19" s="60">
        <f>R19*Suposições!$C$32</f>
        <v>3.67853517535</v>
      </c>
      <c r="T19" s="60">
        <f>S19*Suposições!$C$32</f>
        <v>3.7153205271035001</v>
      </c>
      <c r="U19" s="60">
        <f>T19*Suposições!$C$32</f>
        <v>3.752473732374535</v>
      </c>
      <c r="V19" s="59">
        <f>U19*Suposições!$C$32</f>
        <v>3.7899984696982805</v>
      </c>
      <c r="W19" s="60">
        <f>V19</f>
        <v>3.7899984696982805</v>
      </c>
      <c r="X19" s="60">
        <f t="shared" ref="X19:Z19" si="16">W19</f>
        <v>3.7899984696982805</v>
      </c>
      <c r="Y19" s="60">
        <f t="shared" si="16"/>
        <v>3.7899984696982805</v>
      </c>
      <c r="Z19" s="60">
        <f t="shared" si="16"/>
        <v>3.7899984696982805</v>
      </c>
    </row>
    <row r="20" spans="2:26" x14ac:dyDescent="0.25">
      <c r="B20" s="2" t="s">
        <v>14</v>
      </c>
      <c r="C20" s="61">
        <v>4</v>
      </c>
      <c r="D20" s="61">
        <v>96</v>
      </c>
      <c r="E20" s="61">
        <v>8</v>
      </c>
      <c r="F20" s="61">
        <v>22</v>
      </c>
      <c r="G20" s="61">
        <v>23</v>
      </c>
      <c r="H20" s="61">
        <v>31</v>
      </c>
      <c r="I20" s="61">
        <v>22</v>
      </c>
      <c r="J20" s="61">
        <v>55</v>
      </c>
      <c r="K20" s="61">
        <v>87</v>
      </c>
      <c r="L20" s="61">
        <v>81</v>
      </c>
      <c r="M20" s="61">
        <v>102</v>
      </c>
      <c r="N20" s="61">
        <v>54</v>
      </c>
      <c r="O20" s="62">
        <f>INT(O18/O19)</f>
        <v>56</v>
      </c>
      <c r="P20" s="62">
        <f t="shared" ref="P20:Z20" si="17">INT(P18/P19)</f>
        <v>58</v>
      </c>
      <c r="Q20" s="62">
        <f t="shared" si="17"/>
        <v>60</v>
      </c>
      <c r="R20" s="62">
        <f t="shared" si="17"/>
        <v>63</v>
      </c>
      <c r="S20" s="62">
        <f t="shared" si="17"/>
        <v>65</v>
      </c>
      <c r="T20" s="62">
        <f t="shared" si="17"/>
        <v>68</v>
      </c>
      <c r="U20" s="62">
        <f t="shared" si="17"/>
        <v>70</v>
      </c>
      <c r="V20" s="62">
        <f t="shared" si="17"/>
        <v>73</v>
      </c>
      <c r="W20" s="62">
        <f t="shared" si="17"/>
        <v>77</v>
      </c>
      <c r="X20" s="62">
        <f t="shared" si="17"/>
        <v>81</v>
      </c>
      <c r="Y20" s="62">
        <f t="shared" si="17"/>
        <v>85</v>
      </c>
      <c r="Z20" s="62">
        <f t="shared" si="17"/>
        <v>89</v>
      </c>
    </row>
    <row r="21" spans="2:26" x14ac:dyDescent="0.25">
      <c r="B21" s="2" t="s">
        <v>20</v>
      </c>
      <c r="C21" s="63" cm="1">
        <f t="array" ref="C21:N21">TRANSPOSE('Source- Trafego pago '!I21:I32)</f>
        <v>0.2</v>
      </c>
      <c r="D21" s="63">
        <v>0.21</v>
      </c>
      <c r="E21" s="63">
        <v>0.24</v>
      </c>
      <c r="F21" s="63">
        <v>0.23</v>
      </c>
      <c r="G21" s="63">
        <v>0.22</v>
      </c>
      <c r="H21" s="63">
        <v>0.2</v>
      </c>
      <c r="I21" s="63">
        <v>0.23</v>
      </c>
      <c r="J21" s="63">
        <v>0.21</v>
      </c>
      <c r="K21" s="63">
        <v>0.22</v>
      </c>
      <c r="L21" s="63">
        <v>0.21</v>
      </c>
      <c r="M21" s="63">
        <v>0.2</v>
      </c>
      <c r="N21" s="63">
        <v>0.22</v>
      </c>
      <c r="O21" s="4">
        <f>N21</f>
        <v>0.22</v>
      </c>
      <c r="P21" s="4">
        <f t="shared" ref="P21:Z21" si="18">O21</f>
        <v>0.22</v>
      </c>
      <c r="Q21" s="4">
        <f t="shared" si="18"/>
        <v>0.22</v>
      </c>
      <c r="R21" s="4">
        <f t="shared" si="18"/>
        <v>0.22</v>
      </c>
      <c r="S21" s="4">
        <f t="shared" si="18"/>
        <v>0.22</v>
      </c>
      <c r="T21" s="4">
        <f t="shared" si="18"/>
        <v>0.22</v>
      </c>
      <c r="U21" s="4">
        <f t="shared" si="18"/>
        <v>0.22</v>
      </c>
      <c r="V21" s="4">
        <f t="shared" si="18"/>
        <v>0.22</v>
      </c>
      <c r="W21" s="4">
        <f t="shared" si="18"/>
        <v>0.22</v>
      </c>
      <c r="X21" s="4">
        <f t="shared" si="18"/>
        <v>0.22</v>
      </c>
      <c r="Y21" s="4">
        <f t="shared" si="18"/>
        <v>0.22</v>
      </c>
      <c r="Z21" s="4">
        <f t="shared" si="18"/>
        <v>0.22</v>
      </c>
    </row>
    <row r="22" spans="2:26" x14ac:dyDescent="0.25">
      <c r="B22" s="64" t="str">
        <f>SUBSTITUTE(_xlfn.CONCAT("Total Leads",B16),"2.","")</f>
        <v>Total Leads Google Display</v>
      </c>
      <c r="C22" s="65">
        <v>1</v>
      </c>
      <c r="D22" s="65">
        <v>19</v>
      </c>
      <c r="E22" s="65">
        <v>2</v>
      </c>
      <c r="F22" s="65">
        <v>5</v>
      </c>
      <c r="G22" s="65">
        <v>5</v>
      </c>
      <c r="H22" s="65">
        <v>6</v>
      </c>
      <c r="I22" s="65">
        <v>5</v>
      </c>
      <c r="J22" s="65">
        <v>11</v>
      </c>
      <c r="K22" s="65">
        <v>18</v>
      </c>
      <c r="L22" s="65">
        <v>16</v>
      </c>
      <c r="M22" s="65">
        <v>19</v>
      </c>
      <c r="N22" s="65">
        <v>11</v>
      </c>
      <c r="O22" s="2">
        <f>INT(O20*O21)</f>
        <v>12</v>
      </c>
      <c r="P22" s="2">
        <f t="shared" ref="P22:Z22" si="19">INT(P20*P21)</f>
        <v>12</v>
      </c>
      <c r="Q22" s="2">
        <f t="shared" si="19"/>
        <v>13</v>
      </c>
      <c r="R22" s="2">
        <f t="shared" si="19"/>
        <v>13</v>
      </c>
      <c r="S22" s="2">
        <f t="shared" si="19"/>
        <v>14</v>
      </c>
      <c r="T22" s="2">
        <f t="shared" si="19"/>
        <v>14</v>
      </c>
      <c r="U22" s="2">
        <f t="shared" si="19"/>
        <v>15</v>
      </c>
      <c r="V22" s="2">
        <f t="shared" si="19"/>
        <v>16</v>
      </c>
      <c r="W22" s="2">
        <f t="shared" si="19"/>
        <v>16</v>
      </c>
      <c r="X22" s="2">
        <f t="shared" si="19"/>
        <v>17</v>
      </c>
      <c r="Y22" s="2">
        <f t="shared" si="19"/>
        <v>18</v>
      </c>
      <c r="Z22" s="2">
        <f t="shared" si="19"/>
        <v>19</v>
      </c>
    </row>
    <row r="24" spans="2:26" x14ac:dyDescent="0.25">
      <c r="B24" s="48" t="s">
        <v>34</v>
      </c>
    </row>
    <row r="26" spans="2:26" x14ac:dyDescent="0.25">
      <c r="B26" s="66" t="s">
        <v>107</v>
      </c>
      <c r="C26" s="58" cm="1">
        <f t="array" ref="C26:N28">TRANSPOSE('Source- Trafego pago '!D37:F48)</f>
        <v>0</v>
      </c>
      <c r="D26" s="58">
        <v>41.929649999999995</v>
      </c>
      <c r="E26" s="58">
        <v>23.677920000000004</v>
      </c>
      <c r="F26" s="58">
        <v>59.899499999999996</v>
      </c>
      <c r="G26" s="58">
        <v>177.58440000000002</v>
      </c>
      <c r="H26" s="58">
        <v>47.567250000000008</v>
      </c>
      <c r="I26" s="58">
        <v>8.4564000000000021</v>
      </c>
      <c r="J26" s="58">
        <v>135.65475000000001</v>
      </c>
      <c r="K26" s="58">
        <v>81.040499999999994</v>
      </c>
      <c r="L26" s="58">
        <v>164.8998</v>
      </c>
      <c r="M26" s="58">
        <v>263.08800000000002</v>
      </c>
      <c r="N26" s="58">
        <v>172.65150000000003</v>
      </c>
      <c r="O26" s="59">
        <f>N26*Suposições!$C$41</f>
        <v>184.73710500000004</v>
      </c>
      <c r="P26" s="67">
        <f>O26*Suposições!$C$41</f>
        <v>197.66870235000005</v>
      </c>
      <c r="Q26" s="67">
        <f>P26*Suposições!$C$41</f>
        <v>211.50551151450006</v>
      </c>
      <c r="R26" s="67">
        <f>Q26*Suposições!$C$41</f>
        <v>226.31089732051507</v>
      </c>
      <c r="S26" s="67">
        <f>R26*Suposições!$C$41</f>
        <v>242.15266013295113</v>
      </c>
      <c r="T26" s="67">
        <f>S26*Suposições!$C$41</f>
        <v>259.10334634225774</v>
      </c>
      <c r="U26" s="67">
        <f>T26*Suposições!$C$41</f>
        <v>277.2405805862158</v>
      </c>
      <c r="V26" s="67">
        <f>U26*Suposições!$C$41</f>
        <v>296.6474212272509</v>
      </c>
      <c r="W26" s="67">
        <f>V26*Suposições!$C$41</f>
        <v>317.41274071315848</v>
      </c>
      <c r="X26" s="67">
        <f>W26*Suposições!$C$41</f>
        <v>339.63163256307962</v>
      </c>
      <c r="Y26" s="67">
        <f>X26*Suposições!$C$41</f>
        <v>363.40584684249524</v>
      </c>
      <c r="Z26" s="67">
        <f>Y26*Suposições!$C$41</f>
        <v>388.84425612146993</v>
      </c>
    </row>
    <row r="27" spans="2:26" x14ac:dyDescent="0.25">
      <c r="B27" s="66" t="s">
        <v>13</v>
      </c>
      <c r="C27" s="58">
        <v>0</v>
      </c>
      <c r="D27" s="58">
        <v>2.9949749999999997</v>
      </c>
      <c r="E27" s="58">
        <v>2.9597400000000005</v>
      </c>
      <c r="F27" s="58">
        <v>3.5234999999999999</v>
      </c>
      <c r="G27" s="58">
        <v>3.2886000000000002</v>
      </c>
      <c r="H27" s="58">
        <v>3.1711500000000004</v>
      </c>
      <c r="I27" s="58">
        <v>2.8188000000000004</v>
      </c>
      <c r="J27" s="58">
        <v>3.8758500000000002</v>
      </c>
      <c r="K27" s="58">
        <v>3.5234999999999999</v>
      </c>
      <c r="L27" s="58">
        <v>4.1224949999999998</v>
      </c>
      <c r="M27" s="58">
        <v>4.1107500000000003</v>
      </c>
      <c r="N27" s="58">
        <v>4.1107500000000003</v>
      </c>
      <c r="O27" s="59">
        <f>(Suposições!$C$38*O26)+Suposições!$C$39</f>
        <v>3.9001592355000003</v>
      </c>
      <c r="P27" s="67">
        <f>(Suposições!$C$38*P26)+Suposições!$C$39</f>
        <v>3.9661103819850005</v>
      </c>
      <c r="Q27" s="67">
        <f>(Suposições!$C$38*Q26)+Suposições!$C$39</f>
        <v>4.0366781087239509</v>
      </c>
      <c r="R27" s="67">
        <f>(Suposições!$C$38*R26)+Suposições!$C$39</f>
        <v>4.1121855763346273</v>
      </c>
      <c r="S27" s="67">
        <f>(Suposições!$C$38*S26)+Suposições!$C$39</f>
        <v>4.1929785666780512</v>
      </c>
      <c r="T27" s="67">
        <f>(Suposições!$C$38*T26)+Suposições!$C$39</f>
        <v>4.279427066345515</v>
      </c>
      <c r="U27" s="67">
        <f>(Suposições!$C$38*U26)+Suposições!$C$39</f>
        <v>4.3719269609897005</v>
      </c>
      <c r="V27" s="67">
        <f>(Suposições!$C$38*V26)+Suposições!$C$39</f>
        <v>4.47090184825898</v>
      </c>
      <c r="W27" s="67">
        <f>(Suposições!$C$38*W26)+Suposições!$C$39</f>
        <v>4.5768049776371083</v>
      </c>
      <c r="X27" s="67">
        <f>(Suposições!$C$38*X26)+Suposições!$C$39</f>
        <v>4.6901213260717061</v>
      </c>
      <c r="Y27" s="67">
        <f>(Suposições!$C$38*Y26)+Suposições!$C$39</f>
        <v>4.8113698188967255</v>
      </c>
      <c r="Z27" s="67">
        <f>(Suposições!$C$38*Z26)+Suposições!$C$39</f>
        <v>4.9411057062194974</v>
      </c>
    </row>
    <row r="28" spans="2:26" x14ac:dyDescent="0.25">
      <c r="B28" s="66" t="s">
        <v>14</v>
      </c>
      <c r="C28" s="61">
        <v>0</v>
      </c>
      <c r="D28" s="61">
        <v>14</v>
      </c>
      <c r="E28" s="61">
        <v>8</v>
      </c>
      <c r="F28" s="61">
        <v>17</v>
      </c>
      <c r="G28" s="61">
        <v>54</v>
      </c>
      <c r="H28" s="61">
        <v>15</v>
      </c>
      <c r="I28" s="61">
        <v>3</v>
      </c>
      <c r="J28" s="61">
        <v>35</v>
      </c>
      <c r="K28" s="61">
        <v>23</v>
      </c>
      <c r="L28" s="61">
        <v>40</v>
      </c>
      <c r="M28" s="61">
        <v>64</v>
      </c>
      <c r="N28" s="61">
        <v>42</v>
      </c>
      <c r="O28" s="68">
        <f>INT(O26/O27)</f>
        <v>47</v>
      </c>
      <c r="P28" s="68">
        <f t="shared" ref="P28:Z28" si="20">INT(P26/P27)</f>
        <v>49</v>
      </c>
      <c r="Q28" s="68">
        <f t="shared" si="20"/>
        <v>52</v>
      </c>
      <c r="R28" s="68">
        <f t="shared" si="20"/>
        <v>55</v>
      </c>
      <c r="S28" s="68">
        <f t="shared" si="20"/>
        <v>57</v>
      </c>
      <c r="T28" s="68">
        <f t="shared" si="20"/>
        <v>60</v>
      </c>
      <c r="U28" s="68">
        <f t="shared" si="20"/>
        <v>63</v>
      </c>
      <c r="V28" s="68">
        <f t="shared" si="20"/>
        <v>66</v>
      </c>
      <c r="W28" s="68">
        <f t="shared" si="20"/>
        <v>69</v>
      </c>
      <c r="X28" s="68">
        <f t="shared" si="20"/>
        <v>72</v>
      </c>
      <c r="Y28" s="68">
        <f t="shared" si="20"/>
        <v>75</v>
      </c>
      <c r="Z28" s="68">
        <f t="shared" si="20"/>
        <v>78</v>
      </c>
    </row>
    <row r="29" spans="2:26" x14ac:dyDescent="0.25">
      <c r="B29" s="66" t="s">
        <v>20</v>
      </c>
      <c r="C29" s="63" cm="1">
        <f t="array" ref="C29:N29">TRANSPOSE('Source- Trafego pago '!I37:I48)</f>
        <v>0.2</v>
      </c>
      <c r="D29" s="63">
        <v>0.21</v>
      </c>
      <c r="E29" s="63">
        <v>0.24</v>
      </c>
      <c r="F29" s="63">
        <v>0.23</v>
      </c>
      <c r="G29" s="63">
        <v>0.22</v>
      </c>
      <c r="H29" s="63">
        <v>0.2</v>
      </c>
      <c r="I29" s="63">
        <v>0.23</v>
      </c>
      <c r="J29" s="63">
        <v>0.21</v>
      </c>
      <c r="K29" s="63">
        <v>0.22</v>
      </c>
      <c r="L29" s="63">
        <v>0.21</v>
      </c>
      <c r="M29" s="63">
        <v>0.2</v>
      </c>
      <c r="N29" s="63">
        <v>0.22</v>
      </c>
      <c r="O29" s="69">
        <f>N29</f>
        <v>0.22</v>
      </c>
      <c r="P29" s="69">
        <f t="shared" ref="P29:Z29" si="21">O29</f>
        <v>0.22</v>
      </c>
      <c r="Q29" s="69">
        <f t="shared" si="21"/>
        <v>0.22</v>
      </c>
      <c r="R29" s="69">
        <f t="shared" si="21"/>
        <v>0.22</v>
      </c>
      <c r="S29" s="69">
        <f t="shared" si="21"/>
        <v>0.22</v>
      </c>
      <c r="T29" s="69">
        <f t="shared" si="21"/>
        <v>0.22</v>
      </c>
      <c r="U29" s="69">
        <f t="shared" si="21"/>
        <v>0.22</v>
      </c>
      <c r="V29" s="69">
        <f t="shared" si="21"/>
        <v>0.22</v>
      </c>
      <c r="W29" s="69">
        <f t="shared" si="21"/>
        <v>0.22</v>
      </c>
      <c r="X29" s="69">
        <f t="shared" si="21"/>
        <v>0.22</v>
      </c>
      <c r="Y29" s="69">
        <f t="shared" si="21"/>
        <v>0.22</v>
      </c>
      <c r="Z29" s="69">
        <f t="shared" si="21"/>
        <v>0.22</v>
      </c>
    </row>
    <row r="30" spans="2:26" x14ac:dyDescent="0.25">
      <c r="B30" s="66" t="str">
        <f>SUBSTITUTE(_xlfn.CONCAT("Total Leads",B24),"3.","")</f>
        <v>Total Leads Facebook</v>
      </c>
      <c r="C30" s="65">
        <v>0</v>
      </c>
      <c r="D30" s="65">
        <v>3</v>
      </c>
      <c r="E30" s="65">
        <v>2</v>
      </c>
      <c r="F30" s="65">
        <v>4</v>
      </c>
      <c r="G30" s="65">
        <v>11</v>
      </c>
      <c r="H30" s="65">
        <v>3</v>
      </c>
      <c r="I30" s="65">
        <v>1</v>
      </c>
      <c r="J30" s="65">
        <v>7</v>
      </c>
      <c r="K30" s="65">
        <v>5</v>
      </c>
      <c r="L30" s="65">
        <v>8</v>
      </c>
      <c r="M30" s="65">
        <v>12</v>
      </c>
      <c r="N30" s="65">
        <v>9</v>
      </c>
      <c r="O30" s="66">
        <f>INT(O28*O29)</f>
        <v>10</v>
      </c>
      <c r="P30" s="66">
        <f t="shared" ref="P30:Z30" si="22">INT(P28*P29)</f>
        <v>10</v>
      </c>
      <c r="Q30" s="66">
        <f t="shared" si="22"/>
        <v>11</v>
      </c>
      <c r="R30" s="66">
        <f t="shared" si="22"/>
        <v>12</v>
      </c>
      <c r="S30" s="66">
        <f t="shared" si="22"/>
        <v>12</v>
      </c>
      <c r="T30" s="66">
        <f t="shared" si="22"/>
        <v>13</v>
      </c>
      <c r="U30" s="66">
        <f t="shared" si="22"/>
        <v>13</v>
      </c>
      <c r="V30" s="66">
        <f t="shared" si="22"/>
        <v>14</v>
      </c>
      <c r="W30" s="66">
        <f t="shared" si="22"/>
        <v>15</v>
      </c>
      <c r="X30" s="66">
        <f t="shared" si="22"/>
        <v>15</v>
      </c>
      <c r="Y30" s="66">
        <f t="shared" si="22"/>
        <v>16</v>
      </c>
      <c r="Z30" s="66">
        <f t="shared" si="22"/>
        <v>17</v>
      </c>
    </row>
    <row r="32" spans="2:26" x14ac:dyDescent="0.25">
      <c r="B32" s="64" t="s">
        <v>35</v>
      </c>
      <c r="C32" s="60">
        <f>SUM(C10,C18,C26)</f>
        <v>10</v>
      </c>
      <c r="D32" s="60">
        <f t="shared" ref="D32:N32" si="23">SUM(D10,D18,D26)</f>
        <v>923.43914999999993</v>
      </c>
      <c r="E32" s="60">
        <f t="shared" si="23"/>
        <v>822.13991999999996</v>
      </c>
      <c r="F32" s="60">
        <f t="shared" si="23"/>
        <v>908.89949999999999</v>
      </c>
      <c r="G32" s="60">
        <f t="shared" si="23"/>
        <v>1435.6243999999999</v>
      </c>
      <c r="H32" s="60">
        <f t="shared" si="23"/>
        <v>1019.1892500000001</v>
      </c>
      <c r="I32" s="60">
        <f t="shared" si="23"/>
        <v>401.60040000000004</v>
      </c>
      <c r="J32" s="60">
        <f t="shared" si="23"/>
        <v>2829.2797500000001</v>
      </c>
      <c r="K32" s="60">
        <f t="shared" si="23"/>
        <v>3059.0504999999998</v>
      </c>
      <c r="L32" s="60">
        <f t="shared" si="23"/>
        <v>4568.6511</v>
      </c>
      <c r="M32" s="60">
        <f t="shared" si="23"/>
        <v>5099.2829999999994</v>
      </c>
      <c r="N32" s="60">
        <f t="shared" si="23"/>
        <v>4344.5115000000005</v>
      </c>
      <c r="O32" s="60">
        <f t="shared" ref="O32:Z32" si="24">SUM(O10,O18,O26)</f>
        <v>4565.1901050000006</v>
      </c>
      <c r="P32" s="60">
        <f t="shared" si="24"/>
        <v>4797.1443523500011</v>
      </c>
      <c r="Q32" s="60">
        <f t="shared" si="24"/>
        <v>5040.9549440145001</v>
      </c>
      <c r="R32" s="60">
        <f t="shared" si="24"/>
        <v>5297.2328014455161</v>
      </c>
      <c r="S32" s="60">
        <f t="shared" si="24"/>
        <v>5566.6206594642026</v>
      </c>
      <c r="T32" s="60">
        <f t="shared" si="24"/>
        <v>5849.7947456400707</v>
      </c>
      <c r="U32" s="60">
        <f t="shared" si="24"/>
        <v>6147.4665498489203</v>
      </c>
      <c r="V32" s="60">
        <f t="shared" si="24"/>
        <v>6460.3846889530905</v>
      </c>
      <c r="W32" s="60">
        <f t="shared" si="24"/>
        <v>6789.3368718252905</v>
      </c>
      <c r="X32" s="60">
        <f t="shared" si="24"/>
        <v>7135.1519702308187</v>
      </c>
      <c r="Y32" s="60">
        <f t="shared" si="24"/>
        <v>7498.7022013936212</v>
      </c>
      <c r="Z32" s="60">
        <f t="shared" si="24"/>
        <v>7880.9054284001522</v>
      </c>
    </row>
    <row r="33" spans="2:26" x14ac:dyDescent="0.25">
      <c r="B33" s="64" t="s">
        <v>36</v>
      </c>
      <c r="C33" s="70">
        <f>SUM(C14,C22,C30)</f>
        <v>1</v>
      </c>
      <c r="D33" s="70">
        <f t="shared" ref="D33:N33" si="25">SUM(D14,D22,D30)</f>
        <v>78</v>
      </c>
      <c r="E33" s="70">
        <f t="shared" si="25"/>
        <v>83</v>
      </c>
      <c r="F33" s="70">
        <f t="shared" si="25"/>
        <v>73</v>
      </c>
      <c r="G33" s="70">
        <f t="shared" si="25"/>
        <v>116</v>
      </c>
      <c r="H33" s="70">
        <f t="shared" si="25"/>
        <v>79</v>
      </c>
      <c r="I33" s="70">
        <f t="shared" si="25"/>
        <v>41</v>
      </c>
      <c r="J33" s="70">
        <f t="shared" si="25"/>
        <v>188</v>
      </c>
      <c r="K33" s="70">
        <f t="shared" si="25"/>
        <v>235</v>
      </c>
      <c r="L33" s="70">
        <f t="shared" si="25"/>
        <v>286</v>
      </c>
      <c r="M33" s="70">
        <f t="shared" si="25"/>
        <v>303</v>
      </c>
      <c r="N33" s="70">
        <f t="shared" si="25"/>
        <v>286</v>
      </c>
      <c r="O33" s="70">
        <f t="shared" ref="O33:Z33" si="26">SUM(O14,O22,O30)</f>
        <v>320</v>
      </c>
      <c r="P33" s="70">
        <f t="shared" si="26"/>
        <v>332</v>
      </c>
      <c r="Q33" s="70">
        <f t="shared" si="26"/>
        <v>347</v>
      </c>
      <c r="R33" s="70">
        <f t="shared" si="26"/>
        <v>360</v>
      </c>
      <c r="S33" s="70">
        <f t="shared" si="26"/>
        <v>375</v>
      </c>
      <c r="T33" s="70">
        <f t="shared" si="26"/>
        <v>390</v>
      </c>
      <c r="U33" s="70">
        <f t="shared" si="26"/>
        <v>405</v>
      </c>
      <c r="V33" s="70">
        <f t="shared" si="26"/>
        <v>422</v>
      </c>
      <c r="W33" s="70">
        <f t="shared" si="26"/>
        <v>439</v>
      </c>
      <c r="X33" s="70">
        <f t="shared" si="26"/>
        <v>456</v>
      </c>
      <c r="Y33" s="70">
        <f t="shared" si="26"/>
        <v>475</v>
      </c>
      <c r="Z33" s="70">
        <f t="shared" si="26"/>
        <v>494</v>
      </c>
    </row>
  </sheetData>
  <hyperlinks>
    <hyperlink ref="B2" location="'Capa '!A1" display="Voltar para o menu"/>
  </hyperlink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topLeftCell="A20" workbookViewId="0">
      <selection activeCell="M22" sqref="M22"/>
    </sheetView>
  </sheetViews>
  <sheetFormatPr defaultColWidth="11" defaultRowHeight="15.75" x14ac:dyDescent="0.25"/>
  <cols>
    <col min="2" max="3" width="15.125" customWidth="1"/>
    <col min="4" max="10" width="18.375" customWidth="1"/>
    <col min="11" max="11" width="17" hidden="1" customWidth="1"/>
    <col min="12" max="12" width="15.125" customWidth="1"/>
    <col min="13" max="13" width="13.625" customWidth="1"/>
    <col min="14" max="14" width="15.5" customWidth="1"/>
    <col min="15" max="15" width="11.875" customWidth="1"/>
    <col min="16" max="16" width="13.125" customWidth="1"/>
  </cols>
  <sheetData>
    <row r="2" spans="2:11" x14ac:dyDescent="0.25">
      <c r="B2" s="5" t="s">
        <v>25</v>
      </c>
    </row>
    <row r="3" spans="2:11" x14ac:dyDescent="0.25">
      <c r="B3" s="2" t="s">
        <v>12</v>
      </c>
      <c r="C3" s="2" t="s">
        <v>22</v>
      </c>
      <c r="D3" s="2" t="s">
        <v>15</v>
      </c>
      <c r="E3" s="2" t="s">
        <v>13</v>
      </c>
      <c r="F3" s="2" t="s">
        <v>14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29</v>
      </c>
    </row>
    <row r="4" spans="2:11" x14ac:dyDescent="0.25">
      <c r="B4" s="2" t="s">
        <v>0</v>
      </c>
      <c r="C4" s="2" t="s">
        <v>23</v>
      </c>
      <c r="D4" s="3">
        <f t="shared" ref="D4:D15" si="0">E4*F4</f>
        <v>0</v>
      </c>
      <c r="E4" s="3">
        <v>0</v>
      </c>
      <c r="F4" s="2">
        <f t="shared" ref="F4:F15" si="1">INT(G4/0.85)</f>
        <v>0</v>
      </c>
      <c r="G4" s="2">
        <f>INT(0.92*H4)</f>
        <v>0</v>
      </c>
      <c r="H4" s="2">
        <f>INT(K4/I4)</f>
        <v>0</v>
      </c>
      <c r="I4" s="4">
        <v>0.2</v>
      </c>
      <c r="J4" s="11">
        <f>INT(K4*1.05)</f>
        <v>0</v>
      </c>
      <c r="K4" s="2">
        <v>0</v>
      </c>
    </row>
    <row r="5" spans="2:11" x14ac:dyDescent="0.25">
      <c r="B5" s="2" t="s">
        <v>1</v>
      </c>
      <c r="C5" s="2" t="s">
        <v>23</v>
      </c>
      <c r="D5" s="3">
        <f t="shared" si="0"/>
        <v>636.70949999999993</v>
      </c>
      <c r="E5" s="3">
        <f>E22*0.87</f>
        <v>2.2184999999999997</v>
      </c>
      <c r="F5" s="2">
        <f t="shared" si="1"/>
        <v>287</v>
      </c>
      <c r="G5" s="2">
        <f t="shared" ref="G5:G15" si="2">INT(0.92*H5)</f>
        <v>244</v>
      </c>
      <c r="H5" s="2">
        <f t="shared" ref="H5:H15" si="3">INT(K5/I5)</f>
        <v>266</v>
      </c>
      <c r="I5" s="4">
        <v>0.21</v>
      </c>
      <c r="J5" s="11">
        <f t="shared" ref="J5:J15" si="4">INT(K5*1.05)</f>
        <v>58</v>
      </c>
      <c r="K5" s="10">
        <v>56</v>
      </c>
    </row>
    <row r="6" spans="2:11" x14ac:dyDescent="0.25">
      <c r="B6" s="2" t="s">
        <v>2</v>
      </c>
      <c r="C6" s="2" t="s">
        <v>23</v>
      </c>
      <c r="D6" s="3">
        <f t="shared" si="0"/>
        <v>778.30200000000002</v>
      </c>
      <c r="E6" s="3">
        <f t="shared" ref="E6:E15" si="5">E23*0.87</f>
        <v>2.1924000000000001</v>
      </c>
      <c r="F6" s="2">
        <f t="shared" si="1"/>
        <v>355</v>
      </c>
      <c r="G6" s="2">
        <f t="shared" si="2"/>
        <v>302</v>
      </c>
      <c r="H6" s="2">
        <f t="shared" si="3"/>
        <v>329</v>
      </c>
      <c r="I6" s="4">
        <v>0.24</v>
      </c>
      <c r="J6" s="11">
        <f t="shared" si="4"/>
        <v>82</v>
      </c>
      <c r="K6" s="10">
        <v>79</v>
      </c>
    </row>
    <row r="7" spans="2:11" x14ac:dyDescent="0.25">
      <c r="B7" s="2" t="s">
        <v>3</v>
      </c>
      <c r="C7" s="2" t="s">
        <v>23</v>
      </c>
      <c r="D7" s="3">
        <f t="shared" si="0"/>
        <v>783</v>
      </c>
      <c r="E7" s="3">
        <f t="shared" si="5"/>
        <v>2.61</v>
      </c>
      <c r="F7" s="2">
        <f t="shared" si="1"/>
        <v>300</v>
      </c>
      <c r="G7" s="2">
        <f t="shared" si="2"/>
        <v>255</v>
      </c>
      <c r="H7" s="2">
        <f t="shared" si="3"/>
        <v>278</v>
      </c>
      <c r="I7" s="4">
        <v>0.23</v>
      </c>
      <c r="J7" s="11">
        <f t="shared" si="4"/>
        <v>67</v>
      </c>
      <c r="K7" s="10">
        <v>64</v>
      </c>
    </row>
    <row r="8" spans="2:11" x14ac:dyDescent="0.25">
      <c r="B8" s="2" t="s">
        <v>4</v>
      </c>
      <c r="C8" s="2" t="s">
        <v>23</v>
      </c>
      <c r="D8" s="3">
        <f t="shared" si="0"/>
        <v>1193.6399999999999</v>
      </c>
      <c r="E8" s="3">
        <f t="shared" si="5"/>
        <v>2.4359999999999999</v>
      </c>
      <c r="F8" s="2">
        <f t="shared" si="1"/>
        <v>490</v>
      </c>
      <c r="G8" s="2">
        <f t="shared" si="2"/>
        <v>417</v>
      </c>
      <c r="H8" s="2">
        <f t="shared" si="3"/>
        <v>454</v>
      </c>
      <c r="I8" s="4">
        <v>0.22</v>
      </c>
      <c r="J8" s="11">
        <f t="shared" si="4"/>
        <v>105</v>
      </c>
      <c r="K8" s="10">
        <v>100</v>
      </c>
    </row>
    <row r="9" spans="2:11" x14ac:dyDescent="0.25">
      <c r="B9" s="2" t="s">
        <v>5</v>
      </c>
      <c r="C9" s="2" t="s">
        <v>23</v>
      </c>
      <c r="D9" s="3">
        <f t="shared" si="0"/>
        <v>887.92200000000003</v>
      </c>
      <c r="E9" s="3">
        <f t="shared" si="5"/>
        <v>2.3490000000000002</v>
      </c>
      <c r="F9" s="2">
        <f t="shared" si="1"/>
        <v>378</v>
      </c>
      <c r="G9" s="2">
        <f t="shared" si="2"/>
        <v>322</v>
      </c>
      <c r="H9" s="2">
        <f t="shared" si="3"/>
        <v>350</v>
      </c>
      <c r="I9" s="4">
        <v>0.2</v>
      </c>
      <c r="J9" s="11">
        <f t="shared" si="4"/>
        <v>73</v>
      </c>
      <c r="K9" s="10">
        <v>70</v>
      </c>
    </row>
    <row r="10" spans="2:11" x14ac:dyDescent="0.25">
      <c r="B10" s="2" t="s">
        <v>6</v>
      </c>
      <c r="C10" s="2" t="s">
        <v>23</v>
      </c>
      <c r="D10" s="3">
        <f t="shared" si="0"/>
        <v>340.34399999999999</v>
      </c>
      <c r="E10" s="3">
        <f t="shared" si="5"/>
        <v>2.0880000000000001</v>
      </c>
      <c r="F10" s="2">
        <f t="shared" si="1"/>
        <v>163</v>
      </c>
      <c r="G10" s="2">
        <f t="shared" si="2"/>
        <v>139</v>
      </c>
      <c r="H10" s="2">
        <f t="shared" si="3"/>
        <v>152</v>
      </c>
      <c r="I10" s="4">
        <v>0.23</v>
      </c>
      <c r="J10" s="11">
        <f t="shared" si="4"/>
        <v>36</v>
      </c>
      <c r="K10" s="10">
        <v>35</v>
      </c>
    </row>
    <row r="11" spans="2:11" x14ac:dyDescent="0.25">
      <c r="B11" s="2" t="s">
        <v>7</v>
      </c>
      <c r="C11" s="2" t="s">
        <v>23</v>
      </c>
      <c r="D11" s="3">
        <f t="shared" si="0"/>
        <v>2512.125</v>
      </c>
      <c r="E11" s="3">
        <f t="shared" si="5"/>
        <v>2.871</v>
      </c>
      <c r="F11" s="2">
        <f t="shared" si="1"/>
        <v>875</v>
      </c>
      <c r="G11" s="2">
        <f t="shared" si="2"/>
        <v>744</v>
      </c>
      <c r="H11" s="2">
        <f t="shared" si="3"/>
        <v>809</v>
      </c>
      <c r="I11" s="4">
        <v>0.21</v>
      </c>
      <c r="J11" s="11">
        <f t="shared" si="4"/>
        <v>178</v>
      </c>
      <c r="K11" s="10">
        <v>170</v>
      </c>
    </row>
    <row r="12" spans="2:11" x14ac:dyDescent="0.25">
      <c r="B12" s="2" t="s">
        <v>8</v>
      </c>
      <c r="C12" s="2" t="s">
        <v>23</v>
      </c>
      <c r="D12" s="3">
        <f t="shared" si="0"/>
        <v>2717.0099999999998</v>
      </c>
      <c r="E12" s="3">
        <f t="shared" si="5"/>
        <v>2.61</v>
      </c>
      <c r="F12" s="2">
        <f t="shared" si="1"/>
        <v>1041</v>
      </c>
      <c r="G12" s="2">
        <f t="shared" si="2"/>
        <v>885</v>
      </c>
      <c r="H12" s="2">
        <f t="shared" si="3"/>
        <v>963</v>
      </c>
      <c r="I12" s="4">
        <v>0.22</v>
      </c>
      <c r="J12" s="11">
        <f t="shared" si="4"/>
        <v>222</v>
      </c>
      <c r="K12" s="10">
        <v>212</v>
      </c>
    </row>
    <row r="13" spans="2:11" x14ac:dyDescent="0.25">
      <c r="B13" s="2" t="s">
        <v>9</v>
      </c>
      <c r="C13" s="2" t="s">
        <v>23</v>
      </c>
      <c r="D13" s="3">
        <f t="shared" si="0"/>
        <v>4119.4412999999995</v>
      </c>
      <c r="E13" s="3">
        <f t="shared" si="5"/>
        <v>3.0536999999999996</v>
      </c>
      <c r="F13" s="2">
        <f t="shared" si="1"/>
        <v>1349</v>
      </c>
      <c r="G13" s="2">
        <f t="shared" si="2"/>
        <v>1147</v>
      </c>
      <c r="H13" s="2">
        <f t="shared" si="3"/>
        <v>1247</v>
      </c>
      <c r="I13" s="4">
        <v>0.21</v>
      </c>
      <c r="J13" s="11">
        <f t="shared" si="4"/>
        <v>275</v>
      </c>
      <c r="K13" s="10">
        <v>262</v>
      </c>
    </row>
    <row r="14" spans="2:11" x14ac:dyDescent="0.25">
      <c r="B14" s="2" t="s">
        <v>10</v>
      </c>
      <c r="C14" s="2" t="s">
        <v>23</v>
      </c>
      <c r="D14" s="3">
        <f t="shared" si="0"/>
        <v>4479.1949999999997</v>
      </c>
      <c r="E14" s="3">
        <f t="shared" si="5"/>
        <v>3.0449999999999999</v>
      </c>
      <c r="F14" s="2">
        <f t="shared" si="1"/>
        <v>1471</v>
      </c>
      <c r="G14" s="2">
        <f t="shared" si="2"/>
        <v>1251</v>
      </c>
      <c r="H14" s="2">
        <f t="shared" si="3"/>
        <v>1360</v>
      </c>
      <c r="I14" s="4">
        <v>0.2</v>
      </c>
      <c r="J14" s="11">
        <f t="shared" si="4"/>
        <v>285</v>
      </c>
      <c r="K14" s="10">
        <v>272</v>
      </c>
    </row>
    <row r="15" spans="2:11" x14ac:dyDescent="0.25">
      <c r="B15" s="2" t="s">
        <v>11</v>
      </c>
      <c r="C15" s="2" t="s">
        <v>23</v>
      </c>
      <c r="D15" s="3">
        <f t="shared" si="0"/>
        <v>3982.86</v>
      </c>
      <c r="E15" s="3">
        <f t="shared" si="5"/>
        <v>3.0449999999999999</v>
      </c>
      <c r="F15" s="2">
        <f t="shared" si="1"/>
        <v>1308</v>
      </c>
      <c r="G15" s="2">
        <f t="shared" si="2"/>
        <v>1112</v>
      </c>
      <c r="H15" s="2">
        <f t="shared" si="3"/>
        <v>1209</v>
      </c>
      <c r="I15" s="4">
        <v>0.22</v>
      </c>
      <c r="J15" s="11">
        <f t="shared" si="4"/>
        <v>279</v>
      </c>
      <c r="K15" s="10">
        <v>266</v>
      </c>
    </row>
    <row r="19" spans="2:16" x14ac:dyDescent="0.25">
      <c r="B19" s="5" t="s">
        <v>26</v>
      </c>
    </row>
    <row r="20" spans="2:16" x14ac:dyDescent="0.25">
      <c r="B20" s="2" t="s">
        <v>12</v>
      </c>
      <c r="C20" s="2" t="s">
        <v>22</v>
      </c>
      <c r="D20" s="2" t="s">
        <v>15</v>
      </c>
      <c r="E20" s="2" t="s">
        <v>13</v>
      </c>
      <c r="F20" s="2" t="s">
        <v>14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29</v>
      </c>
    </row>
    <row r="21" spans="2:16" x14ac:dyDescent="0.25">
      <c r="B21" s="8" t="s">
        <v>0</v>
      </c>
      <c r="C21" s="2" t="s">
        <v>24</v>
      </c>
      <c r="D21" s="3">
        <f t="shared" ref="D21:D32" si="6">E21*F21</f>
        <v>10</v>
      </c>
      <c r="E21" s="3">
        <v>2.5</v>
      </c>
      <c r="F21" s="2">
        <f t="shared" ref="F21:F32" si="7">INT(G21/0.85)</f>
        <v>4</v>
      </c>
      <c r="G21" s="2">
        <f>INT(0.92*H21)</f>
        <v>4</v>
      </c>
      <c r="H21" s="2">
        <f>INT(K21/I21)</f>
        <v>5</v>
      </c>
      <c r="I21" s="4">
        <v>0.2</v>
      </c>
      <c r="J21" s="11">
        <f>INT(K21*1.05)</f>
        <v>1</v>
      </c>
      <c r="K21" s="2">
        <v>1</v>
      </c>
      <c r="N21" s="13"/>
    </row>
    <row r="22" spans="2:16" x14ac:dyDescent="0.25">
      <c r="B22" s="8" t="s">
        <v>1</v>
      </c>
      <c r="C22" s="2" t="s">
        <v>24</v>
      </c>
      <c r="D22" s="3">
        <f t="shared" si="6"/>
        <v>244.79999999999998</v>
      </c>
      <c r="E22" s="3">
        <v>2.5499999999999998</v>
      </c>
      <c r="F22" s="2">
        <f t="shared" si="7"/>
        <v>96</v>
      </c>
      <c r="G22" s="2">
        <f t="shared" ref="G22:G32" si="8">INT(0.92*H22)</f>
        <v>82</v>
      </c>
      <c r="H22" s="2">
        <f t="shared" ref="H22:H32" si="9">INT(K22/I22)</f>
        <v>90</v>
      </c>
      <c r="I22" s="4">
        <v>0.21</v>
      </c>
      <c r="J22" s="11">
        <f t="shared" ref="J22:J32" si="10">INT(K22*1.05)</f>
        <v>19</v>
      </c>
      <c r="K22" s="2">
        <v>19</v>
      </c>
    </row>
    <row r="23" spans="2:16" x14ac:dyDescent="0.25">
      <c r="B23" s="8" t="s">
        <v>2</v>
      </c>
      <c r="C23" s="2" t="s">
        <v>24</v>
      </c>
      <c r="D23" s="3">
        <f t="shared" si="6"/>
        <v>20.16</v>
      </c>
      <c r="E23" s="3">
        <v>2.52</v>
      </c>
      <c r="F23" s="2">
        <f t="shared" si="7"/>
        <v>8</v>
      </c>
      <c r="G23" s="2">
        <f t="shared" si="8"/>
        <v>7</v>
      </c>
      <c r="H23" s="2">
        <f t="shared" si="9"/>
        <v>8</v>
      </c>
      <c r="I23" s="4">
        <v>0.24</v>
      </c>
      <c r="J23" s="11">
        <f t="shared" si="10"/>
        <v>2</v>
      </c>
      <c r="K23" s="2">
        <v>2</v>
      </c>
      <c r="M23" s="1"/>
      <c r="N23" s="1"/>
      <c r="O23" s="13"/>
      <c r="P23" s="1"/>
    </row>
    <row r="24" spans="2:16" x14ac:dyDescent="0.25">
      <c r="B24" s="8" t="s">
        <v>3</v>
      </c>
      <c r="C24" s="2" t="s">
        <v>24</v>
      </c>
      <c r="D24" s="3">
        <f t="shared" si="6"/>
        <v>66</v>
      </c>
      <c r="E24" s="3">
        <v>3</v>
      </c>
      <c r="F24" s="2">
        <f t="shared" si="7"/>
        <v>22</v>
      </c>
      <c r="G24" s="2">
        <f t="shared" si="8"/>
        <v>19</v>
      </c>
      <c r="H24" s="2">
        <f t="shared" si="9"/>
        <v>21</v>
      </c>
      <c r="I24" s="4">
        <v>0.23</v>
      </c>
      <c r="J24" s="11">
        <f t="shared" si="10"/>
        <v>5</v>
      </c>
      <c r="K24" s="2">
        <v>5</v>
      </c>
      <c r="M24" s="1"/>
      <c r="N24" s="1"/>
      <c r="O24" s="13"/>
      <c r="P24" s="1"/>
    </row>
    <row r="25" spans="2:16" x14ac:dyDescent="0.25">
      <c r="B25" s="8" t="s">
        <v>4</v>
      </c>
      <c r="C25" s="2" t="s">
        <v>24</v>
      </c>
      <c r="D25" s="3">
        <f t="shared" si="6"/>
        <v>64.399999999999991</v>
      </c>
      <c r="E25" s="3">
        <v>2.8</v>
      </c>
      <c r="F25" s="2">
        <f t="shared" si="7"/>
        <v>23</v>
      </c>
      <c r="G25" s="2">
        <f t="shared" si="8"/>
        <v>20</v>
      </c>
      <c r="H25" s="2">
        <f t="shared" si="9"/>
        <v>22</v>
      </c>
      <c r="I25" s="4">
        <v>0.22</v>
      </c>
      <c r="J25" s="11">
        <f t="shared" si="10"/>
        <v>5</v>
      </c>
      <c r="K25" s="2">
        <v>5</v>
      </c>
      <c r="M25" s="1"/>
      <c r="N25" s="1"/>
      <c r="O25" s="13"/>
      <c r="P25" s="1"/>
    </row>
    <row r="26" spans="2:16" x14ac:dyDescent="0.25">
      <c r="B26" s="8" t="s">
        <v>5</v>
      </c>
      <c r="C26" s="2" t="s">
        <v>24</v>
      </c>
      <c r="D26" s="3">
        <f t="shared" si="6"/>
        <v>83.7</v>
      </c>
      <c r="E26" s="3">
        <v>2.7</v>
      </c>
      <c r="F26" s="2">
        <f t="shared" si="7"/>
        <v>31</v>
      </c>
      <c r="G26" s="2">
        <f t="shared" si="8"/>
        <v>27</v>
      </c>
      <c r="H26" s="2">
        <f t="shared" si="9"/>
        <v>30</v>
      </c>
      <c r="I26" s="4">
        <v>0.2</v>
      </c>
      <c r="J26" s="11">
        <f t="shared" si="10"/>
        <v>6</v>
      </c>
      <c r="K26" s="2">
        <v>6</v>
      </c>
      <c r="M26" s="1"/>
      <c r="N26" s="1"/>
      <c r="O26" s="13"/>
      <c r="P26" s="1"/>
    </row>
    <row r="27" spans="2:16" x14ac:dyDescent="0.25">
      <c r="B27" s="8" t="s">
        <v>6</v>
      </c>
      <c r="C27" s="2" t="s">
        <v>24</v>
      </c>
      <c r="D27" s="3">
        <f t="shared" si="6"/>
        <v>52.8</v>
      </c>
      <c r="E27" s="3">
        <v>2.4</v>
      </c>
      <c r="F27" s="2">
        <f t="shared" si="7"/>
        <v>22</v>
      </c>
      <c r="G27" s="2">
        <f t="shared" si="8"/>
        <v>19</v>
      </c>
      <c r="H27" s="2">
        <f t="shared" si="9"/>
        <v>21</v>
      </c>
      <c r="I27" s="4">
        <v>0.23</v>
      </c>
      <c r="J27" s="11">
        <f t="shared" si="10"/>
        <v>5</v>
      </c>
      <c r="K27" s="2">
        <v>5</v>
      </c>
      <c r="M27" s="1"/>
    </row>
    <row r="28" spans="2:16" x14ac:dyDescent="0.25">
      <c r="B28" s="8" t="s">
        <v>7</v>
      </c>
      <c r="C28" s="2" t="s">
        <v>24</v>
      </c>
      <c r="D28" s="3">
        <f t="shared" si="6"/>
        <v>181.5</v>
      </c>
      <c r="E28" s="3">
        <v>3.3</v>
      </c>
      <c r="F28" s="2">
        <f t="shared" si="7"/>
        <v>55</v>
      </c>
      <c r="G28" s="2">
        <f t="shared" si="8"/>
        <v>47</v>
      </c>
      <c r="H28" s="2">
        <f t="shared" si="9"/>
        <v>52</v>
      </c>
      <c r="I28" s="4">
        <v>0.21</v>
      </c>
      <c r="J28" s="11">
        <f t="shared" si="10"/>
        <v>11</v>
      </c>
      <c r="K28" s="2">
        <v>11</v>
      </c>
    </row>
    <row r="29" spans="2:16" x14ac:dyDescent="0.25">
      <c r="B29" s="8" t="s">
        <v>8</v>
      </c>
      <c r="C29" s="2" t="s">
        <v>24</v>
      </c>
      <c r="D29" s="3">
        <f t="shared" si="6"/>
        <v>261</v>
      </c>
      <c r="E29" s="3">
        <v>3</v>
      </c>
      <c r="F29" s="2">
        <f t="shared" si="7"/>
        <v>87</v>
      </c>
      <c r="G29" s="2">
        <f t="shared" si="8"/>
        <v>74</v>
      </c>
      <c r="H29" s="2">
        <f t="shared" si="9"/>
        <v>81</v>
      </c>
      <c r="I29" s="4">
        <v>0.22</v>
      </c>
      <c r="J29" s="11">
        <f t="shared" si="10"/>
        <v>18</v>
      </c>
      <c r="K29" s="2">
        <v>18</v>
      </c>
    </row>
    <row r="30" spans="2:16" x14ac:dyDescent="0.25">
      <c r="B30" s="8" t="s">
        <v>9</v>
      </c>
      <c r="C30" s="2" t="s">
        <v>24</v>
      </c>
      <c r="D30" s="3">
        <f t="shared" si="6"/>
        <v>284.31</v>
      </c>
      <c r="E30" s="3">
        <v>3.51</v>
      </c>
      <c r="F30" s="2">
        <f t="shared" si="7"/>
        <v>81</v>
      </c>
      <c r="G30" s="2">
        <f t="shared" si="8"/>
        <v>69</v>
      </c>
      <c r="H30" s="2">
        <f t="shared" si="9"/>
        <v>76</v>
      </c>
      <c r="I30" s="4">
        <v>0.21</v>
      </c>
      <c r="J30" s="11">
        <f t="shared" si="10"/>
        <v>16</v>
      </c>
      <c r="K30" s="2">
        <v>16</v>
      </c>
    </row>
    <row r="31" spans="2:16" x14ac:dyDescent="0.25">
      <c r="B31" s="8" t="s">
        <v>10</v>
      </c>
      <c r="C31" s="2" t="s">
        <v>24</v>
      </c>
      <c r="D31" s="3">
        <f t="shared" si="6"/>
        <v>357</v>
      </c>
      <c r="E31" s="3">
        <v>3.5</v>
      </c>
      <c r="F31" s="2">
        <f t="shared" si="7"/>
        <v>102</v>
      </c>
      <c r="G31" s="2">
        <f t="shared" si="8"/>
        <v>87</v>
      </c>
      <c r="H31" s="2">
        <f t="shared" si="9"/>
        <v>95</v>
      </c>
      <c r="I31" s="4">
        <v>0.2</v>
      </c>
      <c r="J31" s="11">
        <f t="shared" si="10"/>
        <v>19</v>
      </c>
      <c r="K31" s="2">
        <v>19</v>
      </c>
    </row>
    <row r="32" spans="2:16" x14ac:dyDescent="0.25">
      <c r="B32" s="8" t="s">
        <v>11</v>
      </c>
      <c r="C32" s="2" t="s">
        <v>24</v>
      </c>
      <c r="D32" s="3">
        <f t="shared" si="6"/>
        <v>189</v>
      </c>
      <c r="E32" s="3">
        <v>3.5</v>
      </c>
      <c r="F32" s="2">
        <f t="shared" si="7"/>
        <v>54</v>
      </c>
      <c r="G32" s="2">
        <f t="shared" si="8"/>
        <v>46</v>
      </c>
      <c r="H32" s="2">
        <f t="shared" si="9"/>
        <v>50</v>
      </c>
      <c r="I32" s="4">
        <v>0.22</v>
      </c>
      <c r="J32" s="11">
        <f t="shared" si="10"/>
        <v>11</v>
      </c>
      <c r="K32" s="2">
        <v>11</v>
      </c>
    </row>
    <row r="35" spans="2:11" x14ac:dyDescent="0.25">
      <c r="B35" s="12" t="s">
        <v>27</v>
      </c>
    </row>
    <row r="36" spans="2:11" x14ac:dyDescent="0.25">
      <c r="B36" s="2" t="s">
        <v>12</v>
      </c>
      <c r="C36" s="2" t="s">
        <v>22</v>
      </c>
      <c r="D36" s="2" t="s">
        <v>15</v>
      </c>
      <c r="E36" s="2" t="s">
        <v>13</v>
      </c>
      <c r="F36" s="2" t="s">
        <v>14</v>
      </c>
      <c r="G36" s="2" t="s">
        <v>16</v>
      </c>
      <c r="H36" s="2" t="s">
        <v>17</v>
      </c>
      <c r="I36" s="2" t="s">
        <v>18</v>
      </c>
      <c r="J36" s="2" t="s">
        <v>19</v>
      </c>
      <c r="K36" s="2" t="s">
        <v>29</v>
      </c>
    </row>
    <row r="37" spans="2:11" x14ac:dyDescent="0.25">
      <c r="B37" s="8" t="s">
        <v>0</v>
      </c>
      <c r="C37" s="2" t="s">
        <v>28</v>
      </c>
      <c r="D37" s="3">
        <f t="shared" ref="D37:D48" si="11">E37*F37</f>
        <v>0</v>
      </c>
      <c r="E37" s="3">
        <f>E4*1.35</f>
        <v>0</v>
      </c>
      <c r="F37" s="2">
        <f t="shared" ref="F37:F48" si="12">INT(G37/0.85)</f>
        <v>0</v>
      </c>
      <c r="G37" s="2">
        <f>INT(0.92*H37)</f>
        <v>0</v>
      </c>
      <c r="H37" s="2">
        <f>INT(K37/I37)</f>
        <v>0</v>
      </c>
      <c r="I37" s="4">
        <v>0.2</v>
      </c>
      <c r="J37" s="11">
        <f>INT(K37*1.05)</f>
        <v>0</v>
      </c>
      <c r="K37" s="2">
        <v>0</v>
      </c>
    </row>
    <row r="38" spans="2:11" x14ac:dyDescent="0.25">
      <c r="B38" s="8" t="s">
        <v>1</v>
      </c>
      <c r="C38" s="2" t="s">
        <v>28</v>
      </c>
      <c r="D38" s="3">
        <f t="shared" si="11"/>
        <v>41.929649999999995</v>
      </c>
      <c r="E38" s="3">
        <f t="shared" ref="E38:E48" si="13">E5*1.35</f>
        <v>2.9949749999999997</v>
      </c>
      <c r="F38" s="2">
        <f t="shared" si="12"/>
        <v>14</v>
      </c>
      <c r="G38" s="2">
        <f t="shared" ref="G38:G48" si="14">INT(0.92*H38)</f>
        <v>12</v>
      </c>
      <c r="H38" s="2">
        <f t="shared" ref="H38:H48" si="15">INT(K38/I38)</f>
        <v>14</v>
      </c>
      <c r="I38" s="4">
        <v>0.21</v>
      </c>
      <c r="J38" s="11">
        <f t="shared" ref="J38:J48" si="16">INT(K38*1.05)</f>
        <v>3</v>
      </c>
      <c r="K38" s="10">
        <v>3</v>
      </c>
    </row>
    <row r="39" spans="2:11" x14ac:dyDescent="0.25">
      <c r="B39" s="8" t="s">
        <v>2</v>
      </c>
      <c r="C39" s="2" t="s">
        <v>28</v>
      </c>
      <c r="D39" s="3">
        <f t="shared" si="11"/>
        <v>23.677920000000004</v>
      </c>
      <c r="E39" s="3">
        <f t="shared" si="13"/>
        <v>2.9597400000000005</v>
      </c>
      <c r="F39" s="2">
        <f t="shared" si="12"/>
        <v>8</v>
      </c>
      <c r="G39" s="2">
        <f t="shared" si="14"/>
        <v>7</v>
      </c>
      <c r="H39" s="2">
        <f t="shared" si="15"/>
        <v>8</v>
      </c>
      <c r="I39" s="4">
        <v>0.24</v>
      </c>
      <c r="J39" s="11">
        <f t="shared" si="16"/>
        <v>2</v>
      </c>
      <c r="K39" s="10">
        <v>2</v>
      </c>
    </row>
    <row r="40" spans="2:11" x14ac:dyDescent="0.25">
      <c r="B40" s="8" t="s">
        <v>3</v>
      </c>
      <c r="C40" s="2" t="s">
        <v>28</v>
      </c>
      <c r="D40" s="3">
        <f t="shared" si="11"/>
        <v>59.899499999999996</v>
      </c>
      <c r="E40" s="3">
        <f t="shared" si="13"/>
        <v>3.5234999999999999</v>
      </c>
      <c r="F40" s="2">
        <f t="shared" si="12"/>
        <v>17</v>
      </c>
      <c r="G40" s="2">
        <f t="shared" si="14"/>
        <v>15</v>
      </c>
      <c r="H40" s="2">
        <f t="shared" si="15"/>
        <v>17</v>
      </c>
      <c r="I40" s="4">
        <v>0.23</v>
      </c>
      <c r="J40" s="11">
        <f t="shared" si="16"/>
        <v>4</v>
      </c>
      <c r="K40" s="10">
        <v>4</v>
      </c>
    </row>
    <row r="41" spans="2:11" x14ac:dyDescent="0.25">
      <c r="B41" s="8" t="s">
        <v>4</v>
      </c>
      <c r="C41" s="2" t="s">
        <v>28</v>
      </c>
      <c r="D41" s="3">
        <f t="shared" si="11"/>
        <v>177.58440000000002</v>
      </c>
      <c r="E41" s="3">
        <f t="shared" si="13"/>
        <v>3.2886000000000002</v>
      </c>
      <c r="F41" s="2">
        <f t="shared" si="12"/>
        <v>54</v>
      </c>
      <c r="G41" s="2">
        <f t="shared" si="14"/>
        <v>46</v>
      </c>
      <c r="H41" s="2">
        <f t="shared" si="15"/>
        <v>50</v>
      </c>
      <c r="I41" s="4">
        <v>0.22</v>
      </c>
      <c r="J41" s="11">
        <f t="shared" si="16"/>
        <v>11</v>
      </c>
      <c r="K41" s="10">
        <v>11</v>
      </c>
    </row>
    <row r="42" spans="2:11" x14ac:dyDescent="0.25">
      <c r="B42" s="8" t="s">
        <v>5</v>
      </c>
      <c r="C42" s="2" t="s">
        <v>28</v>
      </c>
      <c r="D42" s="3">
        <f t="shared" si="11"/>
        <v>47.567250000000008</v>
      </c>
      <c r="E42" s="3">
        <f t="shared" si="13"/>
        <v>3.1711500000000004</v>
      </c>
      <c r="F42" s="2">
        <f t="shared" si="12"/>
        <v>15</v>
      </c>
      <c r="G42" s="2">
        <f t="shared" si="14"/>
        <v>13</v>
      </c>
      <c r="H42" s="2">
        <f t="shared" si="15"/>
        <v>15</v>
      </c>
      <c r="I42" s="4">
        <v>0.2</v>
      </c>
      <c r="J42" s="11">
        <f t="shared" si="16"/>
        <v>3</v>
      </c>
      <c r="K42" s="10">
        <v>3</v>
      </c>
    </row>
    <row r="43" spans="2:11" x14ac:dyDescent="0.25">
      <c r="B43" s="8" t="s">
        <v>6</v>
      </c>
      <c r="C43" s="2" t="s">
        <v>28</v>
      </c>
      <c r="D43" s="3">
        <f t="shared" si="11"/>
        <v>8.4564000000000021</v>
      </c>
      <c r="E43" s="3">
        <f t="shared" si="13"/>
        <v>2.8188000000000004</v>
      </c>
      <c r="F43" s="2">
        <f t="shared" si="12"/>
        <v>3</v>
      </c>
      <c r="G43" s="2">
        <f t="shared" si="14"/>
        <v>3</v>
      </c>
      <c r="H43" s="2">
        <f t="shared" si="15"/>
        <v>4</v>
      </c>
      <c r="I43" s="4">
        <v>0.23</v>
      </c>
      <c r="J43" s="11">
        <f t="shared" si="16"/>
        <v>1</v>
      </c>
      <c r="K43" s="10">
        <v>1</v>
      </c>
    </row>
    <row r="44" spans="2:11" x14ac:dyDescent="0.25">
      <c r="B44" s="8" t="s">
        <v>7</v>
      </c>
      <c r="C44" s="2" t="s">
        <v>28</v>
      </c>
      <c r="D44" s="3">
        <f t="shared" si="11"/>
        <v>135.65475000000001</v>
      </c>
      <c r="E44" s="3">
        <f t="shared" si="13"/>
        <v>3.8758500000000002</v>
      </c>
      <c r="F44" s="2">
        <f t="shared" si="12"/>
        <v>35</v>
      </c>
      <c r="G44" s="2">
        <f t="shared" si="14"/>
        <v>30</v>
      </c>
      <c r="H44" s="2">
        <f t="shared" si="15"/>
        <v>33</v>
      </c>
      <c r="I44" s="4">
        <v>0.21</v>
      </c>
      <c r="J44" s="11">
        <f t="shared" si="16"/>
        <v>7</v>
      </c>
      <c r="K44" s="10">
        <v>7</v>
      </c>
    </row>
    <row r="45" spans="2:11" x14ac:dyDescent="0.25">
      <c r="B45" s="8" t="s">
        <v>8</v>
      </c>
      <c r="C45" s="2" t="s">
        <v>28</v>
      </c>
      <c r="D45" s="3">
        <f t="shared" si="11"/>
        <v>81.040499999999994</v>
      </c>
      <c r="E45" s="3">
        <f t="shared" si="13"/>
        <v>3.5234999999999999</v>
      </c>
      <c r="F45" s="2">
        <f t="shared" si="12"/>
        <v>23</v>
      </c>
      <c r="G45" s="2">
        <f t="shared" si="14"/>
        <v>20</v>
      </c>
      <c r="H45" s="2">
        <f t="shared" si="15"/>
        <v>22</v>
      </c>
      <c r="I45" s="4">
        <v>0.22</v>
      </c>
      <c r="J45" s="11">
        <f t="shared" si="16"/>
        <v>5</v>
      </c>
      <c r="K45" s="10">
        <v>5</v>
      </c>
    </row>
    <row r="46" spans="2:11" x14ac:dyDescent="0.25">
      <c r="B46" s="8" t="s">
        <v>9</v>
      </c>
      <c r="C46" s="2" t="s">
        <v>28</v>
      </c>
      <c r="D46" s="3">
        <f t="shared" si="11"/>
        <v>164.8998</v>
      </c>
      <c r="E46" s="3">
        <f t="shared" si="13"/>
        <v>4.1224949999999998</v>
      </c>
      <c r="F46" s="2">
        <f t="shared" si="12"/>
        <v>40</v>
      </c>
      <c r="G46" s="2">
        <f t="shared" si="14"/>
        <v>34</v>
      </c>
      <c r="H46" s="2">
        <f t="shared" si="15"/>
        <v>38</v>
      </c>
      <c r="I46" s="4">
        <v>0.21</v>
      </c>
      <c r="J46" s="11">
        <f t="shared" si="16"/>
        <v>8</v>
      </c>
      <c r="K46" s="10">
        <v>8</v>
      </c>
    </row>
    <row r="47" spans="2:11" x14ac:dyDescent="0.25">
      <c r="B47" s="8" t="s">
        <v>10</v>
      </c>
      <c r="C47" s="2" t="s">
        <v>28</v>
      </c>
      <c r="D47" s="3">
        <f t="shared" si="11"/>
        <v>263.08800000000002</v>
      </c>
      <c r="E47" s="3">
        <f t="shared" si="13"/>
        <v>4.1107500000000003</v>
      </c>
      <c r="F47" s="2">
        <f t="shared" si="12"/>
        <v>64</v>
      </c>
      <c r="G47" s="2">
        <f t="shared" si="14"/>
        <v>55</v>
      </c>
      <c r="H47" s="2">
        <f t="shared" si="15"/>
        <v>60</v>
      </c>
      <c r="I47" s="4">
        <v>0.2</v>
      </c>
      <c r="J47" s="11">
        <f t="shared" si="16"/>
        <v>12</v>
      </c>
      <c r="K47" s="10">
        <v>12</v>
      </c>
    </row>
    <row r="48" spans="2:11" x14ac:dyDescent="0.25">
      <c r="B48" s="8" t="s">
        <v>11</v>
      </c>
      <c r="C48" s="2" t="s">
        <v>28</v>
      </c>
      <c r="D48" s="3">
        <f t="shared" si="11"/>
        <v>172.65150000000003</v>
      </c>
      <c r="E48" s="3">
        <f t="shared" si="13"/>
        <v>4.1107500000000003</v>
      </c>
      <c r="F48" s="2">
        <f t="shared" si="12"/>
        <v>42</v>
      </c>
      <c r="G48" s="2">
        <f t="shared" si="14"/>
        <v>36</v>
      </c>
      <c r="H48" s="2">
        <f t="shared" si="15"/>
        <v>40</v>
      </c>
      <c r="I48" s="4">
        <v>0.22</v>
      </c>
      <c r="J48" s="11">
        <f t="shared" si="16"/>
        <v>9</v>
      </c>
      <c r="K48" s="10"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H28"/>
  <sheetViews>
    <sheetView showGridLines="0" topLeftCell="A4" workbookViewId="0">
      <selection activeCell="O13" sqref="O13"/>
    </sheetView>
  </sheetViews>
  <sheetFormatPr defaultColWidth="11" defaultRowHeight="15.75" outlineLevelCol="1" x14ac:dyDescent="0.25"/>
  <cols>
    <col min="1" max="1" width="3.375" customWidth="1"/>
    <col min="2" max="2" width="20.875" customWidth="1"/>
    <col min="3" max="3" width="11.125" hidden="1" customWidth="1" outlineLevel="1"/>
    <col min="4" max="6" width="11.875" hidden="1" customWidth="1" outlineLevel="1"/>
    <col min="7" max="7" width="13.375" hidden="1" customWidth="1" outlineLevel="1"/>
    <col min="8" max="9" width="11.875" hidden="1" customWidth="1" outlineLevel="1"/>
    <col min="10" max="10" width="13.375" hidden="1" customWidth="1" outlineLevel="1"/>
    <col min="11" max="11" width="13.375" bestFit="1" customWidth="1" collapsed="1"/>
    <col min="12" max="14" width="13.375" bestFit="1" customWidth="1"/>
  </cols>
  <sheetData>
    <row r="2" spans="2:86" x14ac:dyDescent="0.25">
      <c r="B2" s="42" t="s">
        <v>97</v>
      </c>
    </row>
    <row r="4" spans="2:86" ht="26.25" x14ac:dyDescent="0.4">
      <c r="B4" s="56" t="s">
        <v>39</v>
      </c>
    </row>
    <row r="6" spans="2:86" hidden="1" x14ac:dyDescent="0.25">
      <c r="C6">
        <v>1</v>
      </c>
      <c r="D6">
        <f>C6+1</f>
        <v>2</v>
      </c>
      <c r="E6">
        <f t="shared" ref="E6:BP6" si="0">D6+1</f>
        <v>3</v>
      </c>
      <c r="F6">
        <f t="shared" si="0"/>
        <v>4</v>
      </c>
      <c r="G6">
        <f t="shared" si="0"/>
        <v>5</v>
      </c>
      <c r="H6">
        <f t="shared" si="0"/>
        <v>6</v>
      </c>
      <c r="I6">
        <f t="shared" si="0"/>
        <v>7</v>
      </c>
      <c r="J6">
        <f t="shared" si="0"/>
        <v>8</v>
      </c>
      <c r="K6">
        <f t="shared" si="0"/>
        <v>9</v>
      </c>
      <c r="L6">
        <f t="shared" si="0"/>
        <v>10</v>
      </c>
      <c r="M6">
        <f t="shared" si="0"/>
        <v>11</v>
      </c>
      <c r="N6">
        <f t="shared" si="0"/>
        <v>12</v>
      </c>
      <c r="O6">
        <f t="shared" si="0"/>
        <v>13</v>
      </c>
      <c r="P6">
        <f t="shared" si="0"/>
        <v>14</v>
      </c>
      <c r="Q6">
        <f t="shared" si="0"/>
        <v>15</v>
      </c>
      <c r="R6">
        <f t="shared" si="0"/>
        <v>16</v>
      </c>
      <c r="S6">
        <f t="shared" si="0"/>
        <v>17</v>
      </c>
      <c r="T6">
        <f t="shared" si="0"/>
        <v>18</v>
      </c>
      <c r="U6">
        <f t="shared" si="0"/>
        <v>19</v>
      </c>
      <c r="V6">
        <f t="shared" si="0"/>
        <v>20</v>
      </c>
      <c r="W6">
        <f t="shared" si="0"/>
        <v>21</v>
      </c>
      <c r="X6">
        <f t="shared" si="0"/>
        <v>22</v>
      </c>
      <c r="Y6">
        <f t="shared" si="0"/>
        <v>23</v>
      </c>
      <c r="Z6">
        <f t="shared" si="0"/>
        <v>24</v>
      </c>
      <c r="AA6">
        <f t="shared" si="0"/>
        <v>25</v>
      </c>
      <c r="AB6">
        <f t="shared" si="0"/>
        <v>26</v>
      </c>
      <c r="AC6">
        <f t="shared" si="0"/>
        <v>27</v>
      </c>
      <c r="AD6">
        <f t="shared" si="0"/>
        <v>28</v>
      </c>
      <c r="AE6">
        <f t="shared" si="0"/>
        <v>29</v>
      </c>
      <c r="AF6">
        <f t="shared" si="0"/>
        <v>30</v>
      </c>
      <c r="AG6">
        <f t="shared" si="0"/>
        <v>31</v>
      </c>
      <c r="AH6">
        <f t="shared" si="0"/>
        <v>32</v>
      </c>
      <c r="AI6">
        <f t="shared" si="0"/>
        <v>33</v>
      </c>
      <c r="AJ6">
        <f t="shared" si="0"/>
        <v>34</v>
      </c>
      <c r="AK6">
        <f t="shared" si="0"/>
        <v>35</v>
      </c>
      <c r="AL6">
        <f t="shared" si="0"/>
        <v>36</v>
      </c>
      <c r="AM6">
        <f t="shared" si="0"/>
        <v>37</v>
      </c>
      <c r="AN6">
        <f t="shared" si="0"/>
        <v>38</v>
      </c>
      <c r="AO6">
        <f t="shared" si="0"/>
        <v>39</v>
      </c>
      <c r="AP6">
        <f t="shared" si="0"/>
        <v>40</v>
      </c>
      <c r="AQ6">
        <f t="shared" si="0"/>
        <v>41</v>
      </c>
      <c r="AR6">
        <f t="shared" si="0"/>
        <v>42</v>
      </c>
      <c r="AS6">
        <f t="shared" si="0"/>
        <v>43</v>
      </c>
      <c r="AT6">
        <f t="shared" si="0"/>
        <v>44</v>
      </c>
      <c r="AU6">
        <f t="shared" si="0"/>
        <v>45</v>
      </c>
      <c r="AV6">
        <f t="shared" si="0"/>
        <v>46</v>
      </c>
      <c r="AW6">
        <f t="shared" si="0"/>
        <v>47</v>
      </c>
      <c r="AX6">
        <f t="shared" si="0"/>
        <v>48</v>
      </c>
      <c r="AY6">
        <f t="shared" si="0"/>
        <v>49</v>
      </c>
      <c r="AZ6">
        <f t="shared" si="0"/>
        <v>50</v>
      </c>
      <c r="BA6">
        <f t="shared" si="0"/>
        <v>51</v>
      </c>
      <c r="BB6">
        <f t="shared" si="0"/>
        <v>52</v>
      </c>
      <c r="BC6">
        <f t="shared" si="0"/>
        <v>53</v>
      </c>
      <c r="BD6">
        <f t="shared" si="0"/>
        <v>54</v>
      </c>
      <c r="BE6">
        <f t="shared" si="0"/>
        <v>55</v>
      </c>
      <c r="BF6">
        <f t="shared" si="0"/>
        <v>56</v>
      </c>
      <c r="BG6">
        <f t="shared" si="0"/>
        <v>57</v>
      </c>
      <c r="BH6">
        <f t="shared" si="0"/>
        <v>58</v>
      </c>
      <c r="BI6">
        <f t="shared" si="0"/>
        <v>59</v>
      </c>
      <c r="BJ6">
        <f t="shared" si="0"/>
        <v>60</v>
      </c>
      <c r="BK6">
        <f t="shared" si="0"/>
        <v>61</v>
      </c>
      <c r="BL6">
        <f t="shared" si="0"/>
        <v>62</v>
      </c>
      <c r="BM6">
        <f t="shared" si="0"/>
        <v>63</v>
      </c>
      <c r="BN6">
        <f t="shared" si="0"/>
        <v>64</v>
      </c>
      <c r="BO6">
        <f t="shared" si="0"/>
        <v>65</v>
      </c>
      <c r="BP6">
        <f t="shared" si="0"/>
        <v>66</v>
      </c>
      <c r="BQ6">
        <f t="shared" ref="BQ6:CH6" si="1">BP6+1</f>
        <v>67</v>
      </c>
      <c r="BR6">
        <f t="shared" si="1"/>
        <v>68</v>
      </c>
      <c r="BS6">
        <f t="shared" si="1"/>
        <v>69</v>
      </c>
      <c r="BT6">
        <f t="shared" si="1"/>
        <v>70</v>
      </c>
      <c r="BU6">
        <f t="shared" si="1"/>
        <v>71</v>
      </c>
      <c r="BV6">
        <f t="shared" si="1"/>
        <v>72</v>
      </c>
      <c r="BW6">
        <f t="shared" si="1"/>
        <v>73</v>
      </c>
      <c r="BX6">
        <f t="shared" si="1"/>
        <v>74</v>
      </c>
      <c r="BY6">
        <f t="shared" si="1"/>
        <v>75</v>
      </c>
      <c r="BZ6">
        <f t="shared" si="1"/>
        <v>76</v>
      </c>
      <c r="CA6">
        <f t="shared" si="1"/>
        <v>77</v>
      </c>
      <c r="CB6">
        <f t="shared" si="1"/>
        <v>78</v>
      </c>
      <c r="CC6">
        <f t="shared" si="1"/>
        <v>79</v>
      </c>
      <c r="CD6">
        <f t="shared" si="1"/>
        <v>80</v>
      </c>
      <c r="CE6">
        <f t="shared" si="1"/>
        <v>81</v>
      </c>
      <c r="CF6">
        <f t="shared" si="1"/>
        <v>82</v>
      </c>
      <c r="CG6">
        <f t="shared" si="1"/>
        <v>83</v>
      </c>
      <c r="CH6">
        <f t="shared" si="1"/>
        <v>84</v>
      </c>
    </row>
    <row r="7" spans="2:86" ht="17.100000000000001" customHeight="1" x14ac:dyDescent="0.25">
      <c r="C7" s="55">
        <v>42887</v>
      </c>
      <c r="D7" s="55">
        <f>EOMONTH(C7,1)</f>
        <v>42947</v>
      </c>
      <c r="E7" s="55">
        <f t="shared" ref="E7:J7" si="2">EOMONTH(D7,1)</f>
        <v>42978</v>
      </c>
      <c r="F7" s="55">
        <f t="shared" si="2"/>
        <v>43008</v>
      </c>
      <c r="G7" s="55">
        <f t="shared" si="2"/>
        <v>43039</v>
      </c>
      <c r="H7" s="55">
        <f t="shared" si="2"/>
        <v>43069</v>
      </c>
      <c r="I7" s="55">
        <f t="shared" si="2"/>
        <v>43100</v>
      </c>
      <c r="J7" s="55">
        <f t="shared" si="2"/>
        <v>43131</v>
      </c>
      <c r="K7" s="55">
        <f>EOMONTH(J7,1)</f>
        <v>43159</v>
      </c>
      <c r="L7" s="55">
        <f t="shared" ref="L7:N7" si="3">EOMONTH(K7,1)</f>
        <v>43190</v>
      </c>
      <c r="M7" s="55">
        <f t="shared" si="3"/>
        <v>43220</v>
      </c>
      <c r="N7" s="55">
        <f t="shared" si="3"/>
        <v>43251</v>
      </c>
      <c r="O7" s="55">
        <f t="shared" ref="O7" si="4">EOMONTH(N7,1)</f>
        <v>43281</v>
      </c>
      <c r="P7" s="55">
        <f t="shared" ref="P7" si="5">EOMONTH(O7,1)</f>
        <v>43312</v>
      </c>
      <c r="Q7" s="55">
        <f t="shared" ref="Q7" si="6">EOMONTH(P7,1)</f>
        <v>43343</v>
      </c>
      <c r="R7" s="55">
        <f t="shared" ref="R7" si="7">EOMONTH(Q7,1)</f>
        <v>43373</v>
      </c>
      <c r="S7" s="55">
        <f t="shared" ref="S7" si="8">EOMONTH(R7,1)</f>
        <v>43404</v>
      </c>
      <c r="T7" s="55">
        <f t="shared" ref="T7" si="9">EOMONTH(S7,1)</f>
        <v>43434</v>
      </c>
      <c r="U7" s="55">
        <f t="shared" ref="U7" si="10">EOMONTH(T7,1)</f>
        <v>43465</v>
      </c>
      <c r="V7" s="55">
        <f t="shared" ref="V7" si="11">EOMONTH(U7,1)</f>
        <v>43496</v>
      </c>
      <c r="W7" s="55">
        <f t="shared" ref="W7" si="12">EOMONTH(V7,1)</f>
        <v>43524</v>
      </c>
      <c r="X7" s="55">
        <f t="shared" ref="X7" si="13">EOMONTH(W7,1)</f>
        <v>43555</v>
      </c>
      <c r="Y7" s="55">
        <f t="shared" ref="Y7" si="14">EOMONTH(X7,1)</f>
        <v>43585</v>
      </c>
      <c r="Z7" s="55">
        <f t="shared" ref="Z7" si="15">EOMONTH(Y7,1)</f>
        <v>43616</v>
      </c>
    </row>
    <row r="9" spans="2:86" x14ac:dyDescent="0.25">
      <c r="B9" s="48" t="s">
        <v>40</v>
      </c>
    </row>
    <row r="11" spans="2:86" s="36" customFormat="1" x14ac:dyDescent="0.25">
      <c r="B11" s="62" t="s">
        <v>41</v>
      </c>
      <c r="C11" s="61" cm="1">
        <f t="array" ref="C11:N11">TRANSPOSE('[1]Source- Trafego organico'!D4:D15)</f>
        <v>3</v>
      </c>
      <c r="D11" s="61">
        <v>61</v>
      </c>
      <c r="E11" s="61">
        <v>73</v>
      </c>
      <c r="F11" s="61">
        <v>72</v>
      </c>
      <c r="G11" s="61">
        <v>96</v>
      </c>
      <c r="H11" s="61">
        <v>126</v>
      </c>
      <c r="I11" s="61">
        <v>36</v>
      </c>
      <c r="J11" s="61">
        <v>206</v>
      </c>
      <c r="K11" s="61">
        <v>221</v>
      </c>
      <c r="L11" s="61">
        <v>248</v>
      </c>
      <c r="M11" s="61">
        <v>173</v>
      </c>
      <c r="N11" s="61">
        <v>306</v>
      </c>
      <c r="O11" s="62">
        <f>INT(O13/O12)</f>
        <v>284</v>
      </c>
      <c r="P11" s="62">
        <f t="shared" ref="P11:Z11" si="16">INT(P13/P12)</f>
        <v>303</v>
      </c>
      <c r="Q11" s="62">
        <f t="shared" si="16"/>
        <v>325</v>
      </c>
      <c r="R11" s="62">
        <f t="shared" si="16"/>
        <v>346</v>
      </c>
      <c r="S11" s="62">
        <f t="shared" si="16"/>
        <v>365</v>
      </c>
      <c r="T11" s="62">
        <f t="shared" si="16"/>
        <v>387</v>
      </c>
      <c r="U11" s="62">
        <f t="shared" si="16"/>
        <v>409</v>
      </c>
      <c r="V11" s="62">
        <f t="shared" si="16"/>
        <v>428</v>
      </c>
      <c r="W11" s="62">
        <f t="shared" si="16"/>
        <v>450</v>
      </c>
      <c r="X11" s="62">
        <f t="shared" si="16"/>
        <v>471</v>
      </c>
      <c r="Y11" s="62">
        <f t="shared" si="16"/>
        <v>490</v>
      </c>
      <c r="Z11" s="62">
        <f t="shared" si="16"/>
        <v>512</v>
      </c>
    </row>
    <row r="12" spans="2:86" x14ac:dyDescent="0.25">
      <c r="B12" s="2" t="s">
        <v>20</v>
      </c>
      <c r="C12" s="63" cm="1">
        <f t="array" ref="C12:N12">TRANSPOSE('[1]Source- Trafego organico'!E4:E15)</f>
        <v>0.30000000000000004</v>
      </c>
      <c r="D12" s="63">
        <v>0.31</v>
      </c>
      <c r="E12" s="63">
        <v>0.33999999999999997</v>
      </c>
      <c r="F12" s="63">
        <v>0.33</v>
      </c>
      <c r="G12" s="63">
        <v>0.32</v>
      </c>
      <c r="H12" s="63">
        <v>0.30000000000000004</v>
      </c>
      <c r="I12" s="63">
        <v>0.33</v>
      </c>
      <c r="J12" s="63">
        <v>0.31</v>
      </c>
      <c r="K12" s="63">
        <v>0.32</v>
      </c>
      <c r="L12" s="63">
        <v>0.31</v>
      </c>
      <c r="M12" s="63">
        <v>0.30000000000000004</v>
      </c>
      <c r="N12" s="63">
        <v>0.32</v>
      </c>
      <c r="O12" s="71">
        <f>Suposições!$C$21</f>
        <v>0.32</v>
      </c>
      <c r="P12" s="4">
        <f>Suposições!$C$21</f>
        <v>0.32</v>
      </c>
      <c r="Q12" s="4">
        <f>Suposições!$C$21</f>
        <v>0.32</v>
      </c>
      <c r="R12" s="4">
        <f>Suposições!$C$21</f>
        <v>0.32</v>
      </c>
      <c r="S12" s="4">
        <f>Suposições!$C$21</f>
        <v>0.32</v>
      </c>
      <c r="T12" s="4">
        <f>Suposições!$C$21</f>
        <v>0.32</v>
      </c>
      <c r="U12" s="4">
        <f>Suposições!$C$21</f>
        <v>0.32</v>
      </c>
      <c r="V12" s="4">
        <f>Suposições!$C$21</f>
        <v>0.32</v>
      </c>
      <c r="W12" s="4">
        <f>Suposições!$C$21</f>
        <v>0.32</v>
      </c>
      <c r="X12" s="4">
        <f>Suposições!$C$21</f>
        <v>0.32</v>
      </c>
      <c r="Y12" s="4">
        <f>Suposições!$C$21</f>
        <v>0.32</v>
      </c>
      <c r="Z12" s="4">
        <f>Suposições!$C$21</f>
        <v>0.32</v>
      </c>
    </row>
    <row r="13" spans="2:86" s="36" customFormat="1" x14ac:dyDescent="0.25">
      <c r="B13" s="70" t="s">
        <v>21</v>
      </c>
      <c r="C13" s="72">
        <v>1</v>
      </c>
      <c r="D13" s="72">
        <v>19</v>
      </c>
      <c r="E13" s="72">
        <v>24</v>
      </c>
      <c r="F13" s="72">
        <v>23</v>
      </c>
      <c r="G13" s="72">
        <v>30</v>
      </c>
      <c r="H13" s="72">
        <v>37</v>
      </c>
      <c r="I13" s="72">
        <v>12</v>
      </c>
      <c r="J13" s="72">
        <v>61</v>
      </c>
      <c r="K13" s="72">
        <v>68</v>
      </c>
      <c r="L13" s="72">
        <v>74</v>
      </c>
      <c r="M13" s="72">
        <v>50</v>
      </c>
      <c r="N13" s="72">
        <v>94</v>
      </c>
      <c r="O13" s="73">
        <f>INT((Suposições!$C$18*'INPUTS Leads- Trafego organico'!O6)+Suposições!$C$19)</f>
        <v>91</v>
      </c>
      <c r="P13" s="62">
        <f>INT((Suposições!$C$18*'INPUTS Leads- Trafego organico'!P6)+Suposições!$C$19)</f>
        <v>97</v>
      </c>
      <c r="Q13" s="62">
        <f>INT((Suposições!$C$18*'INPUTS Leads- Trafego organico'!Q6)+Suposições!$C$19)</f>
        <v>104</v>
      </c>
      <c r="R13" s="62">
        <f>INT((Suposições!$C$18*'INPUTS Leads- Trafego organico'!R6)+Suposições!$C$19)</f>
        <v>111</v>
      </c>
      <c r="S13" s="62">
        <f>INT((Suposições!$C$18*'INPUTS Leads- Trafego organico'!S6)+Suposições!$C$19)</f>
        <v>117</v>
      </c>
      <c r="T13" s="62">
        <f>INT((Suposições!$C$18*'INPUTS Leads- Trafego organico'!T6)+Suposições!$C$19)</f>
        <v>124</v>
      </c>
      <c r="U13" s="62">
        <f>INT((Suposições!$C$18*'INPUTS Leads- Trafego organico'!U6)+Suposições!$C$19)</f>
        <v>131</v>
      </c>
      <c r="V13" s="62">
        <f>INT((Suposições!$C$18*'INPUTS Leads- Trafego organico'!V6)+Suposições!$C$19)</f>
        <v>137</v>
      </c>
      <c r="W13" s="62">
        <f>INT((Suposições!$C$18*'INPUTS Leads- Trafego organico'!W6)+Suposições!$C$19)</f>
        <v>144</v>
      </c>
      <c r="X13" s="62">
        <f>INT((Suposições!$C$18*'INPUTS Leads- Trafego organico'!X6)+Suposições!$C$19)</f>
        <v>151</v>
      </c>
      <c r="Y13" s="62">
        <f>INT((Suposições!$C$18*'INPUTS Leads- Trafego organico'!Y6)+Suposições!$C$19)</f>
        <v>157</v>
      </c>
      <c r="Z13" s="62">
        <f>INT((Suposições!$C$18*'INPUTS Leads- Trafego organico'!Z6)+Suposições!$C$19)</f>
        <v>164</v>
      </c>
    </row>
    <row r="15" spans="2:86" x14ac:dyDescent="0.25">
      <c r="B15" s="48" t="s">
        <v>75</v>
      </c>
    </row>
    <row r="17" spans="2:26" s="36" customFormat="1" x14ac:dyDescent="0.25">
      <c r="B17" s="62" t="s">
        <v>41</v>
      </c>
      <c r="C17" s="61" cm="1">
        <f t="array" ref="C17:N17">TRANSPOSE('[1]Source- Trafego organico'!D21:D32)</f>
        <v>10</v>
      </c>
      <c r="D17" s="61">
        <v>709</v>
      </c>
      <c r="E17" s="61">
        <v>1216</v>
      </c>
      <c r="F17" s="61">
        <v>982</v>
      </c>
      <c r="G17" s="61">
        <v>1286</v>
      </c>
      <c r="H17" s="61">
        <v>1725</v>
      </c>
      <c r="I17" s="61">
        <v>669</v>
      </c>
      <c r="J17" s="61">
        <v>4457</v>
      </c>
      <c r="K17" s="61">
        <v>3459</v>
      </c>
      <c r="L17" s="61">
        <v>4066</v>
      </c>
      <c r="M17" s="61">
        <v>5240</v>
      </c>
      <c r="N17" s="61">
        <v>4404</v>
      </c>
      <c r="O17" s="62">
        <f>INT(O19/O18)</f>
        <v>5277</v>
      </c>
      <c r="P17" s="62">
        <f t="shared" ref="P17:Z17" si="17">INT(P19/P18)</f>
        <v>5690</v>
      </c>
      <c r="Q17" s="62">
        <f t="shared" si="17"/>
        <v>6104</v>
      </c>
      <c r="R17" s="62">
        <f t="shared" si="17"/>
        <v>6522</v>
      </c>
      <c r="S17" s="62">
        <f t="shared" si="17"/>
        <v>6936</v>
      </c>
      <c r="T17" s="62">
        <f t="shared" si="17"/>
        <v>7354</v>
      </c>
      <c r="U17" s="62">
        <f t="shared" si="17"/>
        <v>7768</v>
      </c>
      <c r="V17" s="62">
        <f t="shared" si="17"/>
        <v>8181</v>
      </c>
      <c r="W17" s="62">
        <f t="shared" si="17"/>
        <v>8600</v>
      </c>
      <c r="X17" s="62">
        <f t="shared" si="17"/>
        <v>9013</v>
      </c>
      <c r="Y17" s="62">
        <f t="shared" si="17"/>
        <v>9427</v>
      </c>
      <c r="Z17" s="62">
        <f t="shared" si="17"/>
        <v>9845</v>
      </c>
    </row>
    <row r="18" spans="2:26" x14ac:dyDescent="0.25">
      <c r="B18" s="2" t="s">
        <v>20</v>
      </c>
      <c r="C18" s="63" cm="1">
        <f t="array" ref="C18:N18">TRANSPOSE('[1]Source- Trafego organico'!E21:E32)</f>
        <v>0.2</v>
      </c>
      <c r="D18" s="63">
        <v>0.21</v>
      </c>
      <c r="E18" s="63">
        <v>0.24</v>
      </c>
      <c r="F18" s="63">
        <v>0.23</v>
      </c>
      <c r="G18" s="63">
        <v>0.22</v>
      </c>
      <c r="H18" s="63">
        <v>0.2</v>
      </c>
      <c r="I18" s="63">
        <v>0.23</v>
      </c>
      <c r="J18" s="63">
        <v>0.21</v>
      </c>
      <c r="K18" s="63">
        <v>0.22</v>
      </c>
      <c r="L18" s="63">
        <v>0.21</v>
      </c>
      <c r="M18" s="63">
        <v>0.2</v>
      </c>
      <c r="N18" s="63">
        <v>0.22</v>
      </c>
      <c r="O18" s="71">
        <f>Suposições!$C$12</f>
        <v>0.22</v>
      </c>
      <c r="P18" s="4">
        <f>Suposições!$C$12</f>
        <v>0.22</v>
      </c>
      <c r="Q18" s="4">
        <f>Suposições!$C$12</f>
        <v>0.22</v>
      </c>
      <c r="R18" s="4">
        <f>Suposições!$C$12</f>
        <v>0.22</v>
      </c>
      <c r="S18" s="4">
        <f>Suposições!$C$12</f>
        <v>0.22</v>
      </c>
      <c r="T18" s="4">
        <f>Suposições!$C$12</f>
        <v>0.22</v>
      </c>
      <c r="U18" s="4">
        <f>Suposições!$C$12</f>
        <v>0.22</v>
      </c>
      <c r="V18" s="4">
        <f>Suposições!$C$12</f>
        <v>0.22</v>
      </c>
      <c r="W18" s="4">
        <f>Suposições!$C$12</f>
        <v>0.22</v>
      </c>
      <c r="X18" s="4">
        <f>Suposições!$C$12</f>
        <v>0.22</v>
      </c>
      <c r="Y18" s="4">
        <f>Suposições!$C$12</f>
        <v>0.22</v>
      </c>
      <c r="Z18" s="4">
        <f>Suposições!$C$12</f>
        <v>0.22</v>
      </c>
    </row>
    <row r="19" spans="2:26" s="36" customFormat="1" x14ac:dyDescent="0.25">
      <c r="B19" s="70" t="s">
        <v>21</v>
      </c>
      <c r="C19" s="72">
        <v>2</v>
      </c>
      <c r="D19" s="72">
        <v>142</v>
      </c>
      <c r="E19" s="72">
        <v>279</v>
      </c>
      <c r="F19" s="72">
        <v>216</v>
      </c>
      <c r="G19" s="72">
        <v>270</v>
      </c>
      <c r="H19" s="72">
        <v>329</v>
      </c>
      <c r="I19" s="72">
        <v>147</v>
      </c>
      <c r="J19" s="72">
        <v>892</v>
      </c>
      <c r="K19" s="72">
        <v>725</v>
      </c>
      <c r="L19" s="72">
        <v>814</v>
      </c>
      <c r="M19" s="72">
        <v>999</v>
      </c>
      <c r="N19" s="72">
        <v>923</v>
      </c>
      <c r="O19" s="73">
        <f>INT((Suposições!$C$9*'INPUTS Leads- Trafego organico'!O6)+Suposições!$C$10)</f>
        <v>1161</v>
      </c>
      <c r="P19" s="62">
        <f>INT((Suposições!$C$9*'INPUTS Leads- Trafego organico'!P6)+Suposições!$C$10)</f>
        <v>1252</v>
      </c>
      <c r="Q19" s="62">
        <f>INT((Suposições!$C$9*'INPUTS Leads- Trafego organico'!Q6)+Suposições!$C$10)</f>
        <v>1343</v>
      </c>
      <c r="R19" s="62">
        <f>INT((Suposições!$C$9*'INPUTS Leads- Trafego organico'!R6)+Suposições!$C$10)</f>
        <v>1435</v>
      </c>
      <c r="S19" s="62">
        <f>INT((Suposições!$C$9*'INPUTS Leads- Trafego organico'!S6)+Suposições!$C$10)</f>
        <v>1526</v>
      </c>
      <c r="T19" s="62">
        <f>INT((Suposições!$C$9*'INPUTS Leads- Trafego organico'!T6)+Suposições!$C$10)</f>
        <v>1618</v>
      </c>
      <c r="U19" s="62">
        <f>INT((Suposições!$C$9*'INPUTS Leads- Trafego organico'!U6)+Suposições!$C$10)</f>
        <v>1709</v>
      </c>
      <c r="V19" s="62">
        <f>INT((Suposições!$C$9*'INPUTS Leads- Trafego organico'!V6)+Suposições!$C$10)</f>
        <v>1800</v>
      </c>
      <c r="W19" s="62">
        <f>INT((Suposições!$C$9*'INPUTS Leads- Trafego organico'!W6)+Suposições!$C$10)</f>
        <v>1892</v>
      </c>
      <c r="X19" s="62">
        <f>INT((Suposições!$C$9*'INPUTS Leads- Trafego organico'!X6)+Suposições!$C$10)</f>
        <v>1983</v>
      </c>
      <c r="Y19" s="62">
        <f>INT((Suposições!$C$9*'INPUTS Leads- Trafego organico'!Y6)+Suposições!$C$10)</f>
        <v>2074</v>
      </c>
      <c r="Z19" s="62">
        <f>INT((Suposições!$C$9*'INPUTS Leads- Trafego organico'!Z6)+Suposições!$C$10)</f>
        <v>2166</v>
      </c>
    </row>
    <row r="22" spans="2:26" x14ac:dyDescent="0.25">
      <c r="B22" s="64" t="s">
        <v>36</v>
      </c>
      <c r="C22" s="70">
        <f t="shared" ref="C22:Z22" si="18">SUM(C13,C19)</f>
        <v>3</v>
      </c>
      <c r="D22" s="70">
        <f t="shared" si="18"/>
        <v>161</v>
      </c>
      <c r="E22" s="70">
        <f t="shared" si="18"/>
        <v>303</v>
      </c>
      <c r="F22" s="70">
        <f t="shared" si="18"/>
        <v>239</v>
      </c>
      <c r="G22" s="70">
        <f t="shared" si="18"/>
        <v>300</v>
      </c>
      <c r="H22" s="70">
        <f t="shared" si="18"/>
        <v>366</v>
      </c>
      <c r="I22" s="70">
        <f t="shared" si="18"/>
        <v>159</v>
      </c>
      <c r="J22" s="70">
        <f t="shared" si="18"/>
        <v>953</v>
      </c>
      <c r="K22" s="70">
        <f t="shared" si="18"/>
        <v>793</v>
      </c>
      <c r="L22" s="70">
        <f t="shared" si="18"/>
        <v>888</v>
      </c>
      <c r="M22" s="70">
        <f t="shared" si="18"/>
        <v>1049</v>
      </c>
      <c r="N22" s="70">
        <f t="shared" si="18"/>
        <v>1017</v>
      </c>
      <c r="O22" s="70">
        <f t="shared" si="18"/>
        <v>1252</v>
      </c>
      <c r="P22" s="70">
        <f t="shared" si="18"/>
        <v>1349</v>
      </c>
      <c r="Q22" s="70">
        <f t="shared" si="18"/>
        <v>1447</v>
      </c>
      <c r="R22" s="70">
        <f t="shared" si="18"/>
        <v>1546</v>
      </c>
      <c r="S22" s="70">
        <f t="shared" si="18"/>
        <v>1643</v>
      </c>
      <c r="T22" s="70">
        <f t="shared" si="18"/>
        <v>1742</v>
      </c>
      <c r="U22" s="70">
        <f t="shared" si="18"/>
        <v>1840</v>
      </c>
      <c r="V22" s="70">
        <f t="shared" si="18"/>
        <v>1937</v>
      </c>
      <c r="W22" s="70">
        <f t="shared" si="18"/>
        <v>2036</v>
      </c>
      <c r="X22" s="70">
        <f t="shared" si="18"/>
        <v>2134</v>
      </c>
      <c r="Y22" s="70">
        <f t="shared" si="18"/>
        <v>2231</v>
      </c>
      <c r="Z22" s="70">
        <f t="shared" si="18"/>
        <v>2330</v>
      </c>
    </row>
    <row r="23" spans="2:26" x14ac:dyDescent="0.25">
      <c r="B23" s="64" t="s">
        <v>76</v>
      </c>
      <c r="C23" s="70">
        <f>SUM(C17,C11)</f>
        <v>13</v>
      </c>
      <c r="D23" s="70">
        <f t="shared" ref="D23:Z23" si="19">SUM(D17,D11)</f>
        <v>770</v>
      </c>
      <c r="E23" s="70">
        <f t="shared" si="19"/>
        <v>1289</v>
      </c>
      <c r="F23" s="70">
        <f t="shared" si="19"/>
        <v>1054</v>
      </c>
      <c r="G23" s="70">
        <f t="shared" si="19"/>
        <v>1382</v>
      </c>
      <c r="H23" s="70">
        <f t="shared" si="19"/>
        <v>1851</v>
      </c>
      <c r="I23" s="70">
        <f t="shared" si="19"/>
        <v>705</v>
      </c>
      <c r="J23" s="70">
        <f t="shared" si="19"/>
        <v>4663</v>
      </c>
      <c r="K23" s="70">
        <f t="shared" si="19"/>
        <v>3680</v>
      </c>
      <c r="L23" s="70">
        <f t="shared" si="19"/>
        <v>4314</v>
      </c>
      <c r="M23" s="70">
        <f t="shared" si="19"/>
        <v>5413</v>
      </c>
      <c r="N23" s="70">
        <f t="shared" si="19"/>
        <v>4710</v>
      </c>
      <c r="O23" s="70">
        <f t="shared" si="19"/>
        <v>5561</v>
      </c>
      <c r="P23" s="70">
        <f t="shared" si="19"/>
        <v>5993</v>
      </c>
      <c r="Q23" s="70">
        <f t="shared" si="19"/>
        <v>6429</v>
      </c>
      <c r="R23" s="70">
        <f t="shared" si="19"/>
        <v>6868</v>
      </c>
      <c r="S23" s="70">
        <f t="shared" si="19"/>
        <v>7301</v>
      </c>
      <c r="T23" s="70">
        <f t="shared" si="19"/>
        <v>7741</v>
      </c>
      <c r="U23" s="70">
        <f t="shared" si="19"/>
        <v>8177</v>
      </c>
      <c r="V23" s="70">
        <f t="shared" si="19"/>
        <v>8609</v>
      </c>
      <c r="W23" s="70">
        <f t="shared" si="19"/>
        <v>9050</v>
      </c>
      <c r="X23" s="70">
        <f t="shared" si="19"/>
        <v>9484</v>
      </c>
      <c r="Y23" s="70">
        <f t="shared" si="19"/>
        <v>9917</v>
      </c>
      <c r="Z23" s="70">
        <f t="shared" si="19"/>
        <v>10357</v>
      </c>
    </row>
    <row r="26" spans="2:26" x14ac:dyDescent="0.25">
      <c r="B26" s="34"/>
      <c r="C26" s="35"/>
      <c r="D26" s="35"/>
      <c r="E26" s="34"/>
    </row>
    <row r="27" spans="2:26" x14ac:dyDescent="0.25">
      <c r="B27" s="34"/>
      <c r="C27" s="35"/>
      <c r="D27" s="35"/>
      <c r="E27" s="34"/>
    </row>
    <row r="28" spans="2:26" x14ac:dyDescent="0.25">
      <c r="B28" s="34"/>
      <c r="C28" s="34"/>
      <c r="D28" s="34"/>
      <c r="E28" s="34"/>
    </row>
  </sheetData>
  <hyperlinks>
    <hyperlink ref="B2" location="'Capa '!A1" display="Voltar para o menu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workbookViewId="0">
      <selection activeCell="J25" sqref="J25"/>
    </sheetView>
  </sheetViews>
  <sheetFormatPr defaultColWidth="11" defaultRowHeight="15.75" x14ac:dyDescent="0.25"/>
  <cols>
    <col min="2" max="2" width="15.125" customWidth="1"/>
    <col min="3" max="6" width="18.375" customWidth="1"/>
    <col min="7" max="7" width="17" customWidth="1"/>
    <col min="8" max="8" width="15.125" customWidth="1"/>
  </cols>
  <sheetData>
    <row r="2" spans="2:7" x14ac:dyDescent="0.25">
      <c r="B2" t="s">
        <v>37</v>
      </c>
    </row>
    <row r="3" spans="2:7" x14ac:dyDescent="0.25">
      <c r="B3" s="2" t="s">
        <v>12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29</v>
      </c>
    </row>
    <row r="4" spans="2:7" x14ac:dyDescent="0.25">
      <c r="B4" s="2" t="s">
        <v>0</v>
      </c>
      <c r="C4" s="2">
        <f>INT(0.92*D4)</f>
        <v>2</v>
      </c>
      <c r="D4" s="2">
        <f>INT(F4/E4)</f>
        <v>3</v>
      </c>
      <c r="E4" s="4">
        <v>0.30000000000000004</v>
      </c>
      <c r="F4" s="11">
        <f>INT(G4*1.05)</f>
        <v>1</v>
      </c>
      <c r="G4" s="2">
        <v>1</v>
      </c>
    </row>
    <row r="5" spans="2:7" x14ac:dyDescent="0.25">
      <c r="B5" s="2" t="s">
        <v>1</v>
      </c>
      <c r="C5" s="2">
        <f t="shared" ref="C5:C15" si="0">INT(0.92*D5)</f>
        <v>56</v>
      </c>
      <c r="D5" s="2">
        <f t="shared" ref="D5:D15" si="1">INT(F5/E5)</f>
        <v>61</v>
      </c>
      <c r="E5" s="4">
        <v>0.31</v>
      </c>
      <c r="F5" s="11">
        <f t="shared" ref="F5:F15" si="2">INT(G5*1.05)</f>
        <v>19</v>
      </c>
      <c r="G5" s="2">
        <v>19</v>
      </c>
    </row>
    <row r="6" spans="2:7" x14ac:dyDescent="0.25">
      <c r="B6" s="2" t="s">
        <v>2</v>
      </c>
      <c r="C6" s="2">
        <f t="shared" si="0"/>
        <v>67</v>
      </c>
      <c r="D6" s="2">
        <f t="shared" si="1"/>
        <v>73</v>
      </c>
      <c r="E6" s="4">
        <v>0.33999999999999997</v>
      </c>
      <c r="F6" s="11">
        <f t="shared" si="2"/>
        <v>25</v>
      </c>
      <c r="G6" s="2">
        <v>24</v>
      </c>
    </row>
    <row r="7" spans="2:7" x14ac:dyDescent="0.25">
      <c r="B7" s="2" t="s">
        <v>3</v>
      </c>
      <c r="C7" s="2">
        <f t="shared" si="0"/>
        <v>66</v>
      </c>
      <c r="D7" s="2">
        <f t="shared" si="1"/>
        <v>72</v>
      </c>
      <c r="E7" s="4">
        <v>0.33</v>
      </c>
      <c r="F7" s="11">
        <f t="shared" si="2"/>
        <v>24</v>
      </c>
      <c r="G7" s="2">
        <v>23</v>
      </c>
    </row>
    <row r="8" spans="2:7" x14ac:dyDescent="0.25">
      <c r="B8" s="2" t="s">
        <v>4</v>
      </c>
      <c r="C8" s="2">
        <f t="shared" si="0"/>
        <v>88</v>
      </c>
      <c r="D8" s="2">
        <f t="shared" si="1"/>
        <v>96</v>
      </c>
      <c r="E8" s="4">
        <v>0.32</v>
      </c>
      <c r="F8" s="11">
        <f t="shared" si="2"/>
        <v>31</v>
      </c>
      <c r="G8" s="2">
        <v>30</v>
      </c>
    </row>
    <row r="9" spans="2:7" x14ac:dyDescent="0.25">
      <c r="B9" s="2" t="s">
        <v>5</v>
      </c>
      <c r="C9" s="2">
        <f t="shared" si="0"/>
        <v>115</v>
      </c>
      <c r="D9" s="2">
        <f t="shared" si="1"/>
        <v>126</v>
      </c>
      <c r="E9" s="4">
        <v>0.30000000000000004</v>
      </c>
      <c r="F9" s="11">
        <f t="shared" si="2"/>
        <v>38</v>
      </c>
      <c r="G9" s="2">
        <v>37</v>
      </c>
    </row>
    <row r="10" spans="2:7" x14ac:dyDescent="0.25">
      <c r="B10" s="2" t="s">
        <v>6</v>
      </c>
      <c r="C10" s="2">
        <f t="shared" si="0"/>
        <v>33</v>
      </c>
      <c r="D10" s="2">
        <f t="shared" si="1"/>
        <v>36</v>
      </c>
      <c r="E10" s="4">
        <v>0.33</v>
      </c>
      <c r="F10" s="11">
        <f t="shared" si="2"/>
        <v>12</v>
      </c>
      <c r="G10" s="2">
        <v>12</v>
      </c>
    </row>
    <row r="11" spans="2:7" x14ac:dyDescent="0.25">
      <c r="B11" s="2" t="s">
        <v>7</v>
      </c>
      <c r="C11" s="2">
        <f t="shared" si="0"/>
        <v>189</v>
      </c>
      <c r="D11" s="2">
        <f t="shared" si="1"/>
        <v>206</v>
      </c>
      <c r="E11" s="4">
        <v>0.31</v>
      </c>
      <c r="F11" s="11">
        <f t="shared" si="2"/>
        <v>64</v>
      </c>
      <c r="G11" s="2">
        <v>61</v>
      </c>
    </row>
    <row r="12" spans="2:7" x14ac:dyDescent="0.25">
      <c r="B12" s="2" t="s">
        <v>8</v>
      </c>
      <c r="C12" s="2">
        <f t="shared" si="0"/>
        <v>203</v>
      </c>
      <c r="D12" s="2">
        <f t="shared" si="1"/>
        <v>221</v>
      </c>
      <c r="E12" s="4">
        <v>0.32</v>
      </c>
      <c r="F12" s="11">
        <f t="shared" si="2"/>
        <v>71</v>
      </c>
      <c r="G12" s="2">
        <v>68</v>
      </c>
    </row>
    <row r="13" spans="2:7" x14ac:dyDescent="0.25">
      <c r="B13" s="2" t="s">
        <v>9</v>
      </c>
      <c r="C13" s="2">
        <f t="shared" si="0"/>
        <v>228</v>
      </c>
      <c r="D13" s="2">
        <f t="shared" si="1"/>
        <v>248</v>
      </c>
      <c r="E13" s="4">
        <v>0.31</v>
      </c>
      <c r="F13" s="11">
        <f t="shared" si="2"/>
        <v>77</v>
      </c>
      <c r="G13" s="2">
        <v>74</v>
      </c>
    </row>
    <row r="14" spans="2:7" x14ac:dyDescent="0.25">
      <c r="B14" s="2" t="s">
        <v>10</v>
      </c>
      <c r="C14" s="2">
        <f t="shared" si="0"/>
        <v>159</v>
      </c>
      <c r="D14" s="2">
        <f t="shared" si="1"/>
        <v>173</v>
      </c>
      <c r="E14" s="4">
        <v>0.30000000000000004</v>
      </c>
      <c r="F14" s="11">
        <f t="shared" si="2"/>
        <v>52</v>
      </c>
      <c r="G14" s="2">
        <v>50</v>
      </c>
    </row>
    <row r="15" spans="2:7" x14ac:dyDescent="0.25">
      <c r="B15" s="2" t="s">
        <v>11</v>
      </c>
      <c r="C15" s="2">
        <f t="shared" si="0"/>
        <v>281</v>
      </c>
      <c r="D15" s="2">
        <f t="shared" si="1"/>
        <v>306</v>
      </c>
      <c r="E15" s="4">
        <v>0.32</v>
      </c>
      <c r="F15" s="11">
        <f t="shared" si="2"/>
        <v>98</v>
      </c>
      <c r="G15" s="2">
        <v>94</v>
      </c>
    </row>
    <row r="19" spans="2:7" x14ac:dyDescent="0.25">
      <c r="B19" t="s">
        <v>38</v>
      </c>
    </row>
    <row r="20" spans="2:7" x14ac:dyDescent="0.25">
      <c r="B20" s="2" t="s">
        <v>12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29</v>
      </c>
    </row>
    <row r="21" spans="2:7" x14ac:dyDescent="0.25">
      <c r="B21" s="2" t="s">
        <v>0</v>
      </c>
      <c r="C21" s="2">
        <f>INT(0.92*D21)</f>
        <v>9</v>
      </c>
      <c r="D21" s="2">
        <f>INT(F21/E21)</f>
        <v>10</v>
      </c>
      <c r="E21" s="4">
        <v>0.2</v>
      </c>
      <c r="F21" s="11">
        <f>INT(G21*1.05)</f>
        <v>2</v>
      </c>
      <c r="G21" s="2">
        <v>2</v>
      </c>
    </row>
    <row r="22" spans="2:7" x14ac:dyDescent="0.25">
      <c r="B22" s="2" t="s">
        <v>1</v>
      </c>
      <c r="C22" s="2">
        <f t="shared" ref="C22:C32" si="3">INT(0.92*D22)</f>
        <v>652</v>
      </c>
      <c r="D22" s="2">
        <f t="shared" ref="D22:D32" si="4">INT(F22/E22)</f>
        <v>709</v>
      </c>
      <c r="E22" s="4">
        <v>0.21</v>
      </c>
      <c r="F22" s="11">
        <f t="shared" ref="F22:F32" si="5">INT(G22*1.05)</f>
        <v>149</v>
      </c>
      <c r="G22" s="2">
        <v>142</v>
      </c>
    </row>
    <row r="23" spans="2:7" x14ac:dyDescent="0.25">
      <c r="B23" s="2" t="s">
        <v>2</v>
      </c>
      <c r="C23" s="2">
        <f t="shared" si="3"/>
        <v>1118</v>
      </c>
      <c r="D23" s="2">
        <f t="shared" si="4"/>
        <v>1216</v>
      </c>
      <c r="E23" s="4">
        <v>0.24</v>
      </c>
      <c r="F23" s="11">
        <f t="shared" si="5"/>
        <v>292</v>
      </c>
      <c r="G23" s="2">
        <v>279</v>
      </c>
    </row>
    <row r="24" spans="2:7" x14ac:dyDescent="0.25">
      <c r="B24" s="2" t="s">
        <v>3</v>
      </c>
      <c r="C24" s="2">
        <f t="shared" si="3"/>
        <v>903</v>
      </c>
      <c r="D24" s="2">
        <f t="shared" si="4"/>
        <v>982</v>
      </c>
      <c r="E24" s="4">
        <v>0.23</v>
      </c>
      <c r="F24" s="11">
        <f t="shared" si="5"/>
        <v>226</v>
      </c>
      <c r="G24" s="2">
        <v>216</v>
      </c>
    </row>
    <row r="25" spans="2:7" x14ac:dyDescent="0.25">
      <c r="B25" s="2" t="s">
        <v>4</v>
      </c>
      <c r="C25" s="2">
        <f t="shared" si="3"/>
        <v>1183</v>
      </c>
      <c r="D25" s="2">
        <f t="shared" si="4"/>
        <v>1286</v>
      </c>
      <c r="E25" s="4">
        <v>0.22</v>
      </c>
      <c r="F25" s="11">
        <f t="shared" si="5"/>
        <v>283</v>
      </c>
      <c r="G25" s="2">
        <v>270</v>
      </c>
    </row>
    <row r="26" spans="2:7" x14ac:dyDescent="0.25">
      <c r="B26" s="2" t="s">
        <v>5</v>
      </c>
      <c r="C26" s="2">
        <f t="shared" si="3"/>
        <v>1587</v>
      </c>
      <c r="D26" s="2">
        <f t="shared" si="4"/>
        <v>1725</v>
      </c>
      <c r="E26" s="4">
        <v>0.2</v>
      </c>
      <c r="F26" s="11">
        <f t="shared" si="5"/>
        <v>345</v>
      </c>
      <c r="G26" s="2">
        <v>329</v>
      </c>
    </row>
    <row r="27" spans="2:7" x14ac:dyDescent="0.25">
      <c r="B27" s="2" t="s">
        <v>6</v>
      </c>
      <c r="C27" s="2">
        <f t="shared" si="3"/>
        <v>615</v>
      </c>
      <c r="D27" s="2">
        <f t="shared" si="4"/>
        <v>669</v>
      </c>
      <c r="E27" s="4">
        <v>0.23</v>
      </c>
      <c r="F27" s="11">
        <f t="shared" si="5"/>
        <v>154</v>
      </c>
      <c r="G27" s="2">
        <v>147</v>
      </c>
    </row>
    <row r="28" spans="2:7" x14ac:dyDescent="0.25">
      <c r="B28" s="2" t="s">
        <v>7</v>
      </c>
      <c r="C28" s="2">
        <f t="shared" si="3"/>
        <v>4100</v>
      </c>
      <c r="D28" s="2">
        <f t="shared" si="4"/>
        <v>4457</v>
      </c>
      <c r="E28" s="4">
        <v>0.21</v>
      </c>
      <c r="F28" s="11">
        <f t="shared" si="5"/>
        <v>936</v>
      </c>
      <c r="G28" s="2">
        <v>892</v>
      </c>
    </row>
    <row r="29" spans="2:7" x14ac:dyDescent="0.25">
      <c r="B29" s="2" t="s">
        <v>8</v>
      </c>
      <c r="C29" s="2">
        <f t="shared" si="3"/>
        <v>3182</v>
      </c>
      <c r="D29" s="2">
        <f t="shared" si="4"/>
        <v>3459</v>
      </c>
      <c r="E29" s="4">
        <v>0.22</v>
      </c>
      <c r="F29" s="11">
        <f t="shared" si="5"/>
        <v>761</v>
      </c>
      <c r="G29" s="2">
        <v>725</v>
      </c>
    </row>
    <row r="30" spans="2:7" x14ac:dyDescent="0.25">
      <c r="B30" s="2" t="s">
        <v>9</v>
      </c>
      <c r="C30" s="2">
        <f t="shared" si="3"/>
        <v>3740</v>
      </c>
      <c r="D30" s="2">
        <f t="shared" si="4"/>
        <v>4066</v>
      </c>
      <c r="E30" s="4">
        <v>0.21</v>
      </c>
      <c r="F30" s="11">
        <f t="shared" si="5"/>
        <v>854</v>
      </c>
      <c r="G30" s="2">
        <v>814</v>
      </c>
    </row>
    <row r="31" spans="2:7" x14ac:dyDescent="0.25">
      <c r="B31" s="2" t="s">
        <v>10</v>
      </c>
      <c r="C31" s="2">
        <f t="shared" si="3"/>
        <v>4820</v>
      </c>
      <c r="D31" s="2">
        <f t="shared" si="4"/>
        <v>5240</v>
      </c>
      <c r="E31" s="4">
        <v>0.2</v>
      </c>
      <c r="F31" s="11">
        <f t="shared" si="5"/>
        <v>1048</v>
      </c>
      <c r="G31" s="2">
        <v>999</v>
      </c>
    </row>
    <row r="32" spans="2:7" x14ac:dyDescent="0.25">
      <c r="B32" s="2" t="s">
        <v>11</v>
      </c>
      <c r="C32" s="2">
        <f t="shared" si="3"/>
        <v>4051</v>
      </c>
      <c r="D32" s="2">
        <f t="shared" si="4"/>
        <v>4404</v>
      </c>
      <c r="E32" s="4">
        <v>0.22</v>
      </c>
      <c r="F32" s="11">
        <f t="shared" si="5"/>
        <v>969</v>
      </c>
      <c r="G32" s="2">
        <v>923</v>
      </c>
    </row>
    <row r="35" spans="2:7" x14ac:dyDescent="0.25">
      <c r="B35" s="7"/>
    </row>
    <row r="37" spans="2:7" x14ac:dyDescent="0.25">
      <c r="B37" s="7"/>
      <c r="E37" s="1"/>
      <c r="F37" s="14"/>
    </row>
    <row r="38" spans="2:7" x14ac:dyDescent="0.25">
      <c r="B38" s="7"/>
      <c r="E38" s="1"/>
      <c r="F38" s="14"/>
      <c r="G38" s="9"/>
    </row>
    <row r="39" spans="2:7" x14ac:dyDescent="0.25">
      <c r="B39" s="7"/>
      <c r="E39" s="1"/>
      <c r="F39" s="14"/>
      <c r="G39" s="9"/>
    </row>
    <row r="40" spans="2:7" x14ac:dyDescent="0.25">
      <c r="B40" s="7"/>
      <c r="E40" s="1"/>
      <c r="F40" s="14"/>
      <c r="G40" s="9"/>
    </row>
    <row r="41" spans="2:7" x14ac:dyDescent="0.25">
      <c r="B41" s="7"/>
      <c r="E41" s="1"/>
      <c r="F41" s="14"/>
      <c r="G41" s="9"/>
    </row>
    <row r="42" spans="2:7" x14ac:dyDescent="0.25">
      <c r="B42" s="7"/>
      <c r="E42" s="1"/>
      <c r="F42" s="14"/>
      <c r="G42" s="9"/>
    </row>
    <row r="43" spans="2:7" x14ac:dyDescent="0.25">
      <c r="B43" s="7"/>
      <c r="E43" s="1"/>
      <c r="F43" s="14"/>
      <c r="G43" s="9"/>
    </row>
    <row r="44" spans="2:7" x14ac:dyDescent="0.25">
      <c r="B44" s="7"/>
      <c r="E44" s="1"/>
      <c r="F44" s="14"/>
      <c r="G44" s="9"/>
    </row>
    <row r="45" spans="2:7" x14ac:dyDescent="0.25">
      <c r="B45" s="7"/>
      <c r="E45" s="1"/>
      <c r="F45" s="14"/>
      <c r="G45" s="9"/>
    </row>
    <row r="46" spans="2:7" x14ac:dyDescent="0.25">
      <c r="B46" s="7"/>
      <c r="E46" s="1"/>
      <c r="F46" s="14"/>
      <c r="G46" s="9"/>
    </row>
    <row r="47" spans="2:7" x14ac:dyDescent="0.25">
      <c r="B47" s="7"/>
      <c r="E47" s="1"/>
      <c r="F47" s="14"/>
      <c r="G47" s="9"/>
    </row>
    <row r="48" spans="2:7" x14ac:dyDescent="0.25">
      <c r="B48" s="7"/>
      <c r="E48" s="1"/>
      <c r="F48" s="14"/>
      <c r="G48" s="9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K31" sqref="K31"/>
    </sheetView>
  </sheetViews>
  <sheetFormatPr defaultColWidth="11" defaultRowHeight="15.75" x14ac:dyDescent="0.25"/>
  <sheetData>
    <row r="2" spans="2:7" x14ac:dyDescent="0.25">
      <c r="B2" t="s">
        <v>37</v>
      </c>
    </row>
    <row r="3" spans="2:7" x14ac:dyDescent="0.25">
      <c r="B3" s="2" t="s">
        <v>12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29</v>
      </c>
    </row>
    <row r="4" spans="2:7" x14ac:dyDescent="0.25">
      <c r="B4" s="2" t="s">
        <v>0</v>
      </c>
      <c r="C4" s="2">
        <f>INT(0.92*D4)</f>
        <v>2</v>
      </c>
      <c r="D4" s="2">
        <f>INT(F4/E4)</f>
        <v>3</v>
      </c>
      <c r="E4" s="4">
        <v>0.30000000000000004</v>
      </c>
      <c r="F4" s="11">
        <f>INT(G4*1.05)</f>
        <v>1</v>
      </c>
      <c r="G4" s="2">
        <v>1</v>
      </c>
    </row>
    <row r="5" spans="2:7" x14ac:dyDescent="0.25">
      <c r="B5" s="2" t="s">
        <v>1</v>
      </c>
      <c r="C5" s="2">
        <f t="shared" ref="C5:C15" si="0">INT(0.92*D5)</f>
        <v>56</v>
      </c>
      <c r="D5" s="2">
        <f t="shared" ref="D5:D15" si="1">INT(F5/E5)</f>
        <v>61</v>
      </c>
      <c r="E5" s="4">
        <v>0.31</v>
      </c>
      <c r="F5" s="11">
        <f t="shared" ref="F5:F15" si="2">INT(G5*1.05)</f>
        <v>19</v>
      </c>
      <c r="G5" s="2">
        <v>19</v>
      </c>
    </row>
    <row r="6" spans="2:7" x14ac:dyDescent="0.25">
      <c r="B6" s="2" t="s">
        <v>2</v>
      </c>
      <c r="C6" s="2">
        <f t="shared" si="0"/>
        <v>67</v>
      </c>
      <c r="D6" s="2">
        <f t="shared" si="1"/>
        <v>73</v>
      </c>
      <c r="E6" s="4">
        <v>0.33999999999999997</v>
      </c>
      <c r="F6" s="11">
        <f t="shared" si="2"/>
        <v>25</v>
      </c>
      <c r="G6" s="2">
        <v>24</v>
      </c>
    </row>
    <row r="7" spans="2:7" x14ac:dyDescent="0.25">
      <c r="B7" s="2" t="s">
        <v>3</v>
      </c>
      <c r="C7" s="2">
        <f t="shared" si="0"/>
        <v>66</v>
      </c>
      <c r="D7" s="2">
        <f t="shared" si="1"/>
        <v>72</v>
      </c>
      <c r="E7" s="4">
        <v>0.33</v>
      </c>
      <c r="F7" s="11">
        <f t="shared" si="2"/>
        <v>24</v>
      </c>
      <c r="G7" s="2">
        <v>23</v>
      </c>
    </row>
    <row r="8" spans="2:7" x14ac:dyDescent="0.25">
      <c r="B8" s="2" t="s">
        <v>4</v>
      </c>
      <c r="C8" s="2">
        <f t="shared" si="0"/>
        <v>88</v>
      </c>
      <c r="D8" s="2">
        <f t="shared" si="1"/>
        <v>96</v>
      </c>
      <c r="E8" s="4">
        <v>0.32</v>
      </c>
      <c r="F8" s="11">
        <f t="shared" si="2"/>
        <v>31</v>
      </c>
      <c r="G8" s="2">
        <v>30</v>
      </c>
    </row>
    <row r="9" spans="2:7" x14ac:dyDescent="0.25">
      <c r="B9" s="2" t="s">
        <v>5</v>
      </c>
      <c r="C9" s="2">
        <f t="shared" si="0"/>
        <v>115</v>
      </c>
      <c r="D9" s="2">
        <f t="shared" si="1"/>
        <v>126</v>
      </c>
      <c r="E9" s="4">
        <v>0.30000000000000004</v>
      </c>
      <c r="F9" s="11">
        <f t="shared" si="2"/>
        <v>38</v>
      </c>
      <c r="G9" s="2">
        <v>37</v>
      </c>
    </row>
    <row r="10" spans="2:7" x14ac:dyDescent="0.25">
      <c r="B10" s="2" t="s">
        <v>6</v>
      </c>
      <c r="C10" s="2">
        <f t="shared" si="0"/>
        <v>33</v>
      </c>
      <c r="D10" s="2">
        <f t="shared" si="1"/>
        <v>36</v>
      </c>
      <c r="E10" s="4">
        <v>0.33</v>
      </c>
      <c r="F10" s="11">
        <f t="shared" si="2"/>
        <v>12</v>
      </c>
      <c r="G10" s="2">
        <v>12</v>
      </c>
    </row>
    <row r="11" spans="2:7" x14ac:dyDescent="0.25">
      <c r="B11" s="2" t="s">
        <v>7</v>
      </c>
      <c r="C11" s="2">
        <f t="shared" si="0"/>
        <v>189</v>
      </c>
      <c r="D11" s="2">
        <f t="shared" si="1"/>
        <v>206</v>
      </c>
      <c r="E11" s="4">
        <v>0.31</v>
      </c>
      <c r="F11" s="11">
        <f t="shared" si="2"/>
        <v>64</v>
      </c>
      <c r="G11" s="2">
        <v>61</v>
      </c>
    </row>
    <row r="12" spans="2:7" x14ac:dyDescent="0.25">
      <c r="B12" s="2" t="s">
        <v>8</v>
      </c>
      <c r="C12" s="2">
        <f t="shared" si="0"/>
        <v>203</v>
      </c>
      <c r="D12" s="2">
        <f t="shared" si="1"/>
        <v>221</v>
      </c>
      <c r="E12" s="4">
        <v>0.32</v>
      </c>
      <c r="F12" s="11">
        <f t="shared" si="2"/>
        <v>71</v>
      </c>
      <c r="G12" s="2">
        <v>68</v>
      </c>
    </row>
    <row r="13" spans="2:7" x14ac:dyDescent="0.25">
      <c r="B13" s="2" t="s">
        <v>9</v>
      </c>
      <c r="C13" s="2">
        <f t="shared" si="0"/>
        <v>228</v>
      </c>
      <c r="D13" s="2">
        <f t="shared" si="1"/>
        <v>248</v>
      </c>
      <c r="E13" s="4">
        <v>0.31</v>
      </c>
      <c r="F13" s="11">
        <f t="shared" si="2"/>
        <v>77</v>
      </c>
      <c r="G13" s="2">
        <v>74</v>
      </c>
    </row>
    <row r="14" spans="2:7" x14ac:dyDescent="0.25">
      <c r="B14" s="2" t="s">
        <v>10</v>
      </c>
      <c r="C14" s="2">
        <f t="shared" si="0"/>
        <v>159</v>
      </c>
      <c r="D14" s="2">
        <f t="shared" si="1"/>
        <v>173</v>
      </c>
      <c r="E14" s="4">
        <v>0.30000000000000004</v>
      </c>
      <c r="F14" s="11">
        <f t="shared" si="2"/>
        <v>52</v>
      </c>
      <c r="G14" s="2">
        <v>50</v>
      </c>
    </row>
    <row r="15" spans="2:7" x14ac:dyDescent="0.25">
      <c r="B15" s="2" t="s">
        <v>11</v>
      </c>
      <c r="C15" s="2">
        <f t="shared" si="0"/>
        <v>281</v>
      </c>
      <c r="D15" s="2">
        <f t="shared" si="1"/>
        <v>306</v>
      </c>
      <c r="E15" s="4">
        <v>0.32</v>
      </c>
      <c r="F15" s="11">
        <f t="shared" si="2"/>
        <v>98</v>
      </c>
      <c r="G15" s="2">
        <v>94</v>
      </c>
    </row>
    <row r="19" spans="2:7" x14ac:dyDescent="0.25">
      <c r="B19" t="s">
        <v>38</v>
      </c>
    </row>
    <row r="20" spans="2:7" x14ac:dyDescent="0.25">
      <c r="B20" s="2" t="s">
        <v>12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29</v>
      </c>
    </row>
    <row r="21" spans="2:7" x14ac:dyDescent="0.25">
      <c r="B21" s="2" t="s">
        <v>0</v>
      </c>
      <c r="C21" s="2">
        <f>INT(0.92*D21)</f>
        <v>9</v>
      </c>
      <c r="D21" s="2">
        <f>INT(F21/E21)</f>
        <v>10</v>
      </c>
      <c r="E21" s="4">
        <v>0.2</v>
      </c>
      <c r="F21" s="11">
        <f>INT(G21*1.05)</f>
        <v>2</v>
      </c>
      <c r="G21" s="2">
        <v>2</v>
      </c>
    </row>
    <row r="22" spans="2:7" x14ac:dyDescent="0.25">
      <c r="B22" s="2" t="s">
        <v>1</v>
      </c>
      <c r="C22" s="2">
        <f t="shared" ref="C22:C32" si="3">INT(0.92*D22)</f>
        <v>652</v>
      </c>
      <c r="D22" s="2">
        <f t="shared" ref="D22:D32" si="4">INT(F22/E22)</f>
        <v>709</v>
      </c>
      <c r="E22" s="4">
        <v>0.21</v>
      </c>
      <c r="F22" s="11">
        <f t="shared" ref="F22:F32" si="5">INT(G22*1.05)</f>
        <v>149</v>
      </c>
      <c r="G22" s="2">
        <v>142</v>
      </c>
    </row>
    <row r="23" spans="2:7" x14ac:dyDescent="0.25">
      <c r="B23" s="2" t="s">
        <v>2</v>
      </c>
      <c r="C23" s="2">
        <f t="shared" si="3"/>
        <v>1118</v>
      </c>
      <c r="D23" s="2">
        <f t="shared" si="4"/>
        <v>1216</v>
      </c>
      <c r="E23" s="4">
        <v>0.24</v>
      </c>
      <c r="F23" s="11">
        <f t="shared" si="5"/>
        <v>292</v>
      </c>
      <c r="G23" s="2">
        <v>279</v>
      </c>
    </row>
    <row r="24" spans="2:7" x14ac:dyDescent="0.25">
      <c r="B24" s="2" t="s">
        <v>3</v>
      </c>
      <c r="C24" s="2">
        <f t="shared" si="3"/>
        <v>903</v>
      </c>
      <c r="D24" s="2">
        <f t="shared" si="4"/>
        <v>982</v>
      </c>
      <c r="E24" s="4">
        <v>0.23</v>
      </c>
      <c r="F24" s="11">
        <f t="shared" si="5"/>
        <v>226</v>
      </c>
      <c r="G24" s="2">
        <v>216</v>
      </c>
    </row>
    <row r="25" spans="2:7" x14ac:dyDescent="0.25">
      <c r="B25" s="2" t="s">
        <v>4</v>
      </c>
      <c r="C25" s="2">
        <f t="shared" si="3"/>
        <v>1183</v>
      </c>
      <c r="D25" s="2">
        <f t="shared" si="4"/>
        <v>1286</v>
      </c>
      <c r="E25" s="4">
        <v>0.22</v>
      </c>
      <c r="F25" s="11">
        <f t="shared" si="5"/>
        <v>283</v>
      </c>
      <c r="G25" s="2">
        <v>270</v>
      </c>
    </row>
    <row r="26" spans="2:7" x14ac:dyDescent="0.25">
      <c r="B26" s="2" t="s">
        <v>5</v>
      </c>
      <c r="C26" s="2">
        <f t="shared" si="3"/>
        <v>1587</v>
      </c>
      <c r="D26" s="2">
        <f t="shared" si="4"/>
        <v>1725</v>
      </c>
      <c r="E26" s="4">
        <v>0.2</v>
      </c>
      <c r="F26" s="11">
        <f t="shared" si="5"/>
        <v>345</v>
      </c>
      <c r="G26" s="2">
        <v>329</v>
      </c>
    </row>
    <row r="27" spans="2:7" x14ac:dyDescent="0.25">
      <c r="B27" s="2" t="s">
        <v>6</v>
      </c>
      <c r="C27" s="2">
        <f t="shared" si="3"/>
        <v>615</v>
      </c>
      <c r="D27" s="2">
        <f t="shared" si="4"/>
        <v>669</v>
      </c>
      <c r="E27" s="4">
        <v>0.23</v>
      </c>
      <c r="F27" s="11">
        <f t="shared" si="5"/>
        <v>154</v>
      </c>
      <c r="G27" s="2">
        <v>147</v>
      </c>
    </row>
    <row r="28" spans="2:7" x14ac:dyDescent="0.25">
      <c r="B28" s="2" t="s">
        <v>7</v>
      </c>
      <c r="C28" s="2">
        <f t="shared" si="3"/>
        <v>4100</v>
      </c>
      <c r="D28" s="2">
        <f t="shared" si="4"/>
        <v>4457</v>
      </c>
      <c r="E28" s="4">
        <v>0.21</v>
      </c>
      <c r="F28" s="11">
        <f t="shared" si="5"/>
        <v>936</v>
      </c>
      <c r="G28" s="2">
        <v>892</v>
      </c>
    </row>
    <row r="29" spans="2:7" x14ac:dyDescent="0.25">
      <c r="B29" s="2" t="s">
        <v>8</v>
      </c>
      <c r="C29" s="2">
        <f t="shared" si="3"/>
        <v>3182</v>
      </c>
      <c r="D29" s="2">
        <f t="shared" si="4"/>
        <v>3459</v>
      </c>
      <c r="E29" s="4">
        <v>0.22</v>
      </c>
      <c r="F29" s="11">
        <f t="shared" si="5"/>
        <v>761</v>
      </c>
      <c r="G29" s="2">
        <v>725</v>
      </c>
    </row>
    <row r="30" spans="2:7" x14ac:dyDescent="0.25">
      <c r="B30" s="2" t="s">
        <v>9</v>
      </c>
      <c r="C30" s="2">
        <f t="shared" si="3"/>
        <v>3740</v>
      </c>
      <c r="D30" s="2">
        <f t="shared" si="4"/>
        <v>4066</v>
      </c>
      <c r="E30" s="4">
        <v>0.21</v>
      </c>
      <c r="F30" s="11">
        <f t="shared" si="5"/>
        <v>854</v>
      </c>
      <c r="G30" s="2">
        <v>814</v>
      </c>
    </row>
    <row r="31" spans="2:7" x14ac:dyDescent="0.25">
      <c r="B31" s="2" t="s">
        <v>10</v>
      </c>
      <c r="C31" s="2">
        <f t="shared" si="3"/>
        <v>4820</v>
      </c>
      <c r="D31" s="2">
        <f t="shared" si="4"/>
        <v>5240</v>
      </c>
      <c r="E31" s="4">
        <v>0.2</v>
      </c>
      <c r="F31" s="11">
        <f t="shared" si="5"/>
        <v>1048</v>
      </c>
      <c r="G31" s="2">
        <v>999</v>
      </c>
    </row>
    <row r="32" spans="2:7" x14ac:dyDescent="0.25">
      <c r="B32" s="2" t="s">
        <v>11</v>
      </c>
      <c r="C32" s="2">
        <f t="shared" si="3"/>
        <v>4051</v>
      </c>
      <c r="D32" s="2">
        <f t="shared" si="4"/>
        <v>4404</v>
      </c>
      <c r="E32" s="4">
        <v>0.22</v>
      </c>
      <c r="F32" s="11">
        <f t="shared" si="5"/>
        <v>969</v>
      </c>
      <c r="G32" s="2">
        <v>923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4"/>
  <sheetViews>
    <sheetView showGridLines="0" topLeftCell="A4" zoomScale="75" zoomScaleNormal="110" workbookViewId="0">
      <selection activeCell="O24" sqref="O24"/>
    </sheetView>
  </sheetViews>
  <sheetFormatPr defaultColWidth="11" defaultRowHeight="15.75" outlineLevelCol="1" x14ac:dyDescent="0.25"/>
  <cols>
    <col min="1" max="1" width="6.125" customWidth="1"/>
    <col min="2" max="2" width="20.375" customWidth="1"/>
    <col min="3" max="10" width="0" hidden="1" customWidth="1" outlineLevel="1"/>
    <col min="11" max="11" width="10.875" collapsed="1"/>
  </cols>
  <sheetData>
    <row r="2" spans="2:26" x14ac:dyDescent="0.25">
      <c r="B2" s="42" t="s">
        <v>97</v>
      </c>
    </row>
    <row r="4" spans="2:26" ht="26.25" x14ac:dyDescent="0.4">
      <c r="B4" s="57" t="s">
        <v>42</v>
      </c>
    </row>
    <row r="5" spans="2:26" ht="26.25" x14ac:dyDescent="0.4">
      <c r="B5" s="6"/>
    </row>
    <row r="6" spans="2:26" ht="17.100000000000001" customHeight="1" x14ac:dyDescent="0.25">
      <c r="C6" s="55">
        <v>42887</v>
      </c>
      <c r="D6" s="55">
        <f>EOMONTH(C6,1)</f>
        <v>42947</v>
      </c>
      <c r="E6" s="55">
        <f t="shared" ref="E6:Z6" si="0">EOMONTH(D6,1)</f>
        <v>42978</v>
      </c>
      <c r="F6" s="55">
        <f t="shared" si="0"/>
        <v>43008</v>
      </c>
      <c r="G6" s="55">
        <f t="shared" si="0"/>
        <v>43039</v>
      </c>
      <c r="H6" s="55">
        <f t="shared" si="0"/>
        <v>43069</v>
      </c>
      <c r="I6" s="55">
        <f t="shared" si="0"/>
        <v>43100</v>
      </c>
      <c r="J6" s="55">
        <f t="shared" si="0"/>
        <v>43131</v>
      </c>
      <c r="K6" s="55">
        <f t="shared" si="0"/>
        <v>43159</v>
      </c>
      <c r="L6" s="55">
        <f t="shared" si="0"/>
        <v>43190</v>
      </c>
      <c r="M6" s="55">
        <f t="shared" si="0"/>
        <v>43220</v>
      </c>
      <c r="N6" s="55">
        <f t="shared" si="0"/>
        <v>43251</v>
      </c>
      <c r="O6" s="55">
        <f t="shared" si="0"/>
        <v>43281</v>
      </c>
      <c r="P6" s="55">
        <f t="shared" si="0"/>
        <v>43312</v>
      </c>
      <c r="Q6" s="55">
        <f t="shared" si="0"/>
        <v>43343</v>
      </c>
      <c r="R6" s="55">
        <f t="shared" si="0"/>
        <v>43373</v>
      </c>
      <c r="S6" s="55">
        <f t="shared" si="0"/>
        <v>43404</v>
      </c>
      <c r="T6" s="55">
        <f t="shared" si="0"/>
        <v>43434</v>
      </c>
      <c r="U6" s="55">
        <f t="shared" si="0"/>
        <v>43465</v>
      </c>
      <c r="V6" s="55">
        <f t="shared" si="0"/>
        <v>43496</v>
      </c>
      <c r="W6" s="55">
        <f t="shared" si="0"/>
        <v>43524</v>
      </c>
      <c r="X6" s="55">
        <f t="shared" si="0"/>
        <v>43555</v>
      </c>
      <c r="Y6" s="55">
        <f t="shared" si="0"/>
        <v>43585</v>
      </c>
      <c r="Z6" s="55">
        <f t="shared" si="0"/>
        <v>43616</v>
      </c>
    </row>
    <row r="8" spans="2:26" x14ac:dyDescent="0.25">
      <c r="B8" s="48" t="s">
        <v>31</v>
      </c>
    </row>
    <row r="9" spans="2:26" x14ac:dyDescent="0.25">
      <c r="B9" s="2" t="s">
        <v>29</v>
      </c>
      <c r="C9" s="74">
        <f>'INPUTS Leads- Trafego pago'!C14</f>
        <v>0</v>
      </c>
      <c r="D9" s="74">
        <f>'INPUTS Leads- Trafego pago'!D14</f>
        <v>56</v>
      </c>
      <c r="E9" s="74">
        <f>'INPUTS Leads- Trafego pago'!E14</f>
        <v>79</v>
      </c>
      <c r="F9" s="74">
        <f>'INPUTS Leads- Trafego pago'!F14</f>
        <v>64</v>
      </c>
      <c r="G9" s="74">
        <f>'INPUTS Leads- Trafego pago'!G14</f>
        <v>100</v>
      </c>
      <c r="H9" s="74">
        <f>'INPUTS Leads- Trafego pago'!H14</f>
        <v>70</v>
      </c>
      <c r="I9" s="74">
        <f>'INPUTS Leads- Trafego pago'!I14</f>
        <v>35</v>
      </c>
      <c r="J9" s="74">
        <f>'INPUTS Leads- Trafego pago'!J14</f>
        <v>170</v>
      </c>
      <c r="K9" s="74">
        <f>'INPUTS Leads- Trafego pago'!K14</f>
        <v>212</v>
      </c>
      <c r="L9" s="74">
        <f>'INPUTS Leads- Trafego pago'!L14</f>
        <v>262</v>
      </c>
      <c r="M9" s="74">
        <f>'INPUTS Leads- Trafego pago'!M14</f>
        <v>272</v>
      </c>
      <c r="N9" s="74">
        <f>'INPUTS Leads- Trafego pago'!N14</f>
        <v>266</v>
      </c>
      <c r="O9" s="74">
        <f>'INPUTS Leads- Trafego pago'!O14</f>
        <v>298</v>
      </c>
      <c r="P9" s="74">
        <f>'INPUTS Leads- Trafego pago'!P14</f>
        <v>310</v>
      </c>
      <c r="Q9" s="74">
        <f>'INPUTS Leads- Trafego pago'!Q14</f>
        <v>323</v>
      </c>
      <c r="R9" s="74">
        <f>'INPUTS Leads- Trafego pago'!R14</f>
        <v>335</v>
      </c>
      <c r="S9" s="74">
        <f>'INPUTS Leads- Trafego pago'!S14</f>
        <v>349</v>
      </c>
      <c r="T9" s="74">
        <f>'INPUTS Leads- Trafego pago'!T14</f>
        <v>363</v>
      </c>
      <c r="U9" s="74">
        <f>'INPUTS Leads- Trafego pago'!U14</f>
        <v>377</v>
      </c>
      <c r="V9" s="74">
        <f>'INPUTS Leads- Trafego pago'!V14</f>
        <v>392</v>
      </c>
      <c r="W9" s="74">
        <f>'INPUTS Leads- Trafego pago'!W14</f>
        <v>408</v>
      </c>
      <c r="X9" s="74">
        <f>'INPUTS Leads- Trafego pago'!X14</f>
        <v>424</v>
      </c>
      <c r="Y9" s="74">
        <f>'INPUTS Leads- Trafego pago'!Y14</f>
        <v>441</v>
      </c>
      <c r="Z9" s="74">
        <f>'INPUTS Leads- Trafego pago'!Z14</f>
        <v>458</v>
      </c>
    </row>
    <row r="10" spans="2:26" x14ac:dyDescent="0.25">
      <c r="B10" s="2" t="s">
        <v>80</v>
      </c>
      <c r="C10" s="46">
        <v>0</v>
      </c>
      <c r="D10" s="75">
        <v>0</v>
      </c>
      <c r="E10" s="75">
        <v>3.7974683544303799E-2</v>
      </c>
      <c r="F10" s="75">
        <v>3.125E-2</v>
      </c>
      <c r="G10" s="75">
        <v>7.0000000000000007E-2</v>
      </c>
      <c r="H10" s="75">
        <v>8.5714285714285715E-2</v>
      </c>
      <c r="I10" s="75">
        <v>5.7142857142857141E-2</v>
      </c>
      <c r="J10" s="75">
        <v>0.11764705882352941</v>
      </c>
      <c r="K10" s="75">
        <v>0.20283018867924529</v>
      </c>
      <c r="L10" s="75">
        <v>0.14885496183206107</v>
      </c>
      <c r="M10" s="75">
        <v>0.15808823529411764</v>
      </c>
      <c r="N10" s="75">
        <v>0.11278195488721804</v>
      </c>
      <c r="O10" s="76">
        <f>AVERAGE(L10:N10)</f>
        <v>0.13990838400446556</v>
      </c>
      <c r="P10" s="69">
        <f>AVERAGE(M10:O10)</f>
        <v>0.13692619139526707</v>
      </c>
      <c r="Q10" s="69">
        <f t="shared" ref="Q10:Z10" si="1">AVERAGE(N10:P10)</f>
        <v>0.12987217676231688</v>
      </c>
      <c r="R10" s="69">
        <f t="shared" si="1"/>
        <v>0.13556891738734986</v>
      </c>
      <c r="S10" s="69">
        <f t="shared" si="1"/>
        <v>0.13412242851497794</v>
      </c>
      <c r="T10" s="69">
        <f t="shared" si="1"/>
        <v>0.13318784088821489</v>
      </c>
      <c r="U10" s="69">
        <f t="shared" si="1"/>
        <v>0.13429306226351423</v>
      </c>
      <c r="V10" s="69">
        <f t="shared" si="1"/>
        <v>0.13386777722223567</v>
      </c>
      <c r="W10" s="69">
        <f t="shared" si="1"/>
        <v>0.13378289345798824</v>
      </c>
      <c r="X10" s="69">
        <f t="shared" si="1"/>
        <v>0.13398124431457936</v>
      </c>
      <c r="Y10" s="69">
        <f t="shared" si="1"/>
        <v>0.13387730499826775</v>
      </c>
      <c r="Z10" s="69">
        <f t="shared" si="1"/>
        <v>0.13388048092361179</v>
      </c>
    </row>
    <row r="11" spans="2:26" x14ac:dyDescent="0.25">
      <c r="B11" s="64" t="s">
        <v>46</v>
      </c>
      <c r="C11" s="64">
        <f>C9*C10</f>
        <v>0</v>
      </c>
      <c r="D11" s="64">
        <f t="shared" ref="D11:N11" si="2">D9*D10</f>
        <v>0</v>
      </c>
      <c r="E11" s="64">
        <f t="shared" si="2"/>
        <v>3</v>
      </c>
      <c r="F11" s="64">
        <f t="shared" si="2"/>
        <v>2</v>
      </c>
      <c r="G11" s="64">
        <f t="shared" si="2"/>
        <v>7.0000000000000009</v>
      </c>
      <c r="H11" s="64">
        <f t="shared" si="2"/>
        <v>6</v>
      </c>
      <c r="I11" s="64">
        <f t="shared" si="2"/>
        <v>2</v>
      </c>
      <c r="J11" s="64">
        <f t="shared" si="2"/>
        <v>20</v>
      </c>
      <c r="K11" s="64">
        <f t="shared" si="2"/>
        <v>43</v>
      </c>
      <c r="L11" s="64">
        <f t="shared" si="2"/>
        <v>39</v>
      </c>
      <c r="M11" s="64">
        <f t="shared" si="2"/>
        <v>43</v>
      </c>
      <c r="N11" s="64">
        <f t="shared" si="2"/>
        <v>30</v>
      </c>
      <c r="O11" s="64">
        <f>INT(O9*O10)</f>
        <v>41</v>
      </c>
      <c r="P11" s="64">
        <f t="shared" ref="P11:Z11" si="3">INT(P9*P10)</f>
        <v>42</v>
      </c>
      <c r="Q11" s="64">
        <f t="shared" si="3"/>
        <v>41</v>
      </c>
      <c r="R11" s="64">
        <f t="shared" si="3"/>
        <v>45</v>
      </c>
      <c r="S11" s="64">
        <f t="shared" si="3"/>
        <v>46</v>
      </c>
      <c r="T11" s="64">
        <f t="shared" si="3"/>
        <v>48</v>
      </c>
      <c r="U11" s="64">
        <f t="shared" si="3"/>
        <v>50</v>
      </c>
      <c r="V11" s="64">
        <f t="shared" si="3"/>
        <v>52</v>
      </c>
      <c r="W11" s="64">
        <f t="shared" si="3"/>
        <v>54</v>
      </c>
      <c r="X11" s="64">
        <f t="shared" si="3"/>
        <v>56</v>
      </c>
      <c r="Y11" s="64">
        <f t="shared" si="3"/>
        <v>59</v>
      </c>
      <c r="Z11" s="64">
        <f t="shared" si="3"/>
        <v>61</v>
      </c>
    </row>
    <row r="13" spans="2:26" x14ac:dyDescent="0.25">
      <c r="B13" s="48" t="s">
        <v>33</v>
      </c>
    </row>
    <row r="14" spans="2:26" x14ac:dyDescent="0.25">
      <c r="B14" s="2" t="s">
        <v>29</v>
      </c>
      <c r="C14" s="74">
        <f>'INPUTS Leads- Trafego pago'!C22</f>
        <v>1</v>
      </c>
      <c r="D14" s="74">
        <f>'INPUTS Leads- Trafego pago'!D22</f>
        <v>19</v>
      </c>
      <c r="E14" s="74">
        <f>'INPUTS Leads- Trafego pago'!E22</f>
        <v>2</v>
      </c>
      <c r="F14" s="74">
        <f>'INPUTS Leads- Trafego pago'!F22</f>
        <v>5</v>
      </c>
      <c r="G14" s="74">
        <f>'INPUTS Leads- Trafego pago'!G22</f>
        <v>5</v>
      </c>
      <c r="H14" s="74">
        <f>'INPUTS Leads- Trafego pago'!H22</f>
        <v>6</v>
      </c>
      <c r="I14" s="74">
        <f>'INPUTS Leads- Trafego pago'!I22</f>
        <v>5</v>
      </c>
      <c r="J14" s="74">
        <f>'INPUTS Leads- Trafego pago'!J22</f>
        <v>11</v>
      </c>
      <c r="K14" s="74">
        <f>'INPUTS Leads- Trafego pago'!K22</f>
        <v>18</v>
      </c>
      <c r="L14" s="74">
        <f>'INPUTS Leads- Trafego pago'!L22</f>
        <v>16</v>
      </c>
      <c r="M14" s="74">
        <f>'INPUTS Leads- Trafego pago'!M22</f>
        <v>19</v>
      </c>
      <c r="N14" s="74">
        <f>'INPUTS Leads- Trafego pago'!N22</f>
        <v>11</v>
      </c>
      <c r="O14" s="74">
        <f>'INPUTS Leads- Trafego pago'!O22</f>
        <v>12</v>
      </c>
      <c r="P14" s="74">
        <f>'INPUTS Leads- Trafego pago'!P22</f>
        <v>12</v>
      </c>
      <c r="Q14" s="74">
        <f>'INPUTS Leads- Trafego pago'!Q22</f>
        <v>13</v>
      </c>
      <c r="R14" s="74">
        <f>'INPUTS Leads- Trafego pago'!R22</f>
        <v>13</v>
      </c>
      <c r="S14" s="74">
        <f>'INPUTS Leads- Trafego pago'!S22</f>
        <v>14</v>
      </c>
      <c r="T14" s="74">
        <f>'INPUTS Leads- Trafego pago'!T22</f>
        <v>14</v>
      </c>
      <c r="U14" s="74">
        <f>'INPUTS Leads- Trafego pago'!U22</f>
        <v>15</v>
      </c>
      <c r="V14" s="74">
        <f>'INPUTS Leads- Trafego pago'!V22</f>
        <v>16</v>
      </c>
      <c r="W14" s="74">
        <f>'INPUTS Leads- Trafego pago'!W22</f>
        <v>16</v>
      </c>
      <c r="X14" s="74">
        <f>'INPUTS Leads- Trafego pago'!X22</f>
        <v>17</v>
      </c>
      <c r="Y14" s="74">
        <f>'INPUTS Leads- Trafego pago'!Y22</f>
        <v>18</v>
      </c>
      <c r="Z14" s="74">
        <f>'INPUTS Leads- Trafego pago'!Z22</f>
        <v>19</v>
      </c>
    </row>
    <row r="15" spans="2:26" x14ac:dyDescent="0.25">
      <c r="B15" s="2" t="s">
        <v>81</v>
      </c>
      <c r="C15" s="46">
        <v>0</v>
      </c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0.2</v>
      </c>
      <c r="J15" s="75">
        <v>0</v>
      </c>
      <c r="K15" s="75">
        <v>5.5555555555555552E-2</v>
      </c>
      <c r="L15" s="75">
        <v>6.25E-2</v>
      </c>
      <c r="M15" s="75">
        <v>0.10526315789473684</v>
      </c>
      <c r="N15" s="75">
        <v>9.0909090909090912E-2</v>
      </c>
      <c r="O15" s="76">
        <f>AVERAGE(L15:N15)</f>
        <v>8.6224082934609259E-2</v>
      </c>
      <c r="P15" s="69">
        <f>AVERAGE(M15:O15)</f>
        <v>9.4132110579479011E-2</v>
      </c>
      <c r="Q15" s="69">
        <f t="shared" ref="Q15:Z15" si="4">AVERAGE(N15:P15)</f>
        <v>9.042176147439307E-2</v>
      </c>
      <c r="R15" s="69">
        <f t="shared" si="4"/>
        <v>9.0259318329493785E-2</v>
      </c>
      <c r="S15" s="69">
        <f t="shared" si="4"/>
        <v>9.1604396794455298E-2</v>
      </c>
      <c r="T15" s="69">
        <f t="shared" si="4"/>
        <v>9.0761825532780727E-2</v>
      </c>
      <c r="U15" s="69">
        <f t="shared" si="4"/>
        <v>9.0875180218909946E-2</v>
      </c>
      <c r="V15" s="69">
        <f t="shared" si="4"/>
        <v>9.1080467515381999E-2</v>
      </c>
      <c r="W15" s="69">
        <f t="shared" si="4"/>
        <v>9.0905824422357562E-2</v>
      </c>
      <c r="X15" s="69">
        <f t="shared" si="4"/>
        <v>9.0953824052216511E-2</v>
      </c>
      <c r="Y15" s="69">
        <f t="shared" si="4"/>
        <v>9.0980038663318705E-2</v>
      </c>
      <c r="Z15" s="69">
        <f t="shared" si="4"/>
        <v>9.0946562379297602E-2</v>
      </c>
    </row>
    <row r="16" spans="2:26" x14ac:dyDescent="0.25">
      <c r="B16" s="64" t="s">
        <v>46</v>
      </c>
      <c r="C16" s="64">
        <f t="shared" ref="C16:N16" si="5">C14*C15</f>
        <v>0</v>
      </c>
      <c r="D16" s="64">
        <f t="shared" si="5"/>
        <v>0</v>
      </c>
      <c r="E16" s="64">
        <f t="shared" si="5"/>
        <v>0</v>
      </c>
      <c r="F16" s="64">
        <f t="shared" si="5"/>
        <v>0</v>
      </c>
      <c r="G16" s="64">
        <f t="shared" si="5"/>
        <v>0</v>
      </c>
      <c r="H16" s="64">
        <f t="shared" si="5"/>
        <v>0</v>
      </c>
      <c r="I16" s="64">
        <f t="shared" si="5"/>
        <v>1</v>
      </c>
      <c r="J16" s="64">
        <f t="shared" si="5"/>
        <v>0</v>
      </c>
      <c r="K16" s="64">
        <f t="shared" si="5"/>
        <v>1</v>
      </c>
      <c r="L16" s="64">
        <f t="shared" si="5"/>
        <v>1</v>
      </c>
      <c r="M16" s="64">
        <f t="shared" si="5"/>
        <v>2</v>
      </c>
      <c r="N16" s="64">
        <f t="shared" si="5"/>
        <v>1</v>
      </c>
      <c r="O16" s="64">
        <f t="shared" ref="O16:Z16" si="6">INT(O14*O15)</f>
        <v>1</v>
      </c>
      <c r="P16" s="64">
        <f t="shared" si="6"/>
        <v>1</v>
      </c>
      <c r="Q16" s="64">
        <f t="shared" si="6"/>
        <v>1</v>
      </c>
      <c r="R16" s="64">
        <f t="shared" si="6"/>
        <v>1</v>
      </c>
      <c r="S16" s="64">
        <f t="shared" si="6"/>
        <v>1</v>
      </c>
      <c r="T16" s="64">
        <f t="shared" si="6"/>
        <v>1</v>
      </c>
      <c r="U16" s="64">
        <f t="shared" si="6"/>
        <v>1</v>
      </c>
      <c r="V16" s="64">
        <f t="shared" si="6"/>
        <v>1</v>
      </c>
      <c r="W16" s="64">
        <f t="shared" si="6"/>
        <v>1</v>
      </c>
      <c r="X16" s="64">
        <f t="shared" si="6"/>
        <v>1</v>
      </c>
      <c r="Y16" s="64">
        <f t="shared" si="6"/>
        <v>1</v>
      </c>
      <c r="Z16" s="64">
        <f t="shared" si="6"/>
        <v>1</v>
      </c>
    </row>
    <row r="18" spans="2:26" x14ac:dyDescent="0.25">
      <c r="B18" s="48" t="s">
        <v>34</v>
      </c>
    </row>
    <row r="19" spans="2:26" x14ac:dyDescent="0.25">
      <c r="B19" s="2" t="s">
        <v>29</v>
      </c>
      <c r="C19" s="74">
        <f>'INPUTS Leads- Trafego pago'!C30</f>
        <v>0</v>
      </c>
      <c r="D19" s="74">
        <f>'INPUTS Leads- Trafego pago'!D30</f>
        <v>3</v>
      </c>
      <c r="E19" s="74">
        <f>'INPUTS Leads- Trafego pago'!E30</f>
        <v>2</v>
      </c>
      <c r="F19" s="74">
        <f>'INPUTS Leads- Trafego pago'!F30</f>
        <v>4</v>
      </c>
      <c r="G19" s="74">
        <f>'INPUTS Leads- Trafego pago'!G30</f>
        <v>11</v>
      </c>
      <c r="H19" s="74">
        <f>'INPUTS Leads- Trafego pago'!H30</f>
        <v>3</v>
      </c>
      <c r="I19" s="74">
        <f>'INPUTS Leads- Trafego pago'!I30</f>
        <v>1</v>
      </c>
      <c r="J19" s="74">
        <f>'INPUTS Leads- Trafego pago'!J30</f>
        <v>7</v>
      </c>
      <c r="K19" s="74">
        <f>'INPUTS Leads- Trafego pago'!K30</f>
        <v>5</v>
      </c>
      <c r="L19" s="74">
        <f>'INPUTS Leads- Trafego pago'!L30</f>
        <v>8</v>
      </c>
      <c r="M19" s="74">
        <f>'INPUTS Leads- Trafego pago'!M30</f>
        <v>12</v>
      </c>
      <c r="N19" s="74">
        <f>'INPUTS Leads- Trafego pago'!N30</f>
        <v>9</v>
      </c>
      <c r="O19" s="74">
        <f>'INPUTS Leads- Trafego pago'!O30</f>
        <v>10</v>
      </c>
      <c r="P19" s="74">
        <f>'INPUTS Leads- Trafego pago'!P30</f>
        <v>10</v>
      </c>
      <c r="Q19" s="74">
        <f>'INPUTS Leads- Trafego pago'!Q30</f>
        <v>11</v>
      </c>
      <c r="R19" s="74">
        <f>'INPUTS Leads- Trafego pago'!R30</f>
        <v>12</v>
      </c>
      <c r="S19" s="74">
        <f>'INPUTS Leads- Trafego pago'!S30</f>
        <v>12</v>
      </c>
      <c r="T19" s="74">
        <f>'INPUTS Leads- Trafego pago'!T30</f>
        <v>13</v>
      </c>
      <c r="U19" s="74">
        <f>'INPUTS Leads- Trafego pago'!U30</f>
        <v>13</v>
      </c>
      <c r="V19" s="74">
        <f>'INPUTS Leads- Trafego pago'!V30</f>
        <v>14</v>
      </c>
      <c r="W19" s="74">
        <f>'INPUTS Leads- Trafego pago'!W30</f>
        <v>15</v>
      </c>
      <c r="X19" s="74">
        <f>'INPUTS Leads- Trafego pago'!X30</f>
        <v>15</v>
      </c>
      <c r="Y19" s="74">
        <f>'INPUTS Leads- Trafego pago'!Y30</f>
        <v>16</v>
      </c>
      <c r="Z19" s="74">
        <f>'INPUTS Leads- Trafego pago'!Z30</f>
        <v>17</v>
      </c>
    </row>
    <row r="20" spans="2:26" x14ac:dyDescent="0.25">
      <c r="B20" s="2" t="s">
        <v>81</v>
      </c>
      <c r="C20" s="46">
        <v>0</v>
      </c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>
        <v>0.2857142857142857</v>
      </c>
      <c r="K20" s="75">
        <v>0</v>
      </c>
      <c r="L20" s="75">
        <v>0.125</v>
      </c>
      <c r="M20" s="75">
        <v>0</v>
      </c>
      <c r="N20" s="75">
        <v>0</v>
      </c>
      <c r="O20" s="71">
        <f>Suposições!$C$42</f>
        <v>0.13</v>
      </c>
      <c r="P20" s="69">
        <f>Suposições!$C$42</f>
        <v>0.13</v>
      </c>
      <c r="Q20" s="69">
        <f>Suposições!$C$42</f>
        <v>0.13</v>
      </c>
      <c r="R20" s="69">
        <f>Suposições!$C$42</f>
        <v>0.13</v>
      </c>
      <c r="S20" s="69">
        <f>Suposições!$C$42</f>
        <v>0.13</v>
      </c>
      <c r="T20" s="69">
        <f>Suposições!$C$42</f>
        <v>0.13</v>
      </c>
      <c r="U20" s="69">
        <f>Suposições!$C$42</f>
        <v>0.13</v>
      </c>
      <c r="V20" s="69">
        <f>Suposições!$C$42</f>
        <v>0.13</v>
      </c>
      <c r="W20" s="69">
        <f>Suposições!$C$42</f>
        <v>0.13</v>
      </c>
      <c r="X20" s="69">
        <f>Suposições!$C$42</f>
        <v>0.13</v>
      </c>
      <c r="Y20" s="69">
        <f>Suposições!$C$42</f>
        <v>0.13</v>
      </c>
      <c r="Z20" s="69">
        <f>Suposições!$C$42</f>
        <v>0.13</v>
      </c>
    </row>
    <row r="21" spans="2:26" x14ac:dyDescent="0.25">
      <c r="B21" s="64" t="s">
        <v>46</v>
      </c>
      <c r="C21" s="64">
        <f t="shared" ref="C21:N21" si="7">C19*C20</f>
        <v>0</v>
      </c>
      <c r="D21" s="64">
        <f t="shared" si="7"/>
        <v>0</v>
      </c>
      <c r="E21" s="64">
        <f t="shared" si="7"/>
        <v>0</v>
      </c>
      <c r="F21" s="64">
        <f t="shared" si="7"/>
        <v>0</v>
      </c>
      <c r="G21" s="64">
        <f t="shared" si="7"/>
        <v>0</v>
      </c>
      <c r="H21" s="64">
        <f t="shared" si="7"/>
        <v>0</v>
      </c>
      <c r="I21" s="64">
        <f t="shared" si="7"/>
        <v>0</v>
      </c>
      <c r="J21" s="64">
        <f t="shared" si="7"/>
        <v>2</v>
      </c>
      <c r="K21" s="64">
        <f t="shared" si="7"/>
        <v>0</v>
      </c>
      <c r="L21" s="64">
        <f t="shared" si="7"/>
        <v>1</v>
      </c>
      <c r="M21" s="64">
        <f t="shared" si="7"/>
        <v>0</v>
      </c>
      <c r="N21" s="64">
        <f t="shared" si="7"/>
        <v>0</v>
      </c>
      <c r="O21" s="64">
        <f t="shared" ref="O21:Z21" si="8">INT(O19*O20)</f>
        <v>1</v>
      </c>
      <c r="P21" s="64">
        <f t="shared" si="8"/>
        <v>1</v>
      </c>
      <c r="Q21" s="64">
        <f t="shared" si="8"/>
        <v>1</v>
      </c>
      <c r="R21" s="64">
        <f t="shared" si="8"/>
        <v>1</v>
      </c>
      <c r="S21" s="64">
        <f t="shared" si="8"/>
        <v>1</v>
      </c>
      <c r="T21" s="64">
        <f t="shared" si="8"/>
        <v>1</v>
      </c>
      <c r="U21" s="64">
        <f t="shared" si="8"/>
        <v>1</v>
      </c>
      <c r="V21" s="64">
        <f t="shared" si="8"/>
        <v>1</v>
      </c>
      <c r="W21" s="64">
        <f t="shared" si="8"/>
        <v>1</v>
      </c>
      <c r="X21" s="64">
        <f t="shared" si="8"/>
        <v>1</v>
      </c>
      <c r="Y21" s="64">
        <f t="shared" si="8"/>
        <v>2</v>
      </c>
      <c r="Z21" s="64">
        <f t="shared" si="8"/>
        <v>2</v>
      </c>
    </row>
    <row r="23" spans="2:26" x14ac:dyDescent="0.25">
      <c r="B23" s="48" t="s">
        <v>43</v>
      </c>
    </row>
    <row r="24" spans="2:26" x14ac:dyDescent="0.25">
      <c r="B24" s="2" t="s">
        <v>29</v>
      </c>
      <c r="C24" s="74">
        <f>'INPUTS Leads- Trafego organico'!C13</f>
        <v>1</v>
      </c>
      <c r="D24" s="74">
        <f>'INPUTS Leads- Trafego organico'!D13</f>
        <v>19</v>
      </c>
      <c r="E24" s="74">
        <f>'INPUTS Leads- Trafego organico'!E13</f>
        <v>24</v>
      </c>
      <c r="F24" s="74">
        <f>'INPUTS Leads- Trafego organico'!F13</f>
        <v>23</v>
      </c>
      <c r="G24" s="74">
        <f>'INPUTS Leads- Trafego organico'!G13</f>
        <v>30</v>
      </c>
      <c r="H24" s="74">
        <f>'INPUTS Leads- Trafego organico'!H13</f>
        <v>37</v>
      </c>
      <c r="I24" s="74">
        <f>'INPUTS Leads- Trafego organico'!I13</f>
        <v>12</v>
      </c>
      <c r="J24" s="74">
        <f>'INPUTS Leads- Trafego organico'!J13</f>
        <v>61</v>
      </c>
      <c r="K24" s="74">
        <f>'INPUTS Leads- Trafego organico'!K13</f>
        <v>68</v>
      </c>
      <c r="L24" s="74">
        <f>'INPUTS Leads- Trafego organico'!L13</f>
        <v>74</v>
      </c>
      <c r="M24" s="74">
        <f>'INPUTS Leads- Trafego organico'!M13</f>
        <v>50</v>
      </c>
      <c r="N24" s="74">
        <f>'INPUTS Leads- Trafego organico'!N13</f>
        <v>94</v>
      </c>
      <c r="O24" s="74">
        <f>'INPUTS Leads- Trafego organico'!O13</f>
        <v>91</v>
      </c>
      <c r="P24" s="74">
        <f>'INPUTS Leads- Trafego organico'!P13</f>
        <v>97</v>
      </c>
      <c r="Q24" s="74">
        <f>'INPUTS Leads- Trafego organico'!Q13</f>
        <v>104</v>
      </c>
      <c r="R24" s="74">
        <f>'INPUTS Leads- Trafego organico'!R13</f>
        <v>111</v>
      </c>
      <c r="S24" s="74">
        <f>'INPUTS Leads- Trafego organico'!S13</f>
        <v>117</v>
      </c>
      <c r="T24" s="74">
        <f>'INPUTS Leads- Trafego organico'!T13</f>
        <v>124</v>
      </c>
      <c r="U24" s="74">
        <f>'INPUTS Leads- Trafego organico'!U13</f>
        <v>131</v>
      </c>
      <c r="V24" s="74">
        <f>'INPUTS Leads- Trafego organico'!V13</f>
        <v>137</v>
      </c>
      <c r="W24" s="74">
        <f>'INPUTS Leads- Trafego organico'!W13</f>
        <v>144</v>
      </c>
      <c r="X24" s="74">
        <f>'INPUTS Leads- Trafego organico'!X13</f>
        <v>151</v>
      </c>
      <c r="Y24" s="74">
        <f>'INPUTS Leads- Trafego organico'!Y13</f>
        <v>157</v>
      </c>
      <c r="Z24" s="74">
        <f>'INPUTS Leads- Trafego organico'!Z13</f>
        <v>164</v>
      </c>
    </row>
    <row r="25" spans="2:26" x14ac:dyDescent="0.25">
      <c r="B25" s="2" t="s">
        <v>45</v>
      </c>
      <c r="C25" s="46">
        <v>0</v>
      </c>
      <c r="D25" s="75">
        <v>0</v>
      </c>
      <c r="E25" s="75">
        <v>0</v>
      </c>
      <c r="F25" s="75">
        <v>0</v>
      </c>
      <c r="G25" s="75">
        <v>3.3333333333333333E-2</v>
      </c>
      <c r="H25" s="75">
        <v>0</v>
      </c>
      <c r="I25" s="75">
        <v>0</v>
      </c>
      <c r="J25" s="75">
        <v>1.6393442622950821E-2</v>
      </c>
      <c r="K25" s="75">
        <v>5.8823529411764705E-2</v>
      </c>
      <c r="L25" s="75">
        <v>5.4054054054054057E-2</v>
      </c>
      <c r="M25" s="75">
        <v>0.06</v>
      </c>
      <c r="N25" s="75">
        <v>2.1276595744680851E-2</v>
      </c>
      <c r="O25" s="76">
        <f>AVERAGE(L25:N25)</f>
        <v>4.5110216599578305E-2</v>
      </c>
      <c r="P25" s="77">
        <f>AVERAGE(M25:O25)</f>
        <v>4.2128937448086386E-2</v>
      </c>
      <c r="Q25" s="77">
        <f t="shared" ref="Q25:Z25" si="9">AVERAGE(N25:P25)</f>
        <v>3.6171916597448513E-2</v>
      </c>
      <c r="R25" s="77">
        <f t="shared" si="9"/>
        <v>4.1137023548371066E-2</v>
      </c>
      <c r="S25" s="77">
        <f t="shared" si="9"/>
        <v>3.9812625864635319E-2</v>
      </c>
      <c r="T25" s="77">
        <f t="shared" si="9"/>
        <v>3.9040522003484963E-2</v>
      </c>
      <c r="U25" s="77">
        <f t="shared" si="9"/>
        <v>3.9996723805497118E-2</v>
      </c>
      <c r="V25" s="77">
        <f t="shared" si="9"/>
        <v>3.96166238912058E-2</v>
      </c>
      <c r="W25" s="77">
        <f t="shared" si="9"/>
        <v>3.9551289900062625E-2</v>
      </c>
      <c r="X25" s="77">
        <f t="shared" si="9"/>
        <v>3.9721545865588515E-2</v>
      </c>
      <c r="Y25" s="77">
        <f t="shared" si="9"/>
        <v>3.9629819885618978E-2</v>
      </c>
      <c r="Z25" s="77">
        <f t="shared" si="9"/>
        <v>3.9634218550423372E-2</v>
      </c>
    </row>
    <row r="26" spans="2:26" x14ac:dyDescent="0.25">
      <c r="B26" s="64" t="s">
        <v>46</v>
      </c>
      <c r="C26" s="64">
        <f t="shared" ref="C26:N26" si="10">C24*C25</f>
        <v>0</v>
      </c>
      <c r="D26" s="64">
        <f t="shared" si="10"/>
        <v>0</v>
      </c>
      <c r="E26" s="64">
        <f t="shared" si="10"/>
        <v>0</v>
      </c>
      <c r="F26" s="64">
        <f t="shared" si="10"/>
        <v>0</v>
      </c>
      <c r="G26" s="64">
        <f t="shared" si="10"/>
        <v>1</v>
      </c>
      <c r="H26" s="64">
        <f t="shared" si="10"/>
        <v>0</v>
      </c>
      <c r="I26" s="64">
        <f t="shared" si="10"/>
        <v>0</v>
      </c>
      <c r="J26" s="64">
        <f t="shared" si="10"/>
        <v>1</v>
      </c>
      <c r="K26" s="64">
        <f t="shared" si="10"/>
        <v>4</v>
      </c>
      <c r="L26" s="64">
        <f t="shared" si="10"/>
        <v>4</v>
      </c>
      <c r="M26" s="64">
        <f t="shared" si="10"/>
        <v>3</v>
      </c>
      <c r="N26" s="64">
        <f t="shared" si="10"/>
        <v>2</v>
      </c>
      <c r="O26" s="64">
        <f t="shared" ref="O26:Z26" si="11">INT(O24*O25)</f>
        <v>4</v>
      </c>
      <c r="P26" s="64">
        <f t="shared" si="11"/>
        <v>4</v>
      </c>
      <c r="Q26" s="64">
        <f t="shared" si="11"/>
        <v>3</v>
      </c>
      <c r="R26" s="64">
        <f t="shared" si="11"/>
        <v>4</v>
      </c>
      <c r="S26" s="64">
        <f t="shared" si="11"/>
        <v>4</v>
      </c>
      <c r="T26" s="64">
        <f t="shared" si="11"/>
        <v>4</v>
      </c>
      <c r="U26" s="64">
        <f t="shared" si="11"/>
        <v>5</v>
      </c>
      <c r="V26" s="64">
        <f t="shared" si="11"/>
        <v>5</v>
      </c>
      <c r="W26" s="64">
        <f t="shared" si="11"/>
        <v>5</v>
      </c>
      <c r="X26" s="64">
        <f t="shared" si="11"/>
        <v>5</v>
      </c>
      <c r="Y26" s="64">
        <f t="shared" si="11"/>
        <v>6</v>
      </c>
      <c r="Z26" s="64">
        <f t="shared" si="11"/>
        <v>6</v>
      </c>
    </row>
    <row r="28" spans="2:26" x14ac:dyDescent="0.25">
      <c r="B28" s="48" t="s">
        <v>44</v>
      </c>
    </row>
    <row r="29" spans="2:26" x14ac:dyDescent="0.25">
      <c r="B29" s="2" t="s">
        <v>29</v>
      </c>
      <c r="C29" s="74">
        <f>'INPUTS Leads- Trafego organico'!C19</f>
        <v>2</v>
      </c>
      <c r="D29" s="74">
        <f>'INPUTS Leads- Trafego organico'!D19</f>
        <v>142</v>
      </c>
      <c r="E29" s="74">
        <f>'INPUTS Leads- Trafego organico'!E19</f>
        <v>279</v>
      </c>
      <c r="F29" s="74">
        <f>'INPUTS Leads- Trafego organico'!F19</f>
        <v>216</v>
      </c>
      <c r="G29" s="74">
        <f>'INPUTS Leads- Trafego organico'!G19</f>
        <v>270</v>
      </c>
      <c r="H29" s="74">
        <f>'INPUTS Leads- Trafego organico'!H19</f>
        <v>329</v>
      </c>
      <c r="I29" s="74">
        <f>'INPUTS Leads- Trafego organico'!I19</f>
        <v>147</v>
      </c>
      <c r="J29" s="74">
        <f>'INPUTS Leads- Trafego organico'!J19</f>
        <v>892</v>
      </c>
      <c r="K29" s="74">
        <f>'INPUTS Leads- Trafego organico'!K19</f>
        <v>725</v>
      </c>
      <c r="L29" s="74">
        <f>'INPUTS Leads- Trafego organico'!L19</f>
        <v>814</v>
      </c>
      <c r="M29" s="74">
        <f>'INPUTS Leads- Trafego organico'!M19</f>
        <v>999</v>
      </c>
      <c r="N29" s="74">
        <f>'INPUTS Leads- Trafego organico'!N19</f>
        <v>923</v>
      </c>
      <c r="O29" s="74">
        <f>'INPUTS Leads- Trafego organico'!O19</f>
        <v>1161</v>
      </c>
      <c r="P29" s="74">
        <f>'INPUTS Leads- Trafego organico'!P19</f>
        <v>1252</v>
      </c>
      <c r="Q29" s="74">
        <f>'INPUTS Leads- Trafego organico'!Q19</f>
        <v>1343</v>
      </c>
      <c r="R29" s="74">
        <f>'INPUTS Leads- Trafego organico'!R19</f>
        <v>1435</v>
      </c>
      <c r="S29" s="74">
        <f>'INPUTS Leads- Trafego organico'!S19</f>
        <v>1526</v>
      </c>
      <c r="T29" s="74">
        <f>'INPUTS Leads- Trafego organico'!T19</f>
        <v>1618</v>
      </c>
      <c r="U29" s="74">
        <f>'INPUTS Leads- Trafego organico'!U19</f>
        <v>1709</v>
      </c>
      <c r="V29" s="74">
        <f>'INPUTS Leads- Trafego organico'!V19</f>
        <v>1800</v>
      </c>
      <c r="W29" s="74">
        <f>'INPUTS Leads- Trafego organico'!W19</f>
        <v>1892</v>
      </c>
      <c r="X29" s="74">
        <f>'INPUTS Leads- Trafego organico'!X19</f>
        <v>1983</v>
      </c>
      <c r="Y29" s="74">
        <f>'INPUTS Leads- Trafego organico'!Y19</f>
        <v>2074</v>
      </c>
      <c r="Z29" s="74">
        <f>'INPUTS Leads- Trafego organico'!Z19</f>
        <v>2166</v>
      </c>
    </row>
    <row r="30" spans="2:26" x14ac:dyDescent="0.25">
      <c r="B30" s="2" t="s">
        <v>45</v>
      </c>
      <c r="C30" s="46">
        <v>0</v>
      </c>
      <c r="D30" s="75">
        <v>1.4084507042253521E-2</v>
      </c>
      <c r="E30" s="75">
        <v>2.1505376344086023E-2</v>
      </c>
      <c r="F30" s="75">
        <v>2.3148148148148147E-2</v>
      </c>
      <c r="G30" s="75">
        <v>2.2222222222222223E-2</v>
      </c>
      <c r="H30" s="75">
        <v>3.64741641337386E-2</v>
      </c>
      <c r="I30" s="75">
        <v>5.4421768707482991E-2</v>
      </c>
      <c r="J30" s="75">
        <v>0.14461883408071749</v>
      </c>
      <c r="K30" s="75">
        <v>0.1393103448275862</v>
      </c>
      <c r="L30" s="75">
        <v>0.14987714987714987</v>
      </c>
      <c r="M30" s="75">
        <v>0.13513513513513514</v>
      </c>
      <c r="N30" s="75">
        <v>0.10509209100758396</v>
      </c>
      <c r="O30" s="76">
        <f>AVERAGE(L30:N30)</f>
        <v>0.13003479200662302</v>
      </c>
      <c r="P30" s="69">
        <f>AVERAGE(M30:O30)</f>
        <v>0.12342067271644737</v>
      </c>
      <c r="Q30" s="69">
        <f t="shared" ref="Q30:Z30" si="12">AVERAGE(N30:P30)</f>
        <v>0.11951585191021812</v>
      </c>
      <c r="R30" s="69">
        <f t="shared" si="12"/>
        <v>0.12432377221109618</v>
      </c>
      <c r="S30" s="69">
        <f t="shared" si="12"/>
        <v>0.12242009894592056</v>
      </c>
      <c r="T30" s="69">
        <f t="shared" si="12"/>
        <v>0.12208657435574495</v>
      </c>
      <c r="U30" s="69">
        <f t="shared" si="12"/>
        <v>0.12294348183758723</v>
      </c>
      <c r="V30" s="69">
        <f t="shared" si="12"/>
        <v>0.12248338504641758</v>
      </c>
      <c r="W30" s="69">
        <f t="shared" si="12"/>
        <v>0.12250448041324992</v>
      </c>
      <c r="X30" s="69">
        <f t="shared" si="12"/>
        <v>0.12264378243241825</v>
      </c>
      <c r="Y30" s="69">
        <f t="shared" si="12"/>
        <v>0.12254388263069525</v>
      </c>
      <c r="Z30" s="69">
        <f t="shared" si="12"/>
        <v>0.12256404849212114</v>
      </c>
    </row>
    <row r="31" spans="2:26" x14ac:dyDescent="0.25">
      <c r="B31" s="64" t="s">
        <v>46</v>
      </c>
      <c r="C31" s="64">
        <f>C29*C30</f>
        <v>0</v>
      </c>
      <c r="D31" s="64">
        <f t="shared" ref="D31:N31" si="13">D29*D30</f>
        <v>2</v>
      </c>
      <c r="E31" s="64">
        <f t="shared" si="13"/>
        <v>6.0000000000000009</v>
      </c>
      <c r="F31" s="64">
        <f t="shared" si="13"/>
        <v>5</v>
      </c>
      <c r="G31" s="64">
        <f t="shared" si="13"/>
        <v>6</v>
      </c>
      <c r="H31" s="64">
        <f t="shared" si="13"/>
        <v>12</v>
      </c>
      <c r="I31" s="64">
        <f t="shared" si="13"/>
        <v>8</v>
      </c>
      <c r="J31" s="64">
        <f t="shared" si="13"/>
        <v>129</v>
      </c>
      <c r="K31" s="64">
        <f t="shared" si="13"/>
        <v>100.99999999999999</v>
      </c>
      <c r="L31" s="64">
        <f t="shared" si="13"/>
        <v>121.99999999999999</v>
      </c>
      <c r="M31" s="64">
        <f t="shared" si="13"/>
        <v>135</v>
      </c>
      <c r="N31" s="64">
        <f t="shared" si="13"/>
        <v>97</v>
      </c>
      <c r="O31" s="64">
        <f t="shared" ref="O31:Z31" si="14">INT(O29*O30)</f>
        <v>150</v>
      </c>
      <c r="P31" s="64">
        <f t="shared" si="14"/>
        <v>154</v>
      </c>
      <c r="Q31" s="64">
        <f t="shared" si="14"/>
        <v>160</v>
      </c>
      <c r="R31" s="64">
        <f t="shared" si="14"/>
        <v>178</v>
      </c>
      <c r="S31" s="64">
        <f t="shared" si="14"/>
        <v>186</v>
      </c>
      <c r="T31" s="64">
        <f t="shared" si="14"/>
        <v>197</v>
      </c>
      <c r="U31" s="64">
        <f t="shared" si="14"/>
        <v>210</v>
      </c>
      <c r="V31" s="64">
        <f t="shared" si="14"/>
        <v>220</v>
      </c>
      <c r="W31" s="64">
        <f t="shared" si="14"/>
        <v>231</v>
      </c>
      <c r="X31" s="64">
        <f t="shared" si="14"/>
        <v>243</v>
      </c>
      <c r="Y31" s="64">
        <f t="shared" si="14"/>
        <v>254</v>
      </c>
      <c r="Z31" s="64">
        <f t="shared" si="14"/>
        <v>265</v>
      </c>
    </row>
    <row r="33" spans="2:26" x14ac:dyDescent="0.25">
      <c r="B33" s="64" t="s">
        <v>82</v>
      </c>
      <c r="C33" s="70">
        <f>SUM(C9,C14,C19,C24,C29)</f>
        <v>4</v>
      </c>
      <c r="D33" s="70">
        <f t="shared" ref="D33:N33" si="15">SUM(D9,D14,D19,D24,D29)</f>
        <v>239</v>
      </c>
      <c r="E33" s="70">
        <f t="shared" si="15"/>
        <v>386</v>
      </c>
      <c r="F33" s="70">
        <f t="shared" si="15"/>
        <v>312</v>
      </c>
      <c r="G33" s="70">
        <f t="shared" si="15"/>
        <v>416</v>
      </c>
      <c r="H33" s="70">
        <f t="shared" si="15"/>
        <v>445</v>
      </c>
      <c r="I33" s="70">
        <f t="shared" si="15"/>
        <v>200</v>
      </c>
      <c r="J33" s="70">
        <f t="shared" si="15"/>
        <v>1141</v>
      </c>
      <c r="K33" s="70">
        <f t="shared" si="15"/>
        <v>1028</v>
      </c>
      <c r="L33" s="70">
        <f t="shared" si="15"/>
        <v>1174</v>
      </c>
      <c r="M33" s="70">
        <f t="shared" si="15"/>
        <v>1352</v>
      </c>
      <c r="N33" s="70">
        <f t="shared" si="15"/>
        <v>1303</v>
      </c>
      <c r="O33" s="70">
        <f t="shared" ref="O33:Z33" si="16">SUM(O9,O14,O19,O24,O29)</f>
        <v>1572</v>
      </c>
      <c r="P33" s="70">
        <f t="shared" si="16"/>
        <v>1681</v>
      </c>
      <c r="Q33" s="70">
        <f t="shared" si="16"/>
        <v>1794</v>
      </c>
      <c r="R33" s="70">
        <f t="shared" si="16"/>
        <v>1906</v>
      </c>
      <c r="S33" s="70">
        <f t="shared" si="16"/>
        <v>2018</v>
      </c>
      <c r="T33" s="70">
        <f t="shared" si="16"/>
        <v>2132</v>
      </c>
      <c r="U33" s="70">
        <f t="shared" si="16"/>
        <v>2245</v>
      </c>
      <c r="V33" s="70">
        <f t="shared" si="16"/>
        <v>2359</v>
      </c>
      <c r="W33" s="70">
        <f t="shared" si="16"/>
        <v>2475</v>
      </c>
      <c r="X33" s="70">
        <f t="shared" si="16"/>
        <v>2590</v>
      </c>
      <c r="Y33" s="70">
        <f t="shared" si="16"/>
        <v>2706</v>
      </c>
      <c r="Z33" s="70">
        <f t="shared" si="16"/>
        <v>2824</v>
      </c>
    </row>
    <row r="34" spans="2:26" x14ac:dyDescent="0.25">
      <c r="B34" s="64" t="s">
        <v>46</v>
      </c>
      <c r="C34" s="64">
        <f>SUM(C11,C16,C21,C26,C31)</f>
        <v>0</v>
      </c>
      <c r="D34" s="64">
        <f t="shared" ref="D34:N34" si="17">SUM(D11,D16,D21,D26,D31)</f>
        <v>2</v>
      </c>
      <c r="E34" s="64">
        <f t="shared" si="17"/>
        <v>9</v>
      </c>
      <c r="F34" s="64">
        <f t="shared" si="17"/>
        <v>7</v>
      </c>
      <c r="G34" s="64">
        <f t="shared" si="17"/>
        <v>14</v>
      </c>
      <c r="H34" s="64">
        <f t="shared" si="17"/>
        <v>18</v>
      </c>
      <c r="I34" s="64">
        <f t="shared" si="17"/>
        <v>11</v>
      </c>
      <c r="J34" s="64">
        <f t="shared" si="17"/>
        <v>152</v>
      </c>
      <c r="K34" s="64">
        <f t="shared" si="17"/>
        <v>149</v>
      </c>
      <c r="L34" s="64">
        <f t="shared" si="17"/>
        <v>167</v>
      </c>
      <c r="M34" s="64">
        <f t="shared" si="17"/>
        <v>183</v>
      </c>
      <c r="N34" s="64">
        <f t="shared" si="17"/>
        <v>130</v>
      </c>
      <c r="O34" s="64">
        <f t="shared" ref="O34:Z34" si="18">SUM(O11,O16,O21,O26,O31)</f>
        <v>197</v>
      </c>
      <c r="P34" s="64">
        <f t="shared" si="18"/>
        <v>202</v>
      </c>
      <c r="Q34" s="64">
        <f t="shared" si="18"/>
        <v>206</v>
      </c>
      <c r="R34" s="64">
        <f t="shared" si="18"/>
        <v>229</v>
      </c>
      <c r="S34" s="64">
        <f t="shared" si="18"/>
        <v>238</v>
      </c>
      <c r="T34" s="64">
        <f t="shared" si="18"/>
        <v>251</v>
      </c>
      <c r="U34" s="64">
        <f t="shared" si="18"/>
        <v>267</v>
      </c>
      <c r="V34" s="64">
        <f t="shared" si="18"/>
        <v>279</v>
      </c>
      <c r="W34" s="64">
        <f t="shared" si="18"/>
        <v>292</v>
      </c>
      <c r="X34" s="64">
        <f t="shared" si="18"/>
        <v>306</v>
      </c>
      <c r="Y34" s="64">
        <f t="shared" si="18"/>
        <v>322</v>
      </c>
      <c r="Z34" s="64">
        <f t="shared" si="18"/>
        <v>335</v>
      </c>
    </row>
  </sheetData>
  <hyperlinks>
    <hyperlink ref="B2" location="'Capa '!A1" display="Voltar para o menu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5"/>
  <sheetViews>
    <sheetView showGridLines="0" zoomScale="120" zoomScaleNormal="120" workbookViewId="0">
      <selection activeCell="E22" sqref="E22:F23"/>
    </sheetView>
  </sheetViews>
  <sheetFormatPr defaultColWidth="10.875" defaultRowHeight="15" x14ac:dyDescent="0.25"/>
  <cols>
    <col min="1" max="1" width="4" style="16" customWidth="1"/>
    <col min="2" max="2" width="18.875" style="16" customWidth="1"/>
    <col min="3" max="3" width="16.625" style="16" customWidth="1"/>
    <col min="4" max="4" width="17.625" style="16" customWidth="1"/>
    <col min="5" max="5" width="13.375" style="16" customWidth="1"/>
    <col min="6" max="6" width="16.875" style="16" customWidth="1"/>
    <col min="7" max="7" width="19.875" style="16" customWidth="1"/>
    <col min="8" max="8" width="18.375" style="16" customWidth="1"/>
    <col min="9" max="9" width="14.625" style="16" customWidth="1"/>
    <col min="10" max="10" width="13" style="16" customWidth="1"/>
    <col min="11" max="16384" width="10.875" style="16"/>
  </cols>
  <sheetData>
    <row r="3" spans="2:3" x14ac:dyDescent="0.25">
      <c r="B3" s="15" t="s">
        <v>47</v>
      </c>
    </row>
    <row r="5" spans="2:3" x14ac:dyDescent="0.25">
      <c r="B5" s="17" t="s">
        <v>48</v>
      </c>
      <c r="C5" s="18" t="s">
        <v>49</v>
      </c>
    </row>
    <row r="6" spans="2:3" x14ac:dyDescent="0.25">
      <c r="B6" s="19" t="s">
        <v>0</v>
      </c>
      <c r="C6" s="20">
        <v>2</v>
      </c>
    </row>
    <row r="7" spans="2:3" x14ac:dyDescent="0.25">
      <c r="B7" s="19" t="s">
        <v>1</v>
      </c>
      <c r="C7" s="20">
        <v>142</v>
      </c>
    </row>
    <row r="8" spans="2:3" x14ac:dyDescent="0.25">
      <c r="B8" s="19" t="s">
        <v>2</v>
      </c>
      <c r="C8" s="20">
        <v>279</v>
      </c>
    </row>
    <row r="9" spans="2:3" x14ac:dyDescent="0.25">
      <c r="B9" s="19" t="s">
        <v>3</v>
      </c>
      <c r="C9" s="20">
        <v>216</v>
      </c>
    </row>
    <row r="10" spans="2:3" x14ac:dyDescent="0.25">
      <c r="B10" s="19" t="s">
        <v>4</v>
      </c>
      <c r="C10" s="20">
        <v>270</v>
      </c>
    </row>
    <row r="11" spans="2:3" x14ac:dyDescent="0.25">
      <c r="B11" s="19" t="s">
        <v>5</v>
      </c>
      <c r="C11" s="20">
        <v>329</v>
      </c>
    </row>
    <row r="12" spans="2:3" x14ac:dyDescent="0.25">
      <c r="B12" s="19" t="s">
        <v>6</v>
      </c>
      <c r="C12" s="20">
        <v>147</v>
      </c>
    </row>
    <row r="13" spans="2:3" x14ac:dyDescent="0.25">
      <c r="B13" s="19" t="s">
        <v>7</v>
      </c>
      <c r="C13" s="20">
        <v>892</v>
      </c>
    </row>
    <row r="14" spans="2:3" x14ac:dyDescent="0.25">
      <c r="B14" s="19" t="s">
        <v>8</v>
      </c>
      <c r="C14" s="20">
        <v>725</v>
      </c>
    </row>
    <row r="15" spans="2:3" x14ac:dyDescent="0.25">
      <c r="B15" s="19" t="s">
        <v>9</v>
      </c>
      <c r="C15" s="20">
        <v>814</v>
      </c>
    </row>
    <row r="16" spans="2:3" x14ac:dyDescent="0.25">
      <c r="B16" s="19" t="s">
        <v>10</v>
      </c>
      <c r="C16" s="20">
        <v>999</v>
      </c>
    </row>
    <row r="17" spans="1:11" x14ac:dyDescent="0.25">
      <c r="B17" s="19" t="s">
        <v>11</v>
      </c>
      <c r="C17" s="20">
        <v>923</v>
      </c>
    </row>
    <row r="20" spans="1:11" x14ac:dyDescent="0.25">
      <c r="B20" s="21" t="s">
        <v>50</v>
      </c>
      <c r="E20" s="15" t="s">
        <v>51</v>
      </c>
    </row>
    <row r="22" spans="1:11" x14ac:dyDescent="0.25">
      <c r="B22" s="20" t="s">
        <v>52</v>
      </c>
      <c r="C22" s="20">
        <v>0.42490895784849031</v>
      </c>
      <c r="E22" s="20" t="s">
        <v>53</v>
      </c>
      <c r="F22" s="20">
        <v>91.382000000000005</v>
      </c>
    </row>
    <row r="23" spans="1:11" x14ac:dyDescent="0.25">
      <c r="B23" s="20" t="s">
        <v>54</v>
      </c>
      <c r="C23" s="22">
        <v>0.57509104215150975</v>
      </c>
      <c r="E23" s="20" t="s">
        <v>55</v>
      </c>
      <c r="F23" s="20">
        <v>-26.835999999999999</v>
      </c>
    </row>
    <row r="24" spans="1:11" x14ac:dyDescent="0.25">
      <c r="C24" s="16">
        <f>SUM(C22:C23)</f>
        <v>1</v>
      </c>
    </row>
    <row r="26" spans="1:11" x14ac:dyDescent="0.25">
      <c r="B26" s="23" t="s">
        <v>12</v>
      </c>
      <c r="C26" s="24" t="s">
        <v>29</v>
      </c>
      <c r="D26" s="24" t="s">
        <v>56</v>
      </c>
      <c r="E26" s="24" t="s">
        <v>57</v>
      </c>
      <c r="F26" s="24" t="s">
        <v>58</v>
      </c>
      <c r="G26" s="24" t="s">
        <v>59</v>
      </c>
      <c r="H26" s="24" t="s">
        <v>60</v>
      </c>
      <c r="I26" s="24" t="s">
        <v>61</v>
      </c>
      <c r="J26" s="24" t="s">
        <v>62</v>
      </c>
      <c r="K26" s="24" t="s">
        <v>63</v>
      </c>
    </row>
    <row r="27" spans="1:11" x14ac:dyDescent="0.25">
      <c r="A27" s="16">
        <v>1</v>
      </c>
      <c r="B27" s="17" t="str">
        <f>B6</f>
        <v>2017-06</v>
      </c>
      <c r="C27" s="20">
        <f>C6</f>
        <v>2</v>
      </c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6">
        <v>2</v>
      </c>
      <c r="B28" s="17" t="str">
        <f t="shared" ref="B28:C38" si="0">B7</f>
        <v>2017-07</v>
      </c>
      <c r="C28" s="20">
        <f t="shared" si="0"/>
        <v>142</v>
      </c>
      <c r="D28" s="20"/>
      <c r="E28" s="20"/>
      <c r="F28" s="20"/>
      <c r="G28" s="20"/>
      <c r="H28" s="20"/>
      <c r="I28" s="20"/>
      <c r="J28" s="20"/>
      <c r="K28" s="20"/>
    </row>
    <row r="29" spans="1:11" ht="15.75" x14ac:dyDescent="0.25">
      <c r="A29" s="16">
        <v>3</v>
      </c>
      <c r="B29" s="17" t="str">
        <f t="shared" si="0"/>
        <v>2017-08</v>
      </c>
      <c r="C29" s="20">
        <f t="shared" si="0"/>
        <v>279</v>
      </c>
      <c r="D29" s="25">
        <f>C28</f>
        <v>142</v>
      </c>
      <c r="E29" s="25">
        <f>($F$22*A29)+$F$23</f>
        <v>247.31</v>
      </c>
      <c r="F29" s="25">
        <f>D29-C29</f>
        <v>-137</v>
      </c>
      <c r="G29" s="25">
        <f>E29-C29</f>
        <v>-31.689999999999998</v>
      </c>
      <c r="H29" s="25">
        <f>ABS(F29)</f>
        <v>137</v>
      </c>
      <c r="I29" s="25">
        <f>ABS(G29)</f>
        <v>31.689999999999998</v>
      </c>
      <c r="J29" s="26">
        <f>H29/C29</f>
        <v>0.49103942652329752</v>
      </c>
      <c r="K29" s="26">
        <f>I29/C29</f>
        <v>0.113584229390681</v>
      </c>
    </row>
    <row r="30" spans="1:11" ht="15.75" x14ac:dyDescent="0.25">
      <c r="A30" s="16">
        <f>A29+1</f>
        <v>4</v>
      </c>
      <c r="B30" s="17" t="str">
        <f t="shared" si="0"/>
        <v>2017-09</v>
      </c>
      <c r="C30" s="20">
        <f t="shared" si="0"/>
        <v>216</v>
      </c>
      <c r="D30" s="25">
        <f>SUMPRODUCT(($C$22:$C$23),C28:C29)</f>
        <v>220.78747277475682</v>
      </c>
      <c r="E30" s="25">
        <f t="shared" ref="E30:E38" si="1">($F$22*A30)+$F$23</f>
        <v>338.69200000000001</v>
      </c>
      <c r="F30" s="25">
        <f t="shared" ref="F30:F38" si="2">D30-C30</f>
        <v>4.7874727747568215</v>
      </c>
      <c r="G30" s="25">
        <f t="shared" ref="G30:G38" si="3">E30-C30</f>
        <v>122.69200000000001</v>
      </c>
      <c r="H30" s="25">
        <f t="shared" ref="H30:I38" si="4">ABS(F30)</f>
        <v>4.7874727747568215</v>
      </c>
      <c r="I30" s="25">
        <f t="shared" si="4"/>
        <v>122.69200000000001</v>
      </c>
      <c r="J30" s="26">
        <f t="shared" ref="J30:J38" si="5">H30/C30</f>
        <v>2.216422580905936E-2</v>
      </c>
      <c r="K30" s="26">
        <f t="shared" ref="K30:K38" si="6">I30/C30</f>
        <v>0.56801851851851859</v>
      </c>
    </row>
    <row r="31" spans="1:11" ht="15.75" x14ac:dyDescent="0.25">
      <c r="A31" s="16">
        <f t="shared" ref="A31:A38" si="7">A30+1</f>
        <v>5</v>
      </c>
      <c r="B31" s="17" t="str">
        <f t="shared" si="0"/>
        <v>2017-10</v>
      </c>
      <c r="C31" s="20">
        <f t="shared" si="0"/>
        <v>270</v>
      </c>
      <c r="D31" s="25">
        <f t="shared" ref="D31:D38" si="8">SUMPRODUCT(($C$22:$C$23),C29:C30)</f>
        <v>242.76926434445488</v>
      </c>
      <c r="E31" s="25">
        <f t="shared" si="1"/>
        <v>430.07400000000001</v>
      </c>
      <c r="F31" s="25">
        <f t="shared" si="2"/>
        <v>-27.230735655545118</v>
      </c>
      <c r="G31" s="25">
        <f t="shared" si="3"/>
        <v>160.07400000000001</v>
      </c>
      <c r="H31" s="25">
        <f t="shared" si="4"/>
        <v>27.230735655545118</v>
      </c>
      <c r="I31" s="25">
        <f t="shared" si="4"/>
        <v>160.07400000000001</v>
      </c>
      <c r="J31" s="26">
        <f t="shared" si="5"/>
        <v>0.10085457650201896</v>
      </c>
      <c r="K31" s="26">
        <f t="shared" si="6"/>
        <v>0.59286666666666676</v>
      </c>
    </row>
    <row r="32" spans="1:11" ht="15.75" x14ac:dyDescent="0.25">
      <c r="A32" s="16">
        <f t="shared" si="7"/>
        <v>6</v>
      </c>
      <c r="B32" s="17" t="str">
        <f t="shared" si="0"/>
        <v>2017-11</v>
      </c>
      <c r="C32" s="20">
        <f t="shared" si="0"/>
        <v>329</v>
      </c>
      <c r="D32" s="25">
        <f t="shared" si="8"/>
        <v>247.05491627618153</v>
      </c>
      <c r="E32" s="25">
        <f t="shared" si="1"/>
        <v>521.45600000000002</v>
      </c>
      <c r="F32" s="25">
        <f t="shared" si="2"/>
        <v>-81.94508372381847</v>
      </c>
      <c r="G32" s="25">
        <f t="shared" si="3"/>
        <v>192.45600000000002</v>
      </c>
      <c r="H32" s="25">
        <f t="shared" si="4"/>
        <v>81.94508372381847</v>
      </c>
      <c r="I32" s="25">
        <f t="shared" si="4"/>
        <v>192.45600000000002</v>
      </c>
      <c r="J32" s="26">
        <f t="shared" si="5"/>
        <v>0.24907320280795889</v>
      </c>
      <c r="K32" s="26">
        <f t="shared" si="6"/>
        <v>0.58497264437689978</v>
      </c>
    </row>
    <row r="33" spans="1:11" ht="15.75" x14ac:dyDescent="0.25">
      <c r="A33" s="16">
        <f t="shared" si="7"/>
        <v>7</v>
      </c>
      <c r="B33" s="17" t="str">
        <f t="shared" si="0"/>
        <v>2017-12</v>
      </c>
      <c r="C33" s="20">
        <f t="shared" si="0"/>
        <v>147</v>
      </c>
      <c r="D33" s="25">
        <f t="shared" si="8"/>
        <v>303.93037148693907</v>
      </c>
      <c r="E33" s="25">
        <f t="shared" si="1"/>
        <v>612.83799999999997</v>
      </c>
      <c r="F33" s="25">
        <f t="shared" si="2"/>
        <v>156.93037148693907</v>
      </c>
      <c r="G33" s="25">
        <f t="shared" si="3"/>
        <v>465.83799999999997</v>
      </c>
      <c r="H33" s="25">
        <f t="shared" si="4"/>
        <v>156.93037148693907</v>
      </c>
      <c r="I33" s="25">
        <f t="shared" si="4"/>
        <v>465.83799999999997</v>
      </c>
      <c r="J33" s="26">
        <f t="shared" si="5"/>
        <v>1.0675535475301978</v>
      </c>
      <c r="K33" s="26">
        <f t="shared" si="6"/>
        <v>3.1689659863945576</v>
      </c>
    </row>
    <row r="34" spans="1:11" ht="15.75" x14ac:dyDescent="0.25">
      <c r="A34" s="16">
        <f t="shared" si="7"/>
        <v>8</v>
      </c>
      <c r="B34" s="17" t="str">
        <f t="shared" si="0"/>
        <v>2018-01</v>
      </c>
      <c r="C34" s="20">
        <f t="shared" si="0"/>
        <v>892</v>
      </c>
      <c r="D34" s="25">
        <f t="shared" si="8"/>
        <v>224.33343032842527</v>
      </c>
      <c r="E34" s="25">
        <f t="shared" si="1"/>
        <v>704.22</v>
      </c>
      <c r="F34" s="25">
        <f t="shared" si="2"/>
        <v>-667.66656967157473</v>
      </c>
      <c r="G34" s="25">
        <f t="shared" si="3"/>
        <v>-187.77999999999997</v>
      </c>
      <c r="H34" s="25">
        <f t="shared" si="4"/>
        <v>667.66656967157473</v>
      </c>
      <c r="I34" s="25">
        <f t="shared" si="4"/>
        <v>187.77999999999997</v>
      </c>
      <c r="J34" s="26">
        <f t="shared" si="5"/>
        <v>0.74850512295019589</v>
      </c>
      <c r="K34" s="26">
        <f t="shared" si="6"/>
        <v>0.21051569506726453</v>
      </c>
    </row>
    <row r="35" spans="1:11" ht="15.75" x14ac:dyDescent="0.25">
      <c r="A35" s="16">
        <f t="shared" si="7"/>
        <v>9</v>
      </c>
      <c r="B35" s="17" t="str">
        <f t="shared" si="0"/>
        <v>2018-02</v>
      </c>
      <c r="C35" s="20">
        <f t="shared" si="0"/>
        <v>725</v>
      </c>
      <c r="D35" s="25">
        <f t="shared" si="8"/>
        <v>575.44282640287474</v>
      </c>
      <c r="E35" s="25">
        <f t="shared" si="1"/>
        <v>795.60200000000009</v>
      </c>
      <c r="F35" s="25">
        <f t="shared" si="2"/>
        <v>-149.55717359712526</v>
      </c>
      <c r="G35" s="25">
        <f t="shared" si="3"/>
        <v>70.602000000000089</v>
      </c>
      <c r="H35" s="25">
        <f t="shared" si="4"/>
        <v>149.55717359712526</v>
      </c>
      <c r="I35" s="25">
        <f t="shared" si="4"/>
        <v>70.602000000000089</v>
      </c>
      <c r="J35" s="26">
        <f t="shared" si="5"/>
        <v>0.20628575668569002</v>
      </c>
      <c r="K35" s="26">
        <f t="shared" si="6"/>
        <v>9.7382068965517363E-2</v>
      </c>
    </row>
    <row r="36" spans="1:11" ht="15.75" x14ac:dyDescent="0.25">
      <c r="A36" s="16">
        <f t="shared" si="7"/>
        <v>10</v>
      </c>
      <c r="B36" s="17" t="str">
        <f>B15</f>
        <v>2018-03</v>
      </c>
      <c r="C36" s="20">
        <f t="shared" si="0"/>
        <v>814</v>
      </c>
      <c r="D36" s="25">
        <f t="shared" si="8"/>
        <v>795.95979596069787</v>
      </c>
      <c r="E36" s="25">
        <f t="shared" si="1"/>
        <v>886.98400000000004</v>
      </c>
      <c r="F36" s="25">
        <f t="shared" si="2"/>
        <v>-18.040204039302125</v>
      </c>
      <c r="G36" s="25">
        <f t="shared" si="3"/>
        <v>72.984000000000037</v>
      </c>
      <c r="H36" s="25">
        <f t="shared" si="4"/>
        <v>18.040204039302125</v>
      </c>
      <c r="I36" s="25">
        <f t="shared" si="4"/>
        <v>72.984000000000037</v>
      </c>
      <c r="J36" s="26">
        <f t="shared" si="5"/>
        <v>2.2162412824695485E-2</v>
      </c>
      <c r="K36" s="26">
        <f t="shared" si="6"/>
        <v>8.9660933660933709E-2</v>
      </c>
    </row>
    <row r="37" spans="1:11" ht="15.75" x14ac:dyDescent="0.25">
      <c r="A37" s="16">
        <f t="shared" si="7"/>
        <v>11</v>
      </c>
      <c r="B37" s="17" t="str">
        <f t="shared" si="0"/>
        <v>2018-04</v>
      </c>
      <c r="C37" s="20">
        <f t="shared" si="0"/>
        <v>999</v>
      </c>
      <c r="D37" s="25">
        <f t="shared" si="8"/>
        <v>776.1831027514844</v>
      </c>
      <c r="E37" s="25">
        <f t="shared" si="1"/>
        <v>978.36599999999999</v>
      </c>
      <c r="F37" s="25">
        <f t="shared" si="2"/>
        <v>-222.8168972485156</v>
      </c>
      <c r="G37" s="25">
        <f t="shared" si="3"/>
        <v>-20.634000000000015</v>
      </c>
      <c r="H37" s="25">
        <f t="shared" si="4"/>
        <v>222.8168972485156</v>
      </c>
      <c r="I37" s="25">
        <f t="shared" si="4"/>
        <v>20.634000000000015</v>
      </c>
      <c r="J37" s="26">
        <f t="shared" si="5"/>
        <v>0.22303993718570131</v>
      </c>
      <c r="K37" s="26">
        <f t="shared" si="6"/>
        <v>2.0654654654654669E-2</v>
      </c>
    </row>
    <row r="38" spans="1:11" ht="15.75" x14ac:dyDescent="0.25">
      <c r="A38" s="16">
        <f t="shared" si="7"/>
        <v>12</v>
      </c>
      <c r="B38" s="17" t="str">
        <f t="shared" si="0"/>
        <v>2018-05</v>
      </c>
      <c r="C38" s="20">
        <f t="shared" si="0"/>
        <v>923</v>
      </c>
      <c r="D38" s="25">
        <f t="shared" si="8"/>
        <v>920.3918427980293</v>
      </c>
      <c r="E38" s="25">
        <f t="shared" si="1"/>
        <v>1069.748</v>
      </c>
      <c r="F38" s="25">
        <f t="shared" si="2"/>
        <v>-2.6081572019706982</v>
      </c>
      <c r="G38" s="25">
        <f t="shared" si="3"/>
        <v>146.74800000000005</v>
      </c>
      <c r="H38" s="25">
        <f t="shared" si="4"/>
        <v>2.6081572019706982</v>
      </c>
      <c r="I38" s="25">
        <f>ABS(G38)</f>
        <v>146.74800000000005</v>
      </c>
      <c r="J38" s="26">
        <f t="shared" si="5"/>
        <v>2.8257391137277337E-3</v>
      </c>
      <c r="K38" s="26">
        <f t="shared" si="6"/>
        <v>0.15899024918743235</v>
      </c>
    </row>
    <row r="41" spans="1:11" x14ac:dyDescent="0.25">
      <c r="B41" s="20" t="s">
        <v>64</v>
      </c>
      <c r="C41" s="20" t="s">
        <v>65</v>
      </c>
      <c r="D41" s="20" t="s">
        <v>66</v>
      </c>
    </row>
    <row r="42" spans="1:11" ht="15.75" x14ac:dyDescent="0.25">
      <c r="B42" s="17" t="s">
        <v>67</v>
      </c>
      <c r="C42" s="26">
        <f>SUM(F29:F38)/SUM(C29:C38)</f>
        <v>-0.20470986358172261</v>
      </c>
      <c r="D42" s="27">
        <f>SUM(G29:G38)/SUM(C29:C38)</f>
        <v>0.17720593493028247</v>
      </c>
    </row>
    <row r="43" spans="1:11" x14ac:dyDescent="0.25">
      <c r="B43" s="17" t="s">
        <v>68</v>
      </c>
      <c r="C43" s="28">
        <f>AVERAGE(J29:J38)</f>
        <v>0.31335039479325433</v>
      </c>
      <c r="D43" s="29">
        <f>AVERAGE(K29:K38)</f>
        <v>0.56056116468831263</v>
      </c>
    </row>
    <row r="44" spans="1:11" ht="15.75" x14ac:dyDescent="0.25">
      <c r="B44" s="17" t="s">
        <v>69</v>
      </c>
      <c r="C44" s="26">
        <f>SUM(H29:H38)/SUM(C29:C38)</f>
        <v>0.26252818473356232</v>
      </c>
      <c r="D44" s="26">
        <f>SUM(I29:I38)/SUM(C29:C38)</f>
        <v>0.26304933857704682</v>
      </c>
    </row>
    <row r="45" spans="1:11" x14ac:dyDescent="0.25">
      <c r="B45" s="17" t="s">
        <v>70</v>
      </c>
      <c r="C45" s="25">
        <f>SQRT(SUMSQ(F29:F38)/COUNTA(F29:F38))</f>
        <v>238.5374579972792</v>
      </c>
      <c r="D45" s="30">
        <f>SQRT(SUMSQ(G29:G38)/COUNTA(G29:G38))</f>
        <v>190.5935453104328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5"/>
  <sheetViews>
    <sheetView showGridLines="0" topLeftCell="A6" zoomScale="120" zoomScaleNormal="120" workbookViewId="0">
      <selection activeCell="E22" sqref="E22:F23"/>
    </sheetView>
  </sheetViews>
  <sheetFormatPr defaultColWidth="10.875" defaultRowHeight="15" x14ac:dyDescent="0.25"/>
  <cols>
    <col min="1" max="1" width="4" style="16" customWidth="1"/>
    <col min="2" max="2" width="18.875" style="16" customWidth="1"/>
    <col min="3" max="3" width="16.625" style="16" customWidth="1"/>
    <col min="4" max="4" width="17.625" style="16" customWidth="1"/>
    <col min="5" max="5" width="13.375" style="16" customWidth="1"/>
    <col min="6" max="6" width="16.875" style="16" customWidth="1"/>
    <col min="7" max="7" width="19.875" style="16" customWidth="1"/>
    <col min="8" max="8" width="18.375" style="16" customWidth="1"/>
    <col min="9" max="9" width="14.625" style="16" customWidth="1"/>
    <col min="10" max="10" width="13" style="16" customWidth="1"/>
    <col min="11" max="16384" width="10.875" style="16"/>
  </cols>
  <sheetData>
    <row r="3" spans="2:3" x14ac:dyDescent="0.25">
      <c r="B3" s="15" t="s">
        <v>47</v>
      </c>
    </row>
    <row r="5" spans="2:3" x14ac:dyDescent="0.25">
      <c r="B5" s="17" t="s">
        <v>48</v>
      </c>
      <c r="C5" s="18" t="s">
        <v>49</v>
      </c>
    </row>
    <row r="6" spans="2:3" x14ac:dyDescent="0.25">
      <c r="B6" s="31" t="s">
        <v>0</v>
      </c>
      <c r="C6" s="20">
        <v>1</v>
      </c>
    </row>
    <row r="7" spans="2:3" x14ac:dyDescent="0.25">
      <c r="B7" s="31" t="s">
        <v>1</v>
      </c>
      <c r="C7" s="20">
        <v>19</v>
      </c>
    </row>
    <row r="8" spans="2:3" x14ac:dyDescent="0.25">
      <c r="B8" s="31" t="s">
        <v>2</v>
      </c>
      <c r="C8" s="20">
        <v>24</v>
      </c>
    </row>
    <row r="9" spans="2:3" x14ac:dyDescent="0.25">
      <c r="B9" s="31" t="s">
        <v>3</v>
      </c>
      <c r="C9" s="20">
        <v>23</v>
      </c>
    </row>
    <row r="10" spans="2:3" x14ac:dyDescent="0.25">
      <c r="B10" s="31" t="s">
        <v>4</v>
      </c>
      <c r="C10" s="20">
        <v>30</v>
      </c>
    </row>
    <row r="11" spans="2:3" x14ac:dyDescent="0.25">
      <c r="B11" s="31" t="s">
        <v>5</v>
      </c>
      <c r="C11" s="20">
        <v>37</v>
      </c>
    </row>
    <row r="12" spans="2:3" x14ac:dyDescent="0.25">
      <c r="B12" s="31" t="s">
        <v>6</v>
      </c>
      <c r="C12" s="20">
        <v>12</v>
      </c>
    </row>
    <row r="13" spans="2:3" x14ac:dyDescent="0.25">
      <c r="B13" s="31" t="s">
        <v>7</v>
      </c>
      <c r="C13" s="20">
        <v>61</v>
      </c>
    </row>
    <row r="14" spans="2:3" x14ac:dyDescent="0.25">
      <c r="B14" s="31" t="s">
        <v>8</v>
      </c>
      <c r="C14" s="20">
        <v>68</v>
      </c>
    </row>
    <row r="15" spans="2:3" x14ac:dyDescent="0.25">
      <c r="B15" s="31" t="s">
        <v>9</v>
      </c>
      <c r="C15" s="20">
        <v>74</v>
      </c>
    </row>
    <row r="16" spans="2:3" x14ac:dyDescent="0.25">
      <c r="B16" s="31" t="s">
        <v>10</v>
      </c>
      <c r="C16" s="20">
        <v>50</v>
      </c>
    </row>
    <row r="17" spans="1:11" x14ac:dyDescent="0.25">
      <c r="B17" s="31" t="s">
        <v>11</v>
      </c>
      <c r="C17" s="20">
        <v>94</v>
      </c>
    </row>
    <row r="20" spans="1:11" x14ac:dyDescent="0.25">
      <c r="B20" s="21" t="s">
        <v>50</v>
      </c>
      <c r="E20" s="15" t="s">
        <v>51</v>
      </c>
    </row>
    <row r="22" spans="1:11" x14ac:dyDescent="0.25">
      <c r="B22" s="20" t="s">
        <v>52</v>
      </c>
      <c r="C22" s="20">
        <v>0.57150356505229472</v>
      </c>
      <c r="E22" s="20" t="s">
        <v>53</v>
      </c>
      <c r="F22" s="20">
        <v>6.6544999999999996</v>
      </c>
    </row>
    <row r="23" spans="1:11" x14ac:dyDescent="0.25">
      <c r="B23" s="20" t="s">
        <v>54</v>
      </c>
      <c r="C23" s="22">
        <v>0.42849643920704211</v>
      </c>
      <c r="E23" s="20" t="s">
        <v>71</v>
      </c>
      <c r="F23" s="20">
        <v>4.8</v>
      </c>
    </row>
    <row r="24" spans="1:11" x14ac:dyDescent="0.25">
      <c r="C24" s="16">
        <f>SUM(C22:C23)</f>
        <v>1.0000000042593369</v>
      </c>
    </row>
    <row r="26" spans="1:11" x14ac:dyDescent="0.25">
      <c r="B26" s="23" t="s">
        <v>12</v>
      </c>
      <c r="C26" s="24" t="s">
        <v>29</v>
      </c>
      <c r="D26" s="24" t="s">
        <v>56</v>
      </c>
      <c r="E26" s="24" t="s">
        <v>57</v>
      </c>
      <c r="F26" s="24" t="s">
        <v>58</v>
      </c>
      <c r="G26" s="24" t="s">
        <v>59</v>
      </c>
      <c r="H26" s="24" t="s">
        <v>60</v>
      </c>
      <c r="I26" s="24" t="s">
        <v>61</v>
      </c>
      <c r="J26" s="24" t="s">
        <v>62</v>
      </c>
      <c r="K26" s="24" t="s">
        <v>63</v>
      </c>
    </row>
    <row r="27" spans="1:11" x14ac:dyDescent="0.25">
      <c r="A27" s="16">
        <v>1</v>
      </c>
      <c r="B27" s="17" t="str">
        <f>B6</f>
        <v>2017-06</v>
      </c>
      <c r="C27" s="20">
        <f>C6</f>
        <v>1</v>
      </c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6">
        <v>2</v>
      </c>
      <c r="B28" s="17" t="str">
        <f t="shared" ref="B28:C38" si="0">B7</f>
        <v>2017-07</v>
      </c>
      <c r="C28" s="20">
        <f t="shared" si="0"/>
        <v>19</v>
      </c>
      <c r="D28" s="20"/>
      <c r="E28" s="20"/>
      <c r="F28" s="20"/>
      <c r="G28" s="20"/>
      <c r="H28" s="20"/>
      <c r="I28" s="20"/>
      <c r="J28" s="20"/>
      <c r="K28" s="20"/>
    </row>
    <row r="29" spans="1:11" ht="15.75" x14ac:dyDescent="0.25">
      <c r="A29" s="16">
        <v>3</v>
      </c>
      <c r="B29" s="17" t="str">
        <f t="shared" si="0"/>
        <v>2017-08</v>
      </c>
      <c r="C29" s="20">
        <f t="shared" si="0"/>
        <v>24</v>
      </c>
      <c r="D29" s="25">
        <f>C28</f>
        <v>19</v>
      </c>
      <c r="E29" s="25">
        <f>($F$22*A29)+$F$23</f>
        <v>24.763500000000001</v>
      </c>
      <c r="F29" s="25">
        <f>D29-C29</f>
        <v>-5</v>
      </c>
      <c r="G29" s="25">
        <f>E29-C29</f>
        <v>0.76350000000000051</v>
      </c>
      <c r="H29" s="25">
        <f>ABS(F29)</f>
        <v>5</v>
      </c>
      <c r="I29" s="25">
        <f>ABS(G29)</f>
        <v>0.76350000000000051</v>
      </c>
      <c r="J29" s="26">
        <f>H29/C29</f>
        <v>0.20833333333333334</v>
      </c>
      <c r="K29" s="26">
        <f>I29/C29</f>
        <v>3.1812500000000021E-2</v>
      </c>
    </row>
    <row r="30" spans="1:11" ht="15.75" x14ac:dyDescent="0.25">
      <c r="A30" s="16">
        <f>A29+1</f>
        <v>4</v>
      </c>
      <c r="B30" s="17" t="str">
        <f t="shared" si="0"/>
        <v>2017-09</v>
      </c>
      <c r="C30" s="20">
        <f t="shared" si="0"/>
        <v>23</v>
      </c>
      <c r="D30" s="25">
        <f t="shared" ref="D30:D36" si="1">SUMPRODUCT(($C$22:$C$23),C28:C29)</f>
        <v>21.14248227696261</v>
      </c>
      <c r="E30" s="25">
        <f t="shared" ref="E30:E38" si="2">($F$22*A30)+$F$23</f>
        <v>31.417999999999999</v>
      </c>
      <c r="F30" s="25">
        <f t="shared" ref="F30:F38" si="3">D30-C30</f>
        <v>-1.8575177230373896</v>
      </c>
      <c r="G30" s="25">
        <f t="shared" ref="G30:G38" si="4">E30-C30</f>
        <v>8.4179999999999993</v>
      </c>
      <c r="H30" s="25">
        <f t="shared" ref="H30:I38" si="5">ABS(F30)</f>
        <v>1.8575177230373896</v>
      </c>
      <c r="I30" s="25">
        <f t="shared" si="5"/>
        <v>8.4179999999999993</v>
      </c>
      <c r="J30" s="26">
        <f t="shared" ref="J30:J38" si="6">H30/C30</f>
        <v>8.0761640132060414E-2</v>
      </c>
      <c r="K30" s="26">
        <f t="shared" ref="K30:K38" si="7">I30/C30</f>
        <v>0.36599999999999999</v>
      </c>
    </row>
    <row r="31" spans="1:11" ht="15.75" x14ac:dyDescent="0.25">
      <c r="A31" s="16">
        <f t="shared" ref="A31:A38" si="8">A30+1</f>
        <v>5</v>
      </c>
      <c r="B31" s="17" t="str">
        <f t="shared" si="0"/>
        <v>2017-10</v>
      </c>
      <c r="C31" s="20">
        <f t="shared" si="0"/>
        <v>30</v>
      </c>
      <c r="D31" s="25">
        <f t="shared" si="1"/>
        <v>23.57150366301704</v>
      </c>
      <c r="E31" s="25">
        <f t="shared" si="2"/>
        <v>38.072499999999998</v>
      </c>
      <c r="F31" s="25">
        <f t="shared" si="3"/>
        <v>-6.4284963369829597</v>
      </c>
      <c r="G31" s="25">
        <f t="shared" si="4"/>
        <v>8.072499999999998</v>
      </c>
      <c r="H31" s="25">
        <f t="shared" si="5"/>
        <v>6.4284963369829597</v>
      </c>
      <c r="I31" s="25">
        <f t="shared" si="5"/>
        <v>8.072499999999998</v>
      </c>
      <c r="J31" s="26">
        <f t="shared" si="6"/>
        <v>0.21428321123276534</v>
      </c>
      <c r="K31" s="26">
        <f t="shared" si="7"/>
        <v>0.26908333333333329</v>
      </c>
    </row>
    <row r="32" spans="1:11" ht="15.75" x14ac:dyDescent="0.25">
      <c r="A32" s="16">
        <f t="shared" si="8"/>
        <v>6</v>
      </c>
      <c r="B32" s="17" t="str">
        <f t="shared" si="0"/>
        <v>2017-11</v>
      </c>
      <c r="C32" s="20">
        <f t="shared" si="0"/>
        <v>37</v>
      </c>
      <c r="D32" s="25">
        <f t="shared" si="1"/>
        <v>25.999475172414041</v>
      </c>
      <c r="E32" s="25">
        <f t="shared" si="2"/>
        <v>44.726999999999997</v>
      </c>
      <c r="F32" s="25">
        <f t="shared" si="3"/>
        <v>-11.000524827585959</v>
      </c>
      <c r="G32" s="25">
        <f t="shared" si="4"/>
        <v>7.7269999999999968</v>
      </c>
      <c r="H32" s="25">
        <f t="shared" si="5"/>
        <v>11.000524827585959</v>
      </c>
      <c r="I32" s="25">
        <f t="shared" si="5"/>
        <v>7.7269999999999968</v>
      </c>
      <c r="J32" s="26">
        <f t="shared" si="6"/>
        <v>0.29731148182664757</v>
      </c>
      <c r="K32" s="26">
        <f t="shared" si="7"/>
        <v>0.20883783783783774</v>
      </c>
    </row>
    <row r="33" spans="1:11" ht="15.75" x14ac:dyDescent="0.25">
      <c r="A33" s="16">
        <f t="shared" si="8"/>
        <v>7</v>
      </c>
      <c r="B33" s="17" t="str">
        <f t="shared" si="0"/>
        <v>2017-12</v>
      </c>
      <c r="C33" s="20">
        <f t="shared" si="0"/>
        <v>12</v>
      </c>
      <c r="D33" s="25">
        <f t="shared" si="1"/>
        <v>32.999475202229398</v>
      </c>
      <c r="E33" s="25">
        <f t="shared" si="2"/>
        <v>51.381499999999996</v>
      </c>
      <c r="F33" s="25">
        <f t="shared" si="3"/>
        <v>20.999475202229398</v>
      </c>
      <c r="G33" s="25">
        <f t="shared" si="4"/>
        <v>39.381499999999996</v>
      </c>
      <c r="H33" s="25">
        <f t="shared" si="5"/>
        <v>20.999475202229398</v>
      </c>
      <c r="I33" s="25">
        <f t="shared" si="5"/>
        <v>39.381499999999996</v>
      </c>
      <c r="J33" s="26">
        <f t="shared" si="6"/>
        <v>1.7499562668524498</v>
      </c>
      <c r="K33" s="26">
        <f t="shared" si="7"/>
        <v>3.2817916666666664</v>
      </c>
    </row>
    <row r="34" spans="1:11" ht="15.75" x14ac:dyDescent="0.25">
      <c r="A34" s="16">
        <f t="shared" si="8"/>
        <v>8</v>
      </c>
      <c r="B34" s="17" t="str">
        <f t="shared" si="0"/>
        <v>2018-01</v>
      </c>
      <c r="C34" s="20">
        <f t="shared" si="0"/>
        <v>61</v>
      </c>
      <c r="D34" s="25">
        <f t="shared" si="1"/>
        <v>26.287589177419413</v>
      </c>
      <c r="E34" s="25">
        <f t="shared" si="2"/>
        <v>58.035999999999994</v>
      </c>
      <c r="F34" s="25">
        <f t="shared" si="3"/>
        <v>-34.712410822580587</v>
      </c>
      <c r="G34" s="25">
        <f t="shared" si="4"/>
        <v>-2.9640000000000057</v>
      </c>
      <c r="H34" s="25">
        <f t="shared" si="5"/>
        <v>34.712410822580587</v>
      </c>
      <c r="I34" s="25">
        <f t="shared" si="5"/>
        <v>2.9640000000000057</v>
      </c>
      <c r="J34" s="26">
        <f t="shared" si="6"/>
        <v>0.56905591512427189</v>
      </c>
      <c r="K34" s="26">
        <f t="shared" si="7"/>
        <v>4.8590163934426327E-2</v>
      </c>
    </row>
    <row r="35" spans="1:11" ht="15.75" x14ac:dyDescent="0.25">
      <c r="A35" s="16">
        <f t="shared" si="8"/>
        <v>9</v>
      </c>
      <c r="B35" s="17" t="str">
        <f t="shared" si="0"/>
        <v>2018-02</v>
      </c>
      <c r="C35" s="20">
        <f t="shared" si="0"/>
        <v>68</v>
      </c>
      <c r="D35" s="25">
        <f t="shared" si="1"/>
        <v>32.996325572257106</v>
      </c>
      <c r="E35" s="25">
        <f t="shared" si="2"/>
        <v>64.6905</v>
      </c>
      <c r="F35" s="25">
        <f t="shared" si="3"/>
        <v>-35.003674427742894</v>
      </c>
      <c r="G35" s="25">
        <f t="shared" si="4"/>
        <v>-3.3094999999999999</v>
      </c>
      <c r="H35" s="25">
        <f t="shared" si="5"/>
        <v>35.003674427742894</v>
      </c>
      <c r="I35" s="25">
        <f t="shared" si="5"/>
        <v>3.3094999999999999</v>
      </c>
      <c r="J35" s="26">
        <f t="shared" si="6"/>
        <v>0.51475991805504251</v>
      </c>
      <c r="K35" s="26">
        <f t="shared" si="7"/>
        <v>4.8669117647058821E-2</v>
      </c>
    </row>
    <row r="36" spans="1:11" ht="15.75" x14ac:dyDescent="0.25">
      <c r="A36" s="16">
        <f t="shared" si="8"/>
        <v>10</v>
      </c>
      <c r="B36" s="17" t="str">
        <f>B15</f>
        <v>2018-03</v>
      </c>
      <c r="C36" s="20">
        <f t="shared" si="0"/>
        <v>74</v>
      </c>
      <c r="D36" s="25">
        <f t="shared" si="1"/>
        <v>63.999475334268844</v>
      </c>
      <c r="E36" s="25">
        <f t="shared" si="2"/>
        <v>71.344999999999999</v>
      </c>
      <c r="F36" s="25">
        <f t="shared" si="3"/>
        <v>-10.000524665731156</v>
      </c>
      <c r="G36" s="25">
        <f t="shared" si="4"/>
        <v>-2.6550000000000011</v>
      </c>
      <c r="H36" s="25">
        <f t="shared" si="5"/>
        <v>10.000524665731156</v>
      </c>
      <c r="I36" s="25">
        <f t="shared" si="5"/>
        <v>2.6550000000000011</v>
      </c>
      <c r="J36" s="26">
        <f t="shared" si="6"/>
        <v>0.13514222521258318</v>
      </c>
      <c r="K36" s="26">
        <f t="shared" si="7"/>
        <v>3.5878378378378394E-2</v>
      </c>
    </row>
    <row r="37" spans="1:11" ht="15.75" x14ac:dyDescent="0.25">
      <c r="A37" s="16">
        <f t="shared" si="8"/>
        <v>11</v>
      </c>
      <c r="B37" s="17" t="str">
        <f t="shared" si="0"/>
        <v>2018-04</v>
      </c>
      <c r="C37" s="20">
        <f t="shared" si="0"/>
        <v>50</v>
      </c>
      <c r="D37" s="25">
        <f t="shared" ref="D37:D38" si="9">SUMPRODUCT(($C$22:$C$23),C35:C36)</f>
        <v>70.570978924877153</v>
      </c>
      <c r="E37" s="25">
        <f t="shared" si="2"/>
        <v>77.999499999999998</v>
      </c>
      <c r="F37" s="25">
        <f t="shared" si="3"/>
        <v>20.570978924877153</v>
      </c>
      <c r="G37" s="25">
        <f t="shared" si="4"/>
        <v>27.999499999999998</v>
      </c>
      <c r="H37" s="25">
        <f t="shared" si="5"/>
        <v>20.570978924877153</v>
      </c>
      <c r="I37" s="25">
        <f t="shared" si="5"/>
        <v>27.999499999999998</v>
      </c>
      <c r="J37" s="26">
        <f t="shared" si="6"/>
        <v>0.41141957849754307</v>
      </c>
      <c r="K37" s="26">
        <f t="shared" si="7"/>
        <v>0.55998999999999999</v>
      </c>
    </row>
    <row r="38" spans="1:11" ht="15.75" x14ac:dyDescent="0.25">
      <c r="A38" s="16">
        <f t="shared" si="8"/>
        <v>12</v>
      </c>
      <c r="B38" s="17" t="str">
        <f t="shared" si="0"/>
        <v>2018-05</v>
      </c>
      <c r="C38" s="20">
        <f t="shared" si="0"/>
        <v>94</v>
      </c>
      <c r="D38" s="25">
        <f t="shared" si="9"/>
        <v>63.716085774221916</v>
      </c>
      <c r="E38" s="25">
        <f t="shared" si="2"/>
        <v>84.653999999999996</v>
      </c>
      <c r="F38" s="25">
        <f t="shared" si="3"/>
        <v>-30.283914225778084</v>
      </c>
      <c r="G38" s="25">
        <f t="shared" si="4"/>
        <v>-9.3460000000000036</v>
      </c>
      <c r="H38" s="25">
        <f t="shared" si="5"/>
        <v>30.283914225778084</v>
      </c>
      <c r="I38" s="25">
        <f>ABS(G38)</f>
        <v>9.3460000000000036</v>
      </c>
      <c r="J38" s="26">
        <f t="shared" si="6"/>
        <v>0.3221693002742349</v>
      </c>
      <c r="K38" s="26">
        <f t="shared" si="7"/>
        <v>9.9425531914893658E-2</v>
      </c>
    </row>
    <row r="41" spans="1:11" x14ac:dyDescent="0.25">
      <c r="B41" s="20" t="s">
        <v>64</v>
      </c>
      <c r="C41" s="20" t="s">
        <v>65</v>
      </c>
      <c r="D41" s="20" t="s">
        <v>66</v>
      </c>
    </row>
    <row r="42" spans="1:11" ht="15.75" x14ac:dyDescent="0.25">
      <c r="B42" s="17" t="s">
        <v>67</v>
      </c>
      <c r="C42" s="26">
        <f>SUM(F29:F38)/SUM(C29:C38)</f>
        <v>-0.19601820063918074</v>
      </c>
      <c r="D42" s="27">
        <f>SUM(G29:G38)/SUM(C29:C38)</f>
        <v>0.1566331923890063</v>
      </c>
    </row>
    <row r="43" spans="1:11" x14ac:dyDescent="0.25">
      <c r="B43" s="17" t="s">
        <v>68</v>
      </c>
      <c r="C43" s="28">
        <f>AVERAGE(J29:J38)</f>
        <v>0.45031928705409319</v>
      </c>
      <c r="D43" s="29">
        <f>AVERAGE(K29:K38)</f>
        <v>0.49500785297125943</v>
      </c>
    </row>
    <row r="44" spans="1:11" ht="15.75" x14ac:dyDescent="0.25">
      <c r="B44" s="17" t="s">
        <v>69</v>
      </c>
      <c r="C44" s="26">
        <f>SUM(H29:H38)/SUM(C29:C38)</f>
        <v>0.37179179102863757</v>
      </c>
      <c r="D44" s="27">
        <f>SUM(I29:I38)/SUM(C29:C38)</f>
        <v>0.23390380549682871</v>
      </c>
    </row>
    <row r="45" spans="1:11" x14ac:dyDescent="0.25">
      <c r="B45" s="17" t="s">
        <v>70</v>
      </c>
      <c r="C45" s="25">
        <f>SQRT(SUMSQ(F29:F38)/COUNTA(F29:F38))</f>
        <v>21.218542031459975</v>
      </c>
      <c r="D45" s="30">
        <f>SQRT(SUMSQ(G29:G38)/COUNTA(G29:G38))</f>
        <v>16.264460677348019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Capa </vt:lpstr>
      <vt:lpstr>Suposições</vt:lpstr>
      <vt:lpstr>INPUTS Leads- Trafego pago</vt:lpstr>
      <vt:lpstr>Source- Trafego pago </vt:lpstr>
      <vt:lpstr>INPUTS Leads- Trafego organico</vt:lpstr>
      <vt:lpstr>Source- Trafego organico</vt:lpstr>
      <vt:lpstr>Leads Trafego organico</vt:lpstr>
      <vt:lpstr>OUTPUT Desempenho vendas</vt:lpstr>
      <vt:lpstr>Projeção estudo leads organicos</vt:lpstr>
      <vt:lpstr>Projeção estudo leads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Kuvabara</dc:creator>
  <cp:lastModifiedBy>Germano</cp:lastModifiedBy>
  <dcterms:created xsi:type="dcterms:W3CDTF">2022-02-02T22:14:41Z</dcterms:created>
  <dcterms:modified xsi:type="dcterms:W3CDTF">2022-10-03T12:19:41Z</dcterms:modified>
</cp:coreProperties>
</file>