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onimoalonso/Desktop/BUSINESS/OPERATING/CAM/2020/"/>
    </mc:Choice>
  </mc:AlternateContent>
  <xr:revisionPtr revIDLastSave="0" documentId="13_ncr:1_{8A9CE89A-2755-A24A-B66A-FBA295FE30A3}" xr6:coauthVersionLast="46" xr6:coauthVersionMax="46" xr10:uidLastSave="{00000000-0000-0000-0000-000000000000}"/>
  <bookViews>
    <workbookView xWindow="-38400" yWindow="0" windowWidth="38400" windowHeight="21600" xr2:uid="{0B801CDA-79DA-AF40-BFFB-733007C563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C4" i="1" s="1"/>
  <c r="AC3" i="1"/>
  <c r="H31" i="2"/>
  <c r="H30" i="2"/>
  <c r="F31" i="2"/>
  <c r="G31" i="2"/>
  <c r="F30" i="2"/>
  <c r="G30" i="2"/>
  <c r="L12" i="1"/>
  <c r="T11" i="1"/>
  <c r="U11" i="1"/>
  <c r="L11" i="1"/>
  <c r="L18" i="1" l="1"/>
  <c r="V18" i="1"/>
  <c r="U18" i="1"/>
  <c r="T18" i="1"/>
  <c r="S18" i="1"/>
  <c r="N18" i="1"/>
  <c r="M18" i="1"/>
  <c r="O18" i="1"/>
  <c r="B6" i="2"/>
  <c r="B8" i="2"/>
  <c r="B40" i="2"/>
  <c r="B42" i="2"/>
  <c r="Y14" i="1" l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F14" i="1"/>
  <c r="E14" i="1"/>
  <c r="C14" i="1"/>
  <c r="G14" i="1"/>
  <c r="D14" i="1"/>
  <c r="B17" i="2"/>
  <c r="C34" i="2"/>
  <c r="B34" i="2"/>
  <c r="C68" i="2"/>
  <c r="B68" i="2"/>
  <c r="B51" i="2"/>
  <c r="Y6" i="1"/>
  <c r="Y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F6" i="1"/>
  <c r="F7" i="1"/>
  <c r="E6" i="1"/>
  <c r="E7" i="1"/>
  <c r="C6" i="1"/>
  <c r="C7" i="1"/>
  <c r="G7" i="1"/>
  <c r="G6" i="1"/>
  <c r="D7" i="1"/>
  <c r="D6" i="1"/>
  <c r="Y5" i="1"/>
  <c r="V5" i="1"/>
  <c r="U5" i="1"/>
  <c r="T5" i="1"/>
  <c r="S5" i="1"/>
  <c r="R5" i="1"/>
  <c r="Q5" i="1"/>
  <c r="P5" i="1"/>
  <c r="O5" i="1"/>
  <c r="N5" i="1"/>
  <c r="M5" i="1"/>
  <c r="L5" i="1"/>
  <c r="K5" i="1"/>
  <c r="J5" i="1"/>
  <c r="G5" i="1"/>
  <c r="F5" i="1"/>
  <c r="E5" i="1"/>
  <c r="D5" i="1"/>
  <c r="C5" i="1"/>
  <c r="W6" i="1" l="1"/>
  <c r="AB6" i="1" s="1"/>
  <c r="W14" i="1"/>
  <c r="AB14" i="1" s="1"/>
  <c r="I14" i="1" s="1"/>
  <c r="AC14" i="1"/>
  <c r="H14" i="1" s="1"/>
  <c r="W7" i="1"/>
  <c r="AB7" i="1" s="1"/>
  <c r="I7" i="1" s="1"/>
  <c r="AC6" i="1"/>
  <c r="H6" i="1" s="1"/>
  <c r="I6" i="1"/>
  <c r="W5" i="1"/>
  <c r="AB5" i="1" s="1"/>
  <c r="I5" i="1" s="1"/>
  <c r="B23" i="2"/>
  <c r="B32" i="2"/>
  <c r="B31" i="2"/>
  <c r="B62" i="2"/>
  <c r="B65" i="2"/>
  <c r="C11" i="1"/>
  <c r="D11" i="1"/>
  <c r="E11" i="1"/>
  <c r="F11" i="1"/>
  <c r="G11" i="1"/>
  <c r="J11" i="1"/>
  <c r="K11" i="1"/>
  <c r="M11" i="1"/>
  <c r="N11" i="1"/>
  <c r="O11" i="1"/>
  <c r="P11" i="1"/>
  <c r="Q11" i="1"/>
  <c r="R11" i="1"/>
  <c r="S11" i="1"/>
  <c r="V11" i="1"/>
  <c r="Y11" i="1"/>
  <c r="Y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F13" i="1"/>
  <c r="E13" i="1"/>
  <c r="E15" i="1"/>
  <c r="C13" i="1"/>
  <c r="G13" i="1"/>
  <c r="D13" i="1"/>
  <c r="AC5" i="1" l="1"/>
  <c r="H5" i="1" s="1"/>
  <c r="AC7" i="1"/>
  <c r="H7" i="1" s="1"/>
  <c r="W11" i="1"/>
  <c r="AB11" i="1" s="1"/>
  <c r="AC11" i="1" s="1"/>
  <c r="H11" i="1" s="1"/>
  <c r="W13" i="1"/>
  <c r="AB13" i="1" s="1"/>
  <c r="I13" i="1" s="1"/>
  <c r="B57" i="2"/>
  <c r="B9" i="2"/>
  <c r="E2" i="1"/>
  <c r="E3" i="1"/>
  <c r="E4" i="1"/>
  <c r="E8" i="1"/>
  <c r="E9" i="1"/>
  <c r="E10" i="1"/>
  <c r="E12" i="1"/>
  <c r="E16" i="1"/>
  <c r="E17" i="1"/>
  <c r="E18" i="1"/>
  <c r="E19" i="1"/>
  <c r="C17" i="1"/>
  <c r="D17" i="1"/>
  <c r="F17" i="1"/>
  <c r="G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Y17" i="1"/>
  <c r="AA17" i="1"/>
  <c r="AA2" i="1"/>
  <c r="AA3" i="1"/>
  <c r="AA4" i="1"/>
  <c r="AA9" i="1"/>
  <c r="AA15" i="1"/>
  <c r="AA16" i="1"/>
  <c r="AA18" i="1"/>
  <c r="AA19" i="1"/>
  <c r="I11" i="1" l="1"/>
  <c r="AC13" i="1"/>
  <c r="H13" i="1" s="1"/>
  <c r="W17" i="1"/>
  <c r="AB17" i="1" s="1"/>
  <c r="AC17" i="1" s="1"/>
  <c r="H17" i="1" s="1"/>
  <c r="Y2" i="1"/>
  <c r="I17" i="1" l="1"/>
  <c r="N8" i="1"/>
  <c r="N9" i="1"/>
  <c r="N10" i="1"/>
  <c r="V16" i="1" l="1"/>
  <c r="V19" i="1"/>
  <c r="U16" i="1"/>
  <c r="U19" i="1"/>
  <c r="T16" i="1"/>
  <c r="T19" i="1"/>
  <c r="S16" i="1" l="1"/>
  <c r="S19" i="1"/>
  <c r="R16" i="1"/>
  <c r="R18" i="1"/>
  <c r="R19" i="1"/>
  <c r="Q16" i="1"/>
  <c r="Q18" i="1"/>
  <c r="Q19" i="1"/>
  <c r="P16" i="1"/>
  <c r="P18" i="1"/>
  <c r="P19" i="1"/>
  <c r="O16" i="1"/>
  <c r="O19" i="1"/>
  <c r="N16" i="1"/>
  <c r="N19" i="1"/>
  <c r="M16" i="1"/>
  <c r="M19" i="1"/>
  <c r="L16" i="1"/>
  <c r="L19" i="1"/>
  <c r="K16" i="1"/>
  <c r="K18" i="1"/>
  <c r="K19" i="1"/>
  <c r="J16" i="1"/>
  <c r="J18" i="1"/>
  <c r="J19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C38" i="2"/>
  <c r="V12" i="1"/>
  <c r="U12" i="1"/>
  <c r="T12" i="1"/>
  <c r="S12" i="1"/>
  <c r="R12" i="1"/>
  <c r="Q12" i="1"/>
  <c r="P12" i="1"/>
  <c r="O12" i="1"/>
  <c r="N12" i="1"/>
  <c r="M12" i="1"/>
  <c r="K12" i="1"/>
  <c r="J12" i="1"/>
  <c r="V8" i="1"/>
  <c r="V9" i="1"/>
  <c r="V10" i="1"/>
  <c r="U8" i="1"/>
  <c r="U9" i="1"/>
  <c r="U10" i="1"/>
  <c r="T8" i="1"/>
  <c r="T9" i="1"/>
  <c r="T10" i="1"/>
  <c r="S8" i="1"/>
  <c r="S9" i="1"/>
  <c r="S10" i="1"/>
  <c r="R8" i="1"/>
  <c r="R9" i="1"/>
  <c r="R10" i="1"/>
  <c r="Q8" i="1"/>
  <c r="Q9" i="1"/>
  <c r="Q10" i="1"/>
  <c r="P8" i="1"/>
  <c r="P9" i="1"/>
  <c r="P10" i="1"/>
  <c r="O8" i="1"/>
  <c r="O9" i="1"/>
  <c r="O10" i="1"/>
  <c r="M8" i="1"/>
  <c r="M9" i="1"/>
  <c r="M10" i="1"/>
  <c r="L8" i="1"/>
  <c r="L9" i="1"/>
  <c r="L10" i="1"/>
  <c r="K8" i="1"/>
  <c r="K9" i="1"/>
  <c r="K10" i="1"/>
  <c r="J8" i="1"/>
  <c r="J9" i="1"/>
  <c r="J10" i="1"/>
  <c r="V2" i="1"/>
  <c r="V3" i="1"/>
  <c r="V4" i="1"/>
  <c r="U2" i="1"/>
  <c r="U3" i="1"/>
  <c r="U4" i="1"/>
  <c r="T2" i="1"/>
  <c r="T3" i="1"/>
  <c r="T4" i="1"/>
  <c r="S2" i="1"/>
  <c r="S3" i="1"/>
  <c r="S4" i="1"/>
  <c r="R2" i="1"/>
  <c r="R3" i="1"/>
  <c r="R4" i="1"/>
  <c r="Q2" i="1"/>
  <c r="Q3" i="1"/>
  <c r="Q4" i="1"/>
  <c r="P2" i="1"/>
  <c r="P3" i="1"/>
  <c r="P4" i="1"/>
  <c r="O2" i="1"/>
  <c r="O3" i="1"/>
  <c r="O4" i="1"/>
  <c r="N2" i="1"/>
  <c r="N3" i="1"/>
  <c r="N4" i="1"/>
  <c r="M2" i="1"/>
  <c r="M3" i="1"/>
  <c r="M4" i="1"/>
  <c r="L2" i="1"/>
  <c r="L3" i="1"/>
  <c r="L4" i="1"/>
  <c r="K2" i="1"/>
  <c r="K3" i="1"/>
  <c r="K4" i="1"/>
  <c r="J2" i="1"/>
  <c r="J3" i="1"/>
  <c r="J4" i="1"/>
  <c r="C39" i="2" l="1"/>
  <c r="C40" i="2"/>
  <c r="C41" i="2"/>
  <c r="C42" i="2"/>
  <c r="C27" i="2"/>
  <c r="C28" i="2"/>
  <c r="C29" i="2"/>
  <c r="C30" i="2"/>
  <c r="C5" i="2"/>
  <c r="C13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0" i="2"/>
  <c r="C49" i="2"/>
  <c r="C48" i="2"/>
  <c r="C47" i="2"/>
  <c r="C46" i="2"/>
  <c r="C45" i="2"/>
  <c r="C44" i="2"/>
  <c r="C43" i="2"/>
  <c r="C33" i="2"/>
  <c r="C32" i="2"/>
  <c r="C31" i="2"/>
  <c r="C26" i="2"/>
  <c r="C25" i="2"/>
  <c r="C24" i="2"/>
  <c r="C23" i="2"/>
  <c r="C22" i="2"/>
  <c r="C21" i="2"/>
  <c r="C16" i="2"/>
  <c r="C15" i="2"/>
  <c r="C14" i="2"/>
  <c r="C12" i="2"/>
  <c r="C11" i="2"/>
  <c r="C10" i="2"/>
  <c r="C9" i="2"/>
  <c r="C8" i="2"/>
  <c r="C7" i="2"/>
  <c r="C6" i="2"/>
  <c r="C4" i="2"/>
  <c r="C17" i="2" l="1"/>
  <c r="C51" i="2"/>
  <c r="G2" i="1"/>
  <c r="G3" i="1"/>
  <c r="G4" i="1"/>
  <c r="G8" i="1"/>
  <c r="G9" i="1"/>
  <c r="G10" i="1"/>
  <c r="G12" i="1"/>
  <c r="G15" i="1"/>
  <c r="G16" i="1"/>
  <c r="G18" i="1"/>
  <c r="G19" i="1"/>
  <c r="D2" i="1" l="1"/>
  <c r="D3" i="1"/>
  <c r="D4" i="1"/>
  <c r="D8" i="1"/>
  <c r="D9" i="1"/>
  <c r="D10" i="1"/>
  <c r="D12" i="1"/>
  <c r="D15" i="1"/>
  <c r="D16" i="1"/>
  <c r="D18" i="1"/>
  <c r="D19" i="1"/>
  <c r="Y3" i="1" l="1"/>
  <c r="Y4" i="1"/>
  <c r="Y8" i="1"/>
  <c r="Y9" i="1"/>
  <c r="Y10" i="1"/>
  <c r="Y12" i="1"/>
  <c r="Y15" i="1"/>
  <c r="Y16" i="1"/>
  <c r="Y18" i="1"/>
  <c r="Y19" i="1"/>
  <c r="W2" i="1"/>
  <c r="AB2" i="1" s="1"/>
  <c r="W3" i="1"/>
  <c r="W4" i="1"/>
  <c r="W8" i="1"/>
  <c r="AB8" i="1" s="1"/>
  <c r="W9" i="1"/>
  <c r="AB9" i="1" s="1"/>
  <c r="W10" i="1"/>
  <c r="AB10" i="1" s="1"/>
  <c r="W12" i="1"/>
  <c r="AB12" i="1" s="1"/>
  <c r="W15" i="1"/>
  <c r="AB15" i="1" s="1"/>
  <c r="W16" i="1"/>
  <c r="W18" i="1"/>
  <c r="AB18" i="1" s="1"/>
  <c r="W19" i="1"/>
  <c r="F2" i="1"/>
  <c r="F3" i="1"/>
  <c r="F4" i="1"/>
  <c r="F8" i="1"/>
  <c r="F9" i="1"/>
  <c r="F10" i="1"/>
  <c r="F12" i="1"/>
  <c r="F15" i="1"/>
  <c r="F16" i="1"/>
  <c r="F18" i="1"/>
  <c r="F19" i="1"/>
  <c r="C2" i="1"/>
  <c r="C3" i="1"/>
  <c r="C4" i="1"/>
  <c r="C8" i="1"/>
  <c r="C9" i="1"/>
  <c r="C10" i="1"/>
  <c r="C12" i="1"/>
  <c r="C15" i="1"/>
  <c r="C16" i="1"/>
  <c r="C18" i="1"/>
  <c r="C19" i="1"/>
  <c r="AB19" i="1" l="1"/>
  <c r="AC19" i="1" s="1"/>
  <c r="H19" i="1" s="1"/>
  <c r="AB16" i="1"/>
  <c r="AC16" i="1" s="1"/>
  <c r="H16" i="1" s="1"/>
  <c r="AC12" i="1"/>
  <c r="H12" i="1" s="1"/>
  <c r="I10" i="1"/>
  <c r="AC10" i="1"/>
  <c r="H10" i="1" s="1"/>
  <c r="AC18" i="1"/>
  <c r="H18" i="1" s="1"/>
  <c r="I18" i="1"/>
  <c r="I4" i="1"/>
  <c r="H4" i="1"/>
  <c r="AC2" i="1"/>
  <c r="H2" i="1" s="1"/>
  <c r="I2" i="1"/>
  <c r="I3" i="1"/>
  <c r="H3" i="1"/>
  <c r="AC15" i="1"/>
  <c r="H15" i="1" s="1"/>
  <c r="I15" i="1"/>
  <c r="I9" i="1"/>
  <c r="AC9" i="1"/>
  <c r="H9" i="1" s="1"/>
  <c r="I8" i="1"/>
  <c r="AC8" i="1"/>
  <c r="H8" i="1" s="1"/>
  <c r="I16" i="1" l="1"/>
  <c r="I19" i="1"/>
  <c r="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Geronimo Alonso</author>
    <author>Microsoft Office User</author>
  </authors>
  <commentList>
    <comment ref="B5" authorId="0" shapeId="0" xr:uid="{9BF8293D-BD17-A542-ADD7-5A10393286E6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HUANCHACO FOODS TIENE 6.5 MINIMO DE CAM</t>
        </r>
      </text>
    </comment>
    <comment ref="B6" authorId="0" shapeId="0" xr:uid="{455EFAB4-76EA-7846-A561-84A02009C270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VERGE INC TIENE 6.5 MINIMO DE CAM</t>
        </r>
      </text>
    </comment>
    <comment ref="B7" authorId="0" shapeId="0" xr:uid="{20A6659E-3688-2D45-B43D-0656A9045128}">
      <text>
        <r>
          <rPr>
            <b/>
            <sz val="10"/>
            <color rgb="FF000000"/>
            <rFont val="Tahoma"/>
            <family val="2"/>
          </rPr>
          <t xml:space="preserve">Geronimo Alons
</t>
        </r>
        <r>
          <rPr>
            <b/>
            <sz val="10"/>
            <color rgb="FF000000"/>
            <rFont val="Tahoma"/>
            <family val="2"/>
          </rPr>
          <t>HYAS INC TIENE 6.5 MINIMO DE CAM</t>
        </r>
      </text>
    </comment>
    <comment ref="AA8" authorId="0" shapeId="0" xr:uid="{C5A14F73-E534-A341-B93E-8D925ACD7A61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reality there are  24, 388 foot in the property. </t>
        </r>
      </text>
    </comment>
    <comment ref="Z10" authorId="0" shapeId="0" xr:uid="{8C728061-E1A5-F54F-B754-FAAD117E9EB5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Dice que es aprox el 11.21 de los gastos comunes</t>
        </r>
      </text>
    </comment>
    <comment ref="Z11" authorId="1" shapeId="0" xr:uid="{6FDBA6E2-4B52-6B42-99FD-FFCFD741F3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estos pies pagan cam, los ottros son gross</t>
        </r>
      </text>
    </comment>
    <comment ref="B12" authorId="0" shapeId="0" xr:uid="{12000C17-7C6C-2141-9636-F1C35552DBBC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Naca tiene un minimo de CAM de 5.5</t>
        </r>
      </text>
    </comment>
    <comment ref="B14" authorId="0" shapeId="0" xr:uid="{8E3E090B-440C-4640-A510-908AAF48C44E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Metro PCS of Florida tiene 6.5 de CAM minimo</t>
        </r>
      </text>
    </comment>
    <comment ref="B19" authorId="0" shapeId="0" xr:uid="{201FD010-5BEA-814C-9E35-AFE8B66E15AD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REDA FREIJ TIENE 2.94 MINIMO DE CAM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Geronimo Alonso</author>
  </authors>
  <commentList>
    <comment ref="B6" authorId="0" shapeId="0" xr:uid="{42DCBB7D-D5E7-FD47-9E75-605A8FC5B9B9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Aires Nuevos
</t>
        </r>
      </text>
    </comment>
    <comment ref="B23" authorId="0" shapeId="0" xr:uid="{156BD4EA-AF76-E041-9328-1096B6580BFD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Saque CAM rodolfo</t>
        </r>
      </text>
    </comment>
    <comment ref="B31" authorId="0" shapeId="0" xr:uid="{FFF5785F-C43A-7345-B4F8-CBB8E75C0317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Saque Sueldo Tom</t>
        </r>
      </text>
    </comment>
    <comment ref="B32" authorId="0" shapeId="0" xr:uid="{2054FA24-1433-4F48-9B18-0A647067F0D2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Saque payroll taxes proporcionales a sueldo tom</t>
        </r>
      </text>
    </comment>
    <comment ref="B65" authorId="0" shapeId="0" xr:uid="{252D46C6-7C14-6C4C-ABCC-DE8A6E508CB2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Restado Sueldo Veronica y Marcelo porque Davita no Acepta Management payroll </t>
        </r>
      </text>
    </comment>
    <comment ref="B66" authorId="0" shapeId="0" xr:uid="{EE47350C-C499-D047-8CD9-6562957FB6A6}">
      <text>
        <r>
          <rPr>
            <b/>
            <sz val="10"/>
            <color rgb="FF000000"/>
            <rFont val="Tahoma"/>
            <family val="2"/>
          </rPr>
          <t>Geronimo Alonso: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Restado Payroll Taxes Marcelo y Veronica porque Davita no acepta sueldos administrativos</t>
        </r>
      </text>
    </comment>
  </commentList>
</comments>
</file>

<file path=xl/sharedStrings.xml><?xml version="1.0" encoding="utf-8"?>
<sst xmlns="http://schemas.openxmlformats.org/spreadsheetml/2006/main" count="177" uniqueCount="100">
  <si>
    <t>TENANT</t>
  </si>
  <si>
    <t>DATE</t>
  </si>
  <si>
    <t>ADDRESS</t>
  </si>
  <si>
    <t>CURRENTYEAR</t>
  </si>
  <si>
    <t>NEXTYEAR</t>
  </si>
  <si>
    <t>WATERSEWER</t>
  </si>
  <si>
    <t>ELECTRICITY</t>
  </si>
  <si>
    <t>REPAIRSMAINTENANCE</t>
  </si>
  <si>
    <t>PESTCONTROL</t>
  </si>
  <si>
    <t>CLEANINGLANDSCAPING</t>
  </si>
  <si>
    <t>PROPERTYTAXES</t>
  </si>
  <si>
    <t>SQUAREFOOTAGEOFPLAZA</t>
  </si>
  <si>
    <t>CAMPERSQFT</t>
  </si>
  <si>
    <t>UNITTOTALEXPENSESACCRUED</t>
  </si>
  <si>
    <t>TENANTCURRENTTOTALPAYMENTS</t>
  </si>
  <si>
    <t>TENANTCURRENTMONTHLYPAYMENTS</t>
  </si>
  <si>
    <t>TENANTNAME</t>
  </si>
  <si>
    <t>FIREDEPARTMENT</t>
  </si>
  <si>
    <t>WASTEREMOVAL</t>
  </si>
  <si>
    <t>PROPERTYINSURANCE</t>
  </si>
  <si>
    <t>PLUMBING</t>
  </si>
  <si>
    <t>PAYROLL</t>
  </si>
  <si>
    <t>PAYROLLTAXES</t>
  </si>
  <si>
    <t>WORKERSCOMP</t>
  </si>
  <si>
    <t>TOTALEXPENSESCURRENT</t>
  </si>
  <si>
    <t>DUECURRENT</t>
  </si>
  <si>
    <t>ESTIMATEDNEXT</t>
  </si>
  <si>
    <t>LANDLORDCORPORATION</t>
  </si>
  <si>
    <t>SAMPLE USA CORP</t>
  </si>
  <si>
    <t>IBERIC GROUP CORP</t>
  </si>
  <si>
    <t>NEW ORLANDO TEAM CORP</t>
  </si>
  <si>
    <t>BEAUTIFUL THINGS</t>
  </si>
  <si>
    <t>DA VITA DYALISIS</t>
  </si>
  <si>
    <t>CYCLING FORZA</t>
  </si>
  <si>
    <t>DUNKIN DONUTS</t>
  </si>
  <si>
    <t>PIZZA BELLA</t>
  </si>
  <si>
    <t>SWC PALM BEACH BOTANICALS LLC</t>
  </si>
  <si>
    <t>COMPREHENSIVE HEALTH INSTITUTE</t>
  </si>
  <si>
    <t>NACA</t>
  </si>
  <si>
    <t>PAM'S COUNTRY RESTAURANT</t>
  </si>
  <si>
    <t>LA NAILS</t>
  </si>
  <si>
    <t>NEW FLORIDA TEAM CORP</t>
  </si>
  <si>
    <t>TIAN TIAN CHINESE RESTAURANT</t>
  </si>
  <si>
    <t>NPC INTERNATIONAL INC</t>
  </si>
  <si>
    <t xml:space="preserve"> CAM</t>
  </si>
  <si>
    <t>HIAWASSEE PLAZA</t>
  </si>
  <si>
    <t>SIZE:</t>
  </si>
  <si>
    <t>ACCOUNT</t>
  </si>
  <si>
    <t>AMOUNT</t>
  </si>
  <si>
    <t>PER SQUARE/F</t>
  </si>
  <si>
    <t>401.3 REPAIRS &amp; MAINTENANCE</t>
  </si>
  <si>
    <t>401.5 PEST CONTROL</t>
  </si>
  <si>
    <t>401.6 CLEANING &amp; LANDSCAPING</t>
  </si>
  <si>
    <t>401.7 FIRE DEPARTMENT</t>
  </si>
  <si>
    <t>401.9 TRASH REMOVAL</t>
  </si>
  <si>
    <t>401.8 PROPERTY INSURANCE</t>
  </si>
  <si>
    <t>401.4 PROPERTY TAXES</t>
  </si>
  <si>
    <t>404.3 PAYROLL</t>
  </si>
  <si>
    <t>404.4 PAYROLL TAXES</t>
  </si>
  <si>
    <t>401.11 WORKERS COMP</t>
  </si>
  <si>
    <t xml:space="preserve">TOTAL </t>
  </si>
  <si>
    <t>OAKTREE PLAZA</t>
  </si>
  <si>
    <t>SIZE</t>
  </si>
  <si>
    <t>401.1 WATER AND SEWER</t>
  </si>
  <si>
    <t>401.2 ELECTRICITY</t>
  </si>
  <si>
    <t>RIDGE ROAD SHOPPING CENTER</t>
  </si>
  <si>
    <t>SAMPLE ROW PLAZA</t>
  </si>
  <si>
    <t>401.1 PLUMBING</t>
  </si>
  <si>
    <t>REDA FREIJ</t>
  </si>
  <si>
    <t>6.57 p/ mohammed</t>
  </si>
  <si>
    <t>CAM ANO ANTERIOR</t>
  </si>
  <si>
    <t xml:space="preserve">401.12 WASTE ASSESMENT </t>
  </si>
  <si>
    <t>110% HONESTO</t>
  </si>
  <si>
    <t>HYAS INC</t>
  </si>
  <si>
    <t xml:space="preserve">SAMPLE USA CORP </t>
  </si>
  <si>
    <t>HUANCHACO FOODS LLC</t>
  </si>
  <si>
    <t>THE VERGE INC</t>
  </si>
  <si>
    <t>METRO PCS FLORIDA LLC</t>
  </si>
  <si>
    <t>INCLUYE $21,000 DE REPAIRS AND MAINTENANCE</t>
  </si>
  <si>
    <t>INCLUYE $12,578 DE ROOF LEAKS REPAIRS</t>
  </si>
  <si>
    <t>incluye 4138 de A/C Units Repairs</t>
  </si>
  <si>
    <t>incluye 3,679 de Roof Leaks Repairs</t>
  </si>
  <si>
    <t>incluye 4949.56 de Minor Repairs</t>
  </si>
  <si>
    <t>incluye 21,000 de management fee</t>
  </si>
  <si>
    <t>NO HAY QUE DEVOLVERLE PORQUE TIENE UN MINMO ESTIPULADO DE 6.5 DE CAM</t>
  </si>
  <si>
    <t>COMENTARIOS</t>
  </si>
  <si>
    <t>TIENEN QUE PAGAR (TIENE CAP DEL 5% SOBRE GASTOS OPERATIVOS  GASTOS EXTRA) (LES SAQUE TODO LO QUE NO ERA REALMENTE CAM)</t>
  </si>
  <si>
    <t>TOTAL OPERATIVO</t>
  </si>
  <si>
    <t xml:space="preserve">TOTAL NO OPERATIVO </t>
  </si>
  <si>
    <t>CAM ANO ANTERIOR 7.81</t>
  </si>
  <si>
    <t>CHANGE</t>
  </si>
  <si>
    <t>TIENE QUE PAGAR</t>
  </si>
  <si>
    <t>TIENE QUE PAGAR (LES SAQUE TODO LO QUE REALMENTE NO ERA CAM)</t>
  </si>
  <si>
    <t>TIENE QUE PAGGAR</t>
  </si>
  <si>
    <t>TIENE QUE PAGAR (LE SAQUE A LOS GASTOS 21,000 DE MANAGEMENT FEE Y 12,578 DE ROOF LEAKS REPAIRS POR SI REVISAN (SOLO A ESTE TENANT))</t>
  </si>
  <si>
    <t xml:space="preserve">RECIEN EMPEZO A PAGAR EN OCTUBRE 30, ES MUY POCO POR DOS MESES </t>
  </si>
  <si>
    <t>HAY QUE VER COMO LO MEJORAMOS</t>
  </si>
  <si>
    <t>WATER AND SEWER</t>
  </si>
  <si>
    <t>77 SR ENTERPRISES INC</t>
  </si>
  <si>
    <t>UNITSQUAREFOOTAGE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</si>
</sst>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TimeS"/>
      <family val="1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3" xfId="0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3" xfId="0" applyBorder="1" applyProtection="1"/>
    <xf numFmtId="0" fontId="0" fillId="0" borderId="2" xfId="0" applyBorder="1" applyProtection="1"/>
    <xf numFmtId="0" fontId="0" fillId="0" borderId="0" xfId="0" applyProtection="1"/>
    <xf numFmtId="164" fontId="0" fillId="0" borderId="1" xfId="0" applyNumberFormat="1" applyBorder="1" applyProtection="1"/>
    <xf numFmtId="0" fontId="0" fillId="0" borderId="1" xfId="0" applyNumberFormat="1" applyBorder="1" applyProtection="1"/>
    <xf numFmtId="0" fontId="2" fillId="0" borderId="2" xfId="0" applyFont="1" applyBorder="1" applyProtection="1"/>
    <xf numFmtId="44" fontId="0" fillId="0" borderId="1" xfId="0" applyNumberFormat="1" applyBorder="1" applyProtection="1"/>
    <xf numFmtId="44" fontId="0" fillId="0" borderId="2" xfId="1" applyFont="1" applyBorder="1" applyProtection="1"/>
    <xf numFmtId="44" fontId="0" fillId="0" borderId="1" xfId="1" applyFont="1" applyBorder="1" applyProtection="1"/>
    <xf numFmtId="0" fontId="0" fillId="0" borderId="1" xfId="0" applyBorder="1" applyProtection="1"/>
    <xf numFmtId="2" fontId="0" fillId="0" borderId="0" xfId="0" applyNumberFormat="1" applyProtection="1">
      <protection locked="0"/>
    </xf>
    <xf numFmtId="0" fontId="0" fillId="2" borderId="1" xfId="0" applyFill="1" applyBorder="1" applyProtection="1"/>
    <xf numFmtId="0" fontId="3" fillId="0" borderId="1" xfId="0" applyFont="1" applyBorder="1" applyProtection="1"/>
    <xf numFmtId="3" fontId="0" fillId="0" borderId="1" xfId="0" applyNumberFormat="1" applyBorder="1" applyProtection="1"/>
    <xf numFmtId="165" fontId="0" fillId="0" borderId="1" xfId="2" applyNumberFormat="1" applyFont="1" applyBorder="1" applyProtection="1"/>
    <xf numFmtId="0" fontId="0" fillId="0" borderId="0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Protection="1"/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6" xfId="0" applyBorder="1" applyProtection="1"/>
    <xf numFmtId="44" fontId="0" fillId="0" borderId="1" xfId="1" applyFont="1" applyFill="1" applyBorder="1" applyProtection="1">
      <protection locked="0"/>
    </xf>
    <xf numFmtId="8" fontId="0" fillId="0" borderId="1" xfId="1" applyNumberFormat="1" applyFont="1" applyBorder="1" applyProtection="1"/>
    <xf numFmtId="8" fontId="6" fillId="0" borderId="1" xfId="0" applyNumberFormat="1" applyFont="1" applyFill="1" applyBorder="1"/>
    <xf numFmtId="44" fontId="6" fillId="0" borderId="1" xfId="1" applyFont="1" applyFill="1" applyBorder="1" applyProtection="1">
      <protection locked="0"/>
    </xf>
    <xf numFmtId="44" fontId="0" fillId="0" borderId="0" xfId="0" applyNumberFormat="1" applyProtection="1">
      <protection locked="0"/>
    </xf>
    <xf numFmtId="0" fontId="0" fillId="0" borderId="7" xfId="0" applyBorder="1" applyProtection="1"/>
    <xf numFmtId="44" fontId="0" fillId="0" borderId="4" xfId="1" applyFont="1" applyBorder="1" applyProtection="1"/>
    <xf numFmtId="0" fontId="0" fillId="0" borderId="0" xfId="0" applyBorder="1" applyProtection="1"/>
    <xf numFmtId="0" fontId="0" fillId="2" borderId="0" xfId="0" applyFill="1" applyBorder="1" applyProtection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D375-782C-E641-9831-4506831E0BEA}">
  <dimension ref="A1:AD19"/>
  <sheetViews>
    <sheetView tabSelected="1" topLeftCell="M1" zoomScale="128" zoomScaleNormal="128" workbookViewId="0">
      <selection activeCell="S28" sqref="S28"/>
    </sheetView>
  </sheetViews>
  <sheetFormatPr baseColWidth="10" defaultRowHeight="16" x14ac:dyDescent="0.2"/>
  <cols>
    <col min="1" max="1" width="24.83203125" style="3" bestFit="1" customWidth="1"/>
    <col min="2" max="2" width="30.5" style="3" customWidth="1"/>
    <col min="3" max="3" width="24" style="8" customWidth="1"/>
    <col min="4" max="4" width="34.6640625" style="8" customWidth="1"/>
    <col min="5" max="5" width="13.5" style="8" customWidth="1"/>
    <col min="6" max="6" width="0.1640625" style="8" customWidth="1"/>
    <col min="7" max="7" width="21" style="8" customWidth="1"/>
    <col min="8" max="8" width="14.33203125" style="8" bestFit="1" customWidth="1"/>
    <col min="9" max="9" width="15" style="8" bestFit="1" customWidth="1"/>
    <col min="10" max="10" width="13.33203125" style="3" bestFit="1" customWidth="1"/>
    <col min="11" max="11" width="12.6640625" style="3" bestFit="1" customWidth="1"/>
    <col min="12" max="12" width="20.83203125" style="3" bestFit="1" customWidth="1"/>
    <col min="13" max="13" width="13.6640625" style="3" bestFit="1" customWidth="1"/>
    <col min="14" max="14" width="21.83203125" style="3" bestFit="1" customWidth="1"/>
    <col min="15" max="15" width="21.83203125" style="3" customWidth="1"/>
    <col min="16" max="17" width="15" style="3" bestFit="1" customWidth="1"/>
    <col min="18" max="18" width="19.83203125" style="3" bestFit="1" customWidth="1"/>
    <col min="19" max="19" width="15" style="3" bestFit="1" customWidth="1"/>
    <col min="20" max="20" width="15" style="3" customWidth="1"/>
    <col min="21" max="21" width="13.6640625" style="3" bestFit="1" customWidth="1"/>
    <col min="22" max="22" width="14.6640625" style="3" bestFit="1" customWidth="1"/>
    <col min="23" max="23" width="23.1640625" style="8" bestFit="1" customWidth="1"/>
    <col min="24" max="24" width="34.83203125" style="8" bestFit="1" customWidth="1"/>
    <col min="25" max="25" width="31.5" style="8" bestFit="1" customWidth="1"/>
    <col min="26" max="26" width="10.83203125" style="8" customWidth="1"/>
    <col min="27" max="27" width="24.5" style="8" bestFit="1" customWidth="1"/>
    <col min="28" max="28" width="12.6640625" style="8" customWidth="1"/>
    <col min="29" max="29" width="27.83203125" style="8" bestFit="1" customWidth="1"/>
    <col min="30" max="30" width="125.1640625" style="3" bestFit="1" customWidth="1"/>
    <col min="31" max="16384" width="10.83203125" style="3"/>
  </cols>
  <sheetData>
    <row r="1" spans="1:30" ht="17" thickBot="1" x14ac:dyDescent="0.25">
      <c r="A1" s="25" t="s">
        <v>27</v>
      </c>
      <c r="B1" s="26" t="s">
        <v>0</v>
      </c>
      <c r="C1" s="27" t="s">
        <v>1</v>
      </c>
      <c r="D1" s="27" t="s">
        <v>2</v>
      </c>
      <c r="E1" s="6" t="s">
        <v>3</v>
      </c>
      <c r="F1" s="6" t="s">
        <v>4</v>
      </c>
      <c r="G1" s="6" t="s">
        <v>16</v>
      </c>
      <c r="H1" s="6" t="s">
        <v>25</v>
      </c>
      <c r="I1" s="6" t="s">
        <v>26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17</v>
      </c>
      <c r="P1" s="1" t="s">
        <v>18</v>
      </c>
      <c r="Q1" s="1" t="s">
        <v>10</v>
      </c>
      <c r="R1" s="1" t="s">
        <v>19</v>
      </c>
      <c r="S1" s="1" t="s">
        <v>20</v>
      </c>
      <c r="T1" s="1" t="s">
        <v>21</v>
      </c>
      <c r="U1" s="1" t="s">
        <v>22</v>
      </c>
      <c r="V1" s="2" t="s">
        <v>23</v>
      </c>
      <c r="W1" s="6" t="s">
        <v>24</v>
      </c>
      <c r="X1" s="6" t="s">
        <v>15</v>
      </c>
      <c r="Y1" s="6" t="s">
        <v>14</v>
      </c>
      <c r="Z1" s="6" t="s">
        <v>99</v>
      </c>
      <c r="AA1" s="6" t="s">
        <v>11</v>
      </c>
      <c r="AB1" s="6" t="s">
        <v>12</v>
      </c>
      <c r="AC1" s="33" t="s">
        <v>13</v>
      </c>
      <c r="AD1" s="4" t="s">
        <v>85</v>
      </c>
    </row>
    <row r="2" spans="1:30" x14ac:dyDescent="0.2">
      <c r="A2" s="4" t="s">
        <v>28</v>
      </c>
      <c r="B2" s="22" t="s">
        <v>31</v>
      </c>
      <c r="C2" s="9">
        <f t="shared" ref="C2:C19" ca="1" si="0">TODAY()</f>
        <v>44267</v>
      </c>
      <c r="D2" s="15" t="str">
        <f t="shared" ref="D2:D19" si="1">IF(A2="SAMPLE USA CORP","7355-7679 WEST SAMPLE ROAD, CORAL SPRINGS, FL 33065",IF(A2="IBERIC GROUP CORP","11575-11585 US HIGHWAY 1 NORTH, NORTH PALM BEACH, FL 33408",IF(A2="NEW ORLANDO TEAM CORP","6801-6909 WEST COLONIAL DRIVE, ORLANDO, FL 32818","6538-6670 RIDGE ROAD, PORT RICHEY, FL 34668")))</f>
        <v>7355-7679 WEST SAMPLE ROAD, CORAL SPRINGS, FL 33065</v>
      </c>
      <c r="E2" s="10">
        <f t="shared" ref="E2:E19" ca="1" si="2">YEAR(TODAY())-1</f>
        <v>2020</v>
      </c>
      <c r="F2" s="10">
        <f t="shared" ref="F2:F19" ca="1" si="3">YEAR(TODAY())</f>
        <v>2021</v>
      </c>
      <c r="G2" s="11" t="str">
        <f t="shared" ref="G2:G19" si="4">B2</f>
        <v>BEAUTIFUL THINGS</v>
      </c>
      <c r="H2" s="12">
        <f t="shared" ref="H2:H19" si="5">AC2-Y2</f>
        <v>-803.7912409920682</v>
      </c>
      <c r="I2" s="12">
        <f t="shared" ref="I2:I19" si="6">(AB2*Z2)/12</f>
        <v>4798.7973965839947</v>
      </c>
      <c r="J2" s="13">
        <f>Sheet2!B$55</f>
        <v>28812.48</v>
      </c>
      <c r="K2" s="13">
        <f>Sheet2!B$56</f>
        <v>19488.22</v>
      </c>
      <c r="L2" s="13">
        <f>Sheet2!B$57</f>
        <v>117149.86</v>
      </c>
      <c r="M2" s="13">
        <f>Sheet2!B$58</f>
        <v>2520</v>
      </c>
      <c r="N2" s="13">
        <f>Sheet2!B$59</f>
        <v>4452.25</v>
      </c>
      <c r="O2" s="13">
        <f>Sheet2!B$60</f>
        <v>9313.75</v>
      </c>
      <c r="P2" s="13">
        <f>Sheet2!B$61</f>
        <v>49478.559999999998</v>
      </c>
      <c r="Q2" s="13">
        <f>Sheet2!B$62</f>
        <v>269424.18000000005</v>
      </c>
      <c r="R2" s="13">
        <f>Sheet2!B$63</f>
        <v>57998.05</v>
      </c>
      <c r="S2" s="13">
        <f>Sheet2!B$64</f>
        <v>3967.31</v>
      </c>
      <c r="T2" s="13">
        <f>Sheet2!B$65</f>
        <v>22169.259999999995</v>
      </c>
      <c r="U2" s="13">
        <f>Sheet2!B$66</f>
        <v>4908</v>
      </c>
      <c r="V2" s="13">
        <f>Sheet2!B$67</f>
        <v>1570</v>
      </c>
      <c r="W2" s="14">
        <f t="shared" ref="W2:W19" si="7">SUM(J2:V2)</f>
        <v>591251.92000000016</v>
      </c>
      <c r="X2" s="14">
        <v>4865.78</v>
      </c>
      <c r="Y2" s="14">
        <f t="shared" ref="Y2:Y19" si="8">X2*12</f>
        <v>58389.36</v>
      </c>
      <c r="Z2" s="15">
        <v>8812</v>
      </c>
      <c r="AA2" s="15">
        <f>IF(A2="SAMPLE USA CORP", Sheet2!$C$53, IF(A2="IBERIC GROUP CORP", Sheet2!$C$19, IF(A2="NEW ORLANDO TEAM CORP", Sheet2!$C$2, Sheet2!$C$36)))</f>
        <v>90476</v>
      </c>
      <c r="AB2" s="14">
        <f t="shared" ref="AB2:AB19" si="9">W2/AA2</f>
        <v>6.534903399796633</v>
      </c>
      <c r="AC2" s="34">
        <f t="shared" ref="AC2:AC19" si="10">Z2*AB2</f>
        <v>57585.568759007932</v>
      </c>
      <c r="AD2" s="4" t="s">
        <v>96</v>
      </c>
    </row>
    <row r="3" spans="1:30" x14ac:dyDescent="0.2">
      <c r="A3" s="4" t="s">
        <v>28</v>
      </c>
      <c r="B3" s="22" t="s">
        <v>32</v>
      </c>
      <c r="C3" s="9">
        <f t="shared" ca="1" si="0"/>
        <v>44267</v>
      </c>
      <c r="D3" s="15" t="str">
        <f t="shared" si="1"/>
        <v>7355-7679 WEST SAMPLE ROAD, CORAL SPRINGS, FL 33065</v>
      </c>
      <c r="E3" s="10">
        <f t="shared" ca="1" si="2"/>
        <v>2020</v>
      </c>
      <c r="F3" s="10">
        <f t="shared" ca="1" si="3"/>
        <v>2021</v>
      </c>
      <c r="G3" s="11" t="str">
        <f t="shared" si="4"/>
        <v>DA VITA DYALISIS</v>
      </c>
      <c r="H3" s="12">
        <f t="shared" si="5"/>
        <v>-968.43021795833192</v>
      </c>
      <c r="I3" s="12">
        <f t="shared" si="6"/>
        <v>5779.5774818368054</v>
      </c>
      <c r="J3" s="13">
        <f>Sheet2!B$55</f>
        <v>28812.48</v>
      </c>
      <c r="K3" s="13">
        <f>Sheet2!B$56</f>
        <v>19488.22</v>
      </c>
      <c r="L3" s="13">
        <f>Sheet2!B$57</f>
        <v>117149.86</v>
      </c>
      <c r="M3" s="13">
        <f>Sheet2!B$58</f>
        <v>2520</v>
      </c>
      <c r="N3" s="13">
        <f>Sheet2!B$59</f>
        <v>4452.25</v>
      </c>
      <c r="O3" s="13">
        <f>Sheet2!B$60</f>
        <v>9313.75</v>
      </c>
      <c r="P3" s="13">
        <f>Sheet2!B$61</f>
        <v>49478.559999999998</v>
      </c>
      <c r="Q3" s="13">
        <f>Sheet2!B$62</f>
        <v>269424.18000000005</v>
      </c>
      <c r="R3" s="13">
        <f>Sheet2!B$63</f>
        <v>57998.05</v>
      </c>
      <c r="S3" s="13">
        <f>Sheet2!B$64</f>
        <v>3967.31</v>
      </c>
      <c r="T3" s="13">
        <f>Sheet2!B$65</f>
        <v>22169.259999999995</v>
      </c>
      <c r="U3" s="13">
        <f>Sheet2!B$66</f>
        <v>4908</v>
      </c>
      <c r="V3" s="13">
        <f>Sheet2!B$67</f>
        <v>1570</v>
      </c>
      <c r="W3" s="14">
        <f t="shared" si="7"/>
        <v>591251.92000000016</v>
      </c>
      <c r="X3" s="14">
        <v>5860.28</v>
      </c>
      <c r="Y3" s="14">
        <f t="shared" si="8"/>
        <v>70323.360000000001</v>
      </c>
      <c r="Z3" s="15">
        <v>10613</v>
      </c>
      <c r="AA3" s="15">
        <f>IF(A3="SAMPLE USA CORP", Sheet2!$C$53, IF(A3="IBERIC GROUP CORP", Sheet2!$C$19, IF(A3="NEW ORLANDO TEAM CORP", Sheet2!$C$2, Sheet2!$C$36)))</f>
        <v>90476</v>
      </c>
      <c r="AB3" s="14">
        <f t="shared" si="9"/>
        <v>6.534903399796633</v>
      </c>
      <c r="AC3" s="34">
        <f t="shared" si="10"/>
        <v>69354.929782041669</v>
      </c>
      <c r="AD3" s="4" t="s">
        <v>96</v>
      </c>
    </row>
    <row r="4" spans="1:30" x14ac:dyDescent="0.2">
      <c r="A4" s="4" t="s">
        <v>28</v>
      </c>
      <c r="B4" s="22" t="s">
        <v>33</v>
      </c>
      <c r="C4" s="9">
        <f t="shared" ca="1" si="0"/>
        <v>44267</v>
      </c>
      <c r="D4" s="15" t="str">
        <f t="shared" si="1"/>
        <v>7355-7679 WEST SAMPLE ROAD, CORAL SPRINGS, FL 33065</v>
      </c>
      <c r="E4" s="10">
        <f t="shared" ca="1" si="2"/>
        <v>2020</v>
      </c>
      <c r="F4" s="10">
        <f t="shared" ca="1" si="3"/>
        <v>2021</v>
      </c>
      <c r="G4" s="11" t="str">
        <f t="shared" si="4"/>
        <v>CYCLING FORZA</v>
      </c>
      <c r="H4" s="12">
        <f t="shared" si="5"/>
        <v>-351.94640081347097</v>
      </c>
      <c r="I4" s="12">
        <f t="shared" si="6"/>
        <v>2178.3011332655442</v>
      </c>
      <c r="J4" s="13">
        <f>Sheet2!B$55</f>
        <v>28812.48</v>
      </c>
      <c r="K4" s="13">
        <f>Sheet2!B$56</f>
        <v>19488.22</v>
      </c>
      <c r="L4" s="13">
        <f>Sheet2!B$57</f>
        <v>117149.86</v>
      </c>
      <c r="M4" s="13">
        <f>Sheet2!B$58</f>
        <v>2520</v>
      </c>
      <c r="N4" s="13">
        <f>Sheet2!B$59</f>
        <v>4452.25</v>
      </c>
      <c r="O4" s="13">
        <f>Sheet2!B$60</f>
        <v>9313.75</v>
      </c>
      <c r="P4" s="13">
        <f>Sheet2!B$61</f>
        <v>49478.559999999998</v>
      </c>
      <c r="Q4" s="13">
        <f>Sheet2!B$62</f>
        <v>269424.18000000005</v>
      </c>
      <c r="R4" s="13">
        <f>Sheet2!B$63</f>
        <v>57998.05</v>
      </c>
      <c r="S4" s="13">
        <f>Sheet2!B$64</f>
        <v>3967.31</v>
      </c>
      <c r="T4" s="13">
        <f>Sheet2!B$65</f>
        <v>22169.259999999995</v>
      </c>
      <c r="U4" s="13">
        <f>Sheet2!B$66</f>
        <v>4908</v>
      </c>
      <c r="V4" s="13">
        <f>Sheet2!B$67</f>
        <v>1570</v>
      </c>
      <c r="W4" s="14">
        <f t="shared" si="7"/>
        <v>591251.92000000016</v>
      </c>
      <c r="X4" s="14">
        <v>2207.63</v>
      </c>
      <c r="Y4" s="14">
        <f t="shared" si="8"/>
        <v>26491.56</v>
      </c>
      <c r="Z4" s="15">
        <v>4000</v>
      </c>
      <c r="AA4" s="15">
        <f>IF(A4="SAMPLE USA CORP", Sheet2!$C$53, IF(A4="IBERIC GROUP CORP", Sheet2!$C$19, IF(A4="NEW ORLANDO TEAM CORP", Sheet2!$C$2, Sheet2!$C$36)))</f>
        <v>90476</v>
      </c>
      <c r="AB4" s="14">
        <f t="shared" si="9"/>
        <v>6.534903399796633</v>
      </c>
      <c r="AC4" s="34">
        <f t="shared" si="10"/>
        <v>26139.61359918653</v>
      </c>
      <c r="AD4" s="4" t="s">
        <v>96</v>
      </c>
    </row>
    <row r="5" spans="1:30" x14ac:dyDescent="0.2">
      <c r="A5" s="4" t="s">
        <v>74</v>
      </c>
      <c r="B5" s="22" t="s">
        <v>75</v>
      </c>
      <c r="C5" s="9">
        <f t="shared" ca="1" si="0"/>
        <v>44267</v>
      </c>
      <c r="D5" s="15" t="str">
        <f t="shared" si="1"/>
        <v>6538-6670 RIDGE ROAD, PORT RICHEY, FL 34668</v>
      </c>
      <c r="E5" s="10">
        <f t="shared" ca="1" si="2"/>
        <v>2020</v>
      </c>
      <c r="F5" s="10">
        <f t="shared" ca="1" si="3"/>
        <v>2021</v>
      </c>
      <c r="G5" s="11" t="str">
        <f t="shared" si="4"/>
        <v>HUANCHACO FOODS LLC</v>
      </c>
      <c r="H5" s="12">
        <f t="shared" si="5"/>
        <v>141.46857597595954</v>
      </c>
      <c r="I5" s="12">
        <f t="shared" si="6"/>
        <v>2206.6190479979964</v>
      </c>
      <c r="J5" s="13">
        <f>Sheet2!B$55</f>
        <v>28812.48</v>
      </c>
      <c r="K5" s="13">
        <f>Sheet2!B$56</f>
        <v>19488.22</v>
      </c>
      <c r="L5" s="13">
        <f>Sheet2!B$57</f>
        <v>117149.86</v>
      </c>
      <c r="M5" s="13">
        <f>Sheet2!B$58</f>
        <v>2520</v>
      </c>
      <c r="N5" s="13">
        <f>Sheet2!B$59</f>
        <v>4452.25</v>
      </c>
      <c r="O5" s="13">
        <f>Sheet2!B$60</f>
        <v>9313.75</v>
      </c>
      <c r="P5" s="13">
        <f>Sheet2!B$61</f>
        <v>49478.559999999998</v>
      </c>
      <c r="Q5" s="13">
        <f>Sheet2!B$62</f>
        <v>269424.18000000005</v>
      </c>
      <c r="R5" s="13">
        <f>Sheet2!B$63</f>
        <v>57998.05</v>
      </c>
      <c r="S5" s="13">
        <f>Sheet2!B$64</f>
        <v>3967.31</v>
      </c>
      <c r="T5" s="13">
        <f>Sheet2!B$65</f>
        <v>22169.259999999995</v>
      </c>
      <c r="U5" s="13">
        <f>Sheet2!B$66</f>
        <v>4908</v>
      </c>
      <c r="V5" s="13">
        <f>Sheet2!B$67</f>
        <v>1570</v>
      </c>
      <c r="W5" s="14">
        <f t="shared" si="7"/>
        <v>591251.92000000016</v>
      </c>
      <c r="X5" s="14">
        <v>2194.83</v>
      </c>
      <c r="Y5" s="14">
        <f t="shared" si="8"/>
        <v>26337.96</v>
      </c>
      <c r="Z5" s="15">
        <v>4052</v>
      </c>
      <c r="AA5" s="15">
        <v>90476</v>
      </c>
      <c r="AB5" s="14">
        <f t="shared" si="9"/>
        <v>6.534903399796633</v>
      </c>
      <c r="AC5" s="34">
        <f t="shared" si="10"/>
        <v>26479.428575975959</v>
      </c>
      <c r="AD5" s="4" t="s">
        <v>91</v>
      </c>
    </row>
    <row r="6" spans="1:30" x14ac:dyDescent="0.2">
      <c r="A6" s="4" t="s">
        <v>28</v>
      </c>
      <c r="B6" s="22" t="s">
        <v>76</v>
      </c>
      <c r="C6" s="9">
        <f t="shared" ca="1" si="0"/>
        <v>44267</v>
      </c>
      <c r="D6" s="15" t="str">
        <f t="shared" si="1"/>
        <v>7355-7679 WEST SAMPLE ROAD, CORAL SPRINGS, FL 33065</v>
      </c>
      <c r="E6" s="10">
        <f t="shared" ca="1" si="2"/>
        <v>2020</v>
      </c>
      <c r="F6" s="10">
        <f t="shared" ca="1" si="3"/>
        <v>2021</v>
      </c>
      <c r="G6" s="11" t="str">
        <f t="shared" si="4"/>
        <v>THE VERGE INC</v>
      </c>
      <c r="H6" s="12">
        <f t="shared" si="5"/>
        <v>134.28318581723943</v>
      </c>
      <c r="I6" s="12">
        <f t="shared" si="6"/>
        <v>2096.0702654847701</v>
      </c>
      <c r="J6" s="13">
        <f>Sheet2!B$55</f>
        <v>28812.48</v>
      </c>
      <c r="K6" s="13">
        <f>Sheet2!B$56</f>
        <v>19488.22</v>
      </c>
      <c r="L6" s="13">
        <f>Sheet2!B$57</f>
        <v>117149.86</v>
      </c>
      <c r="M6" s="13">
        <f>Sheet2!B$58</f>
        <v>2520</v>
      </c>
      <c r="N6" s="13">
        <f>Sheet2!B$59</f>
        <v>4452.25</v>
      </c>
      <c r="O6" s="13">
        <f>Sheet2!B$60</f>
        <v>9313.75</v>
      </c>
      <c r="P6" s="13">
        <f>Sheet2!B$61</f>
        <v>49478.559999999998</v>
      </c>
      <c r="Q6" s="13">
        <f>Sheet2!B$62</f>
        <v>269424.18000000005</v>
      </c>
      <c r="R6" s="13">
        <f>Sheet2!B$63</f>
        <v>57998.05</v>
      </c>
      <c r="S6" s="13">
        <f>Sheet2!B$64</f>
        <v>3967.31</v>
      </c>
      <c r="T6" s="13">
        <f>Sheet2!B$65</f>
        <v>22169.259999999995</v>
      </c>
      <c r="U6" s="13">
        <f>Sheet2!B$66</f>
        <v>4908</v>
      </c>
      <c r="V6" s="13">
        <f>Sheet2!B$67</f>
        <v>1570</v>
      </c>
      <c r="W6" s="14">
        <f t="shared" si="7"/>
        <v>591251.92000000016</v>
      </c>
      <c r="X6" s="14">
        <v>2084.88</v>
      </c>
      <c r="Y6" s="14">
        <f t="shared" si="8"/>
        <v>25018.560000000001</v>
      </c>
      <c r="Z6" s="15">
        <v>3849</v>
      </c>
      <c r="AA6" s="15">
        <v>90476</v>
      </c>
      <c r="AB6" s="14">
        <f t="shared" si="9"/>
        <v>6.534903399796633</v>
      </c>
      <c r="AC6" s="34">
        <f t="shared" si="10"/>
        <v>25152.843185817241</v>
      </c>
      <c r="AD6" s="4" t="s">
        <v>95</v>
      </c>
    </row>
    <row r="7" spans="1:30" x14ac:dyDescent="0.2">
      <c r="A7" s="4" t="s">
        <v>28</v>
      </c>
      <c r="B7" s="22" t="s">
        <v>73</v>
      </c>
      <c r="C7" s="9">
        <f t="shared" ca="1" si="0"/>
        <v>44267</v>
      </c>
      <c r="D7" s="15" t="str">
        <f t="shared" si="1"/>
        <v>7355-7679 WEST SAMPLE ROAD, CORAL SPRINGS, FL 33065</v>
      </c>
      <c r="E7" s="10">
        <f t="shared" ca="1" si="2"/>
        <v>2020</v>
      </c>
      <c r="F7" s="10">
        <f t="shared" ca="1" si="3"/>
        <v>2021</v>
      </c>
      <c r="G7" s="11" t="str">
        <f t="shared" si="4"/>
        <v>HYAS INC</v>
      </c>
      <c r="H7" s="12">
        <f t="shared" si="5"/>
        <v>97.390678633011703</v>
      </c>
      <c r="I7" s="12">
        <f t="shared" si="6"/>
        <v>1518.2758898860845</v>
      </c>
      <c r="J7" s="13">
        <f>Sheet2!B$55</f>
        <v>28812.48</v>
      </c>
      <c r="K7" s="13">
        <f>Sheet2!B$56</f>
        <v>19488.22</v>
      </c>
      <c r="L7" s="13">
        <f>Sheet2!B$57</f>
        <v>117149.86</v>
      </c>
      <c r="M7" s="13">
        <f>Sheet2!B$58</f>
        <v>2520</v>
      </c>
      <c r="N7" s="13">
        <f>Sheet2!B$59</f>
        <v>4452.25</v>
      </c>
      <c r="O7" s="13">
        <f>Sheet2!B$60</f>
        <v>9313.75</v>
      </c>
      <c r="P7" s="13">
        <f>Sheet2!B$61</f>
        <v>49478.559999999998</v>
      </c>
      <c r="Q7" s="13">
        <f>Sheet2!B$62</f>
        <v>269424.18000000005</v>
      </c>
      <c r="R7" s="13">
        <f>Sheet2!B$63</f>
        <v>57998.05</v>
      </c>
      <c r="S7" s="13">
        <f>Sheet2!B$64</f>
        <v>3967.31</v>
      </c>
      <c r="T7" s="13">
        <f>Sheet2!B$65</f>
        <v>22169.259999999995</v>
      </c>
      <c r="U7" s="13">
        <f>Sheet2!B$66</f>
        <v>4908</v>
      </c>
      <c r="V7" s="13">
        <f>Sheet2!B$67</f>
        <v>1570</v>
      </c>
      <c r="W7" s="14">
        <f t="shared" si="7"/>
        <v>591251.92000000016</v>
      </c>
      <c r="X7" s="14">
        <v>1510.16</v>
      </c>
      <c r="Y7" s="14">
        <f t="shared" si="8"/>
        <v>18121.920000000002</v>
      </c>
      <c r="Z7" s="15">
        <v>2788</v>
      </c>
      <c r="AA7" s="15">
        <v>90476</v>
      </c>
      <c r="AB7" s="14">
        <f t="shared" si="9"/>
        <v>6.534903399796633</v>
      </c>
      <c r="AC7" s="34">
        <f t="shared" si="10"/>
        <v>18219.310678633014</v>
      </c>
      <c r="AD7" s="4" t="s">
        <v>91</v>
      </c>
    </row>
    <row r="8" spans="1:30" x14ac:dyDescent="0.2">
      <c r="A8" s="4" t="s">
        <v>29</v>
      </c>
      <c r="B8" s="22" t="s">
        <v>34</v>
      </c>
      <c r="C8" s="9">
        <f t="shared" ca="1" si="0"/>
        <v>44267</v>
      </c>
      <c r="D8" s="15" t="str">
        <f t="shared" si="1"/>
        <v>11575-11585 US HIGHWAY 1 NORTH, NORTH PALM BEACH, FL 33408</v>
      </c>
      <c r="E8" s="10">
        <f t="shared" ca="1" si="2"/>
        <v>2020</v>
      </c>
      <c r="F8" s="10">
        <f t="shared" ca="1" si="3"/>
        <v>2021</v>
      </c>
      <c r="G8" s="11" t="str">
        <f t="shared" si="4"/>
        <v>DUNKIN DONUTS</v>
      </c>
      <c r="H8" s="12">
        <f t="shared" si="5"/>
        <v>716.82476936667263</v>
      </c>
      <c r="I8" s="12">
        <f t="shared" si="6"/>
        <v>1070.4053974472226</v>
      </c>
      <c r="J8" s="14">
        <f>Sheet2!B$21</f>
        <v>12483.81</v>
      </c>
      <c r="K8" s="14">
        <f>Sheet2!B$22</f>
        <v>14211.68</v>
      </c>
      <c r="L8" s="14">
        <f>Sheet2!B$23</f>
        <v>27506.370000000003</v>
      </c>
      <c r="M8" s="14">
        <f>Sheet2!B$24</f>
        <v>1250.45</v>
      </c>
      <c r="N8" s="14">
        <f>Sheet2!B$25</f>
        <v>1678.56</v>
      </c>
      <c r="O8" s="14">
        <f>Sheet2!B$26</f>
        <v>11323.32</v>
      </c>
      <c r="P8" s="14">
        <f>Sheet2!B$27</f>
        <v>20857.09</v>
      </c>
      <c r="Q8" s="14">
        <f>Sheet2!B$28</f>
        <v>86405.18</v>
      </c>
      <c r="R8" s="14">
        <f>Sheet2!B$29</f>
        <v>23408</v>
      </c>
      <c r="S8" s="14">
        <f>Sheet2!B$30</f>
        <v>0</v>
      </c>
      <c r="T8" s="13">
        <f>Sheet2!B$31</f>
        <v>7183.9700000000012</v>
      </c>
      <c r="U8" s="13">
        <f>Sheet2!B$32</f>
        <v>1901.6599999999999</v>
      </c>
      <c r="V8" s="14">
        <f>Sheet2!B$33</f>
        <v>816</v>
      </c>
      <c r="W8" s="14">
        <f>SUM(J8:V8)</f>
        <v>209026.09</v>
      </c>
      <c r="X8" s="14">
        <v>1010.67</v>
      </c>
      <c r="Y8" s="14">
        <f t="shared" si="8"/>
        <v>12128.039999999999</v>
      </c>
      <c r="Z8" s="15">
        <v>1600</v>
      </c>
      <c r="AA8" s="15">
        <v>26037</v>
      </c>
      <c r="AB8" s="14">
        <f t="shared" si="9"/>
        <v>8.0280404808541697</v>
      </c>
      <c r="AC8" s="34">
        <f t="shared" si="10"/>
        <v>12844.864769366672</v>
      </c>
      <c r="AD8" s="4" t="s">
        <v>91</v>
      </c>
    </row>
    <row r="9" spans="1:30" x14ac:dyDescent="0.2">
      <c r="A9" s="4" t="s">
        <v>29</v>
      </c>
      <c r="B9" s="22" t="s">
        <v>35</v>
      </c>
      <c r="C9" s="9">
        <f t="shared" ca="1" si="0"/>
        <v>44267</v>
      </c>
      <c r="D9" s="15" t="str">
        <f t="shared" si="1"/>
        <v>11575-11585 US HIGHWAY 1 NORTH, NORTH PALM BEACH, FL 33408</v>
      </c>
      <c r="E9" s="10">
        <f t="shared" ca="1" si="2"/>
        <v>2020</v>
      </c>
      <c r="F9" s="10">
        <f t="shared" ca="1" si="3"/>
        <v>2021</v>
      </c>
      <c r="G9" s="11" t="str">
        <f t="shared" si="4"/>
        <v>PIZZA BELLA</v>
      </c>
      <c r="H9" s="12">
        <f t="shared" si="5"/>
        <v>122.91537313432855</v>
      </c>
      <c r="I9" s="12">
        <f t="shared" si="6"/>
        <v>728.52294776119413</v>
      </c>
      <c r="J9" s="14">
        <f>Sheet2!B$21</f>
        <v>12483.81</v>
      </c>
      <c r="K9" s="14">
        <f>Sheet2!B$22</f>
        <v>14211.68</v>
      </c>
      <c r="L9" s="14">
        <f>Sheet2!B$23</f>
        <v>27506.370000000003</v>
      </c>
      <c r="M9" s="14">
        <f>Sheet2!B$24</f>
        <v>1250.45</v>
      </c>
      <c r="N9" s="14">
        <f>Sheet2!B$25</f>
        <v>1678.56</v>
      </c>
      <c r="O9" s="14">
        <f>Sheet2!B$26</f>
        <v>11323.32</v>
      </c>
      <c r="P9" s="14">
        <f>Sheet2!B$27</f>
        <v>20857.09</v>
      </c>
      <c r="Q9" s="14">
        <f>Sheet2!B$28</f>
        <v>86405.18</v>
      </c>
      <c r="R9" s="14">
        <f>Sheet2!B$29</f>
        <v>23408</v>
      </c>
      <c r="S9" s="14">
        <f>Sheet2!B$30</f>
        <v>0</v>
      </c>
      <c r="T9" s="13">
        <f>Sheet2!B$31</f>
        <v>7183.9700000000012</v>
      </c>
      <c r="U9" s="13">
        <f>Sheet2!B$32</f>
        <v>1901.6599999999999</v>
      </c>
      <c r="V9" s="14">
        <f>Sheet2!B$33</f>
        <v>816</v>
      </c>
      <c r="W9" s="14">
        <f t="shared" si="7"/>
        <v>209026.09</v>
      </c>
      <c r="X9" s="14">
        <v>718.28</v>
      </c>
      <c r="Y9" s="14">
        <f t="shared" si="8"/>
        <v>8619.36</v>
      </c>
      <c r="Z9" s="15">
        <v>1020</v>
      </c>
      <c r="AA9" s="15">
        <f>IF(A9="SAMPLE USA CORP", Sheet2!$C$53, IF(A9="IBERIC GROUP CORP", Sheet2!$C$19, IF(A9="NEW ORLANDO TEAM CORP", Sheet2!$C$2, Sheet2!$C$36)))</f>
        <v>24388</v>
      </c>
      <c r="AB9" s="14">
        <f t="shared" si="9"/>
        <v>8.5708582089552241</v>
      </c>
      <c r="AC9" s="34">
        <f t="shared" si="10"/>
        <v>8742.2753731343291</v>
      </c>
      <c r="AD9" s="4" t="s">
        <v>93</v>
      </c>
    </row>
    <row r="10" spans="1:30" x14ac:dyDescent="0.2">
      <c r="A10" s="4" t="s">
        <v>29</v>
      </c>
      <c r="B10" s="22" t="s">
        <v>36</v>
      </c>
      <c r="C10" s="9">
        <f t="shared" ca="1" si="0"/>
        <v>44267</v>
      </c>
      <c r="D10" s="15" t="str">
        <f t="shared" si="1"/>
        <v>11575-11585 US HIGHWAY 1 NORTH, NORTH PALM BEACH, FL 33408</v>
      </c>
      <c r="E10" s="10">
        <f t="shared" ca="1" si="2"/>
        <v>2020</v>
      </c>
      <c r="F10" s="10">
        <f t="shared" ca="1" si="3"/>
        <v>2021</v>
      </c>
      <c r="G10" s="11" t="str">
        <f t="shared" si="4"/>
        <v>SWC PALM BEACH BOTANICALS LLC</v>
      </c>
      <c r="H10" s="12">
        <f t="shared" si="5"/>
        <v>2012.8536940298545</v>
      </c>
      <c r="I10" s="12">
        <f t="shared" si="6"/>
        <v>1900.587807835821</v>
      </c>
      <c r="J10" s="14">
        <f>Sheet2!B$21</f>
        <v>12483.81</v>
      </c>
      <c r="K10" s="14">
        <f>Sheet2!B$22</f>
        <v>14211.68</v>
      </c>
      <c r="L10" s="14">
        <f>Sheet2!B$23</f>
        <v>27506.370000000003</v>
      </c>
      <c r="M10" s="14">
        <f>Sheet2!B$24</f>
        <v>1250.45</v>
      </c>
      <c r="N10" s="14">
        <f>Sheet2!B$25</f>
        <v>1678.56</v>
      </c>
      <c r="O10" s="14">
        <f>Sheet2!B$26</f>
        <v>11323.32</v>
      </c>
      <c r="P10" s="14">
        <f>Sheet2!B$27</f>
        <v>20857.09</v>
      </c>
      <c r="Q10" s="14">
        <f>Sheet2!B$28</f>
        <v>86405.18</v>
      </c>
      <c r="R10" s="14">
        <f>Sheet2!B$29</f>
        <v>23408</v>
      </c>
      <c r="S10" s="14">
        <f>Sheet2!B$30</f>
        <v>0</v>
      </c>
      <c r="T10" s="13">
        <f>Sheet2!B$31</f>
        <v>7183.9700000000012</v>
      </c>
      <c r="U10" s="13">
        <f>Sheet2!B$32</f>
        <v>1901.6599999999999</v>
      </c>
      <c r="V10" s="14">
        <f>Sheet2!B$33</f>
        <v>816</v>
      </c>
      <c r="W10" s="14">
        <f t="shared" si="7"/>
        <v>209026.09</v>
      </c>
      <c r="X10" s="14">
        <v>1732.85</v>
      </c>
      <c r="Y10" s="14">
        <f t="shared" si="8"/>
        <v>20794.199999999997</v>
      </c>
      <c r="Z10" s="15">
        <v>2661</v>
      </c>
      <c r="AA10" s="15">
        <v>24388</v>
      </c>
      <c r="AB10" s="14">
        <f t="shared" si="9"/>
        <v>8.5708582089552241</v>
      </c>
      <c r="AC10" s="34">
        <f t="shared" si="10"/>
        <v>22807.053694029852</v>
      </c>
      <c r="AD10" s="4" t="s">
        <v>86</v>
      </c>
    </row>
    <row r="11" spans="1:30" x14ac:dyDescent="0.2">
      <c r="A11" s="4" t="s">
        <v>30</v>
      </c>
      <c r="B11" s="22" t="s">
        <v>37</v>
      </c>
      <c r="C11" s="9">
        <f t="shared" ca="1" si="0"/>
        <v>44267</v>
      </c>
      <c r="D11" s="15" t="str">
        <f t="shared" si="1"/>
        <v>6801-6909 WEST COLONIAL DRIVE, ORLANDO, FL 32818</v>
      </c>
      <c r="E11" s="10">
        <f t="shared" ca="1" si="2"/>
        <v>2020</v>
      </c>
      <c r="F11" s="10">
        <f t="shared" ca="1" si="3"/>
        <v>2021</v>
      </c>
      <c r="G11" s="11" t="str">
        <f t="shared" si="4"/>
        <v>COMPREHENSIVE HEALTH INSTITUTE</v>
      </c>
      <c r="H11" s="12">
        <f t="shared" si="5"/>
        <v>1058.1934262432551</v>
      </c>
      <c r="I11" s="12">
        <f t="shared" si="6"/>
        <v>5089.0327855202713</v>
      </c>
      <c r="J11" s="14">
        <f>Sheet2!B$4</f>
        <v>0</v>
      </c>
      <c r="K11" s="14">
        <f>Sheet2!B$5</f>
        <v>57909.13</v>
      </c>
      <c r="L11" s="14">
        <f>Sheet2!B$6-33766.66</f>
        <v>58819.079999999987</v>
      </c>
      <c r="M11" s="14">
        <f>Sheet2!B$7</f>
        <v>1763.64</v>
      </c>
      <c r="N11" s="14">
        <f>Sheet2!B$8</f>
        <v>6536.63</v>
      </c>
      <c r="O11" s="14">
        <f>Sheet2!B$9</f>
        <v>106.55</v>
      </c>
      <c r="P11" s="14">
        <f>Sheet2!B$10</f>
        <v>11988.54</v>
      </c>
      <c r="Q11" s="14">
        <f>Sheet2!B$11</f>
        <v>62728.32</v>
      </c>
      <c r="R11" s="14">
        <f>Sheet2!B$12</f>
        <v>38140.29</v>
      </c>
      <c r="S11" s="14">
        <f>Sheet2!B$13</f>
        <v>450</v>
      </c>
      <c r="T11" s="14">
        <f>Sheet2!B$14</f>
        <v>42800</v>
      </c>
      <c r="U11" s="14">
        <f>Sheet2!B$15</f>
        <v>7073.63</v>
      </c>
      <c r="V11" s="14">
        <f>Sheet2!B$16</f>
        <v>1384</v>
      </c>
      <c r="W11" s="14">
        <f t="shared" si="7"/>
        <v>289699.81000000006</v>
      </c>
      <c r="X11" s="14">
        <v>5000.8500000000004</v>
      </c>
      <c r="Y11" s="14">
        <f>X11*12</f>
        <v>60010.200000000004</v>
      </c>
      <c r="Z11" s="15">
        <v>11072</v>
      </c>
      <c r="AA11" s="15">
        <v>52524</v>
      </c>
      <c r="AB11" s="14">
        <f t="shared" si="9"/>
        <v>5.5155702155205253</v>
      </c>
      <c r="AC11" s="34">
        <f t="shared" si="10"/>
        <v>61068.393426243259</v>
      </c>
      <c r="AD11" s="4" t="s">
        <v>86</v>
      </c>
    </row>
    <row r="12" spans="1:30" x14ac:dyDescent="0.2">
      <c r="A12" s="4" t="s">
        <v>30</v>
      </c>
      <c r="B12" s="22" t="s">
        <v>38</v>
      </c>
      <c r="C12" s="9">
        <f t="shared" ca="1" si="0"/>
        <v>44267</v>
      </c>
      <c r="D12" s="15" t="str">
        <f t="shared" si="1"/>
        <v>6801-6909 WEST COLONIAL DRIVE, ORLANDO, FL 32818</v>
      </c>
      <c r="E12" s="10">
        <f t="shared" ca="1" si="2"/>
        <v>2020</v>
      </c>
      <c r="F12" s="10">
        <f t="shared" ca="1" si="3"/>
        <v>2021</v>
      </c>
      <c r="G12" s="11" t="str">
        <f t="shared" si="4"/>
        <v>NACA</v>
      </c>
      <c r="H12" s="12">
        <f t="shared" si="5"/>
        <v>24.768525626381233</v>
      </c>
      <c r="I12" s="12">
        <f t="shared" si="6"/>
        <v>729.89404380219855</v>
      </c>
      <c r="J12" s="14">
        <f>Sheet2!B$4</f>
        <v>0</v>
      </c>
      <c r="K12" s="14">
        <f>Sheet2!B$5</f>
        <v>57909.13</v>
      </c>
      <c r="L12" s="14">
        <f>Sheet2!B$6-33766.56</f>
        <v>58819.179999999993</v>
      </c>
      <c r="M12" s="14">
        <f>Sheet2!B$7</f>
        <v>1763.64</v>
      </c>
      <c r="N12" s="14">
        <f>Sheet2!B$8</f>
        <v>6536.63</v>
      </c>
      <c r="O12" s="14">
        <f>Sheet2!B$9</f>
        <v>106.55</v>
      </c>
      <c r="P12" s="14">
        <f>Sheet2!B$10</f>
        <v>11988.54</v>
      </c>
      <c r="Q12" s="14">
        <f>Sheet2!B$11</f>
        <v>62728.32</v>
      </c>
      <c r="R12" s="14">
        <f>Sheet2!B$12</f>
        <v>38140.29</v>
      </c>
      <c r="S12" s="14">
        <f>Sheet2!B$13</f>
        <v>450</v>
      </c>
      <c r="T12" s="14">
        <f>Sheet2!B$14</f>
        <v>42800</v>
      </c>
      <c r="U12" s="14">
        <f>Sheet2!B$15</f>
        <v>7073.63</v>
      </c>
      <c r="V12" s="14">
        <f>Sheet2!B$16</f>
        <v>1384</v>
      </c>
      <c r="W12" s="14">
        <f t="shared" si="7"/>
        <v>289699.91000000003</v>
      </c>
      <c r="X12" s="14">
        <v>727.83</v>
      </c>
      <c r="Y12" s="14">
        <f t="shared" si="8"/>
        <v>8733.9600000000009</v>
      </c>
      <c r="Z12" s="15">
        <v>1588</v>
      </c>
      <c r="AA12" s="15">
        <v>52524</v>
      </c>
      <c r="AB12" s="14">
        <f t="shared" si="9"/>
        <v>5.515572119412079</v>
      </c>
      <c r="AC12" s="34">
        <f t="shared" si="10"/>
        <v>8758.7285256263822</v>
      </c>
      <c r="AD12" s="4" t="s">
        <v>92</v>
      </c>
    </row>
    <row r="13" spans="1:30" x14ac:dyDescent="0.2">
      <c r="A13" s="4" t="s">
        <v>30</v>
      </c>
      <c r="B13" s="22" t="s">
        <v>98</v>
      </c>
      <c r="C13" s="9">
        <f t="shared" ca="1" si="0"/>
        <v>44267</v>
      </c>
      <c r="D13" s="15" t="str">
        <f t="shared" si="1"/>
        <v>6801-6909 WEST COLONIAL DRIVE, ORLANDO, FL 32818</v>
      </c>
      <c r="E13" s="10">
        <f t="shared" ca="1" si="2"/>
        <v>2020</v>
      </c>
      <c r="F13" s="10">
        <f t="shared" ca="1" si="3"/>
        <v>2021</v>
      </c>
      <c r="G13" s="11" t="str">
        <f t="shared" si="4"/>
        <v>77 SR ENTERPRISES INC</v>
      </c>
      <c r="H13" s="12">
        <f t="shared" si="5"/>
        <v>-811.97008891173391</v>
      </c>
      <c r="I13" s="12">
        <f t="shared" si="6"/>
        <v>997.15582592402222</v>
      </c>
      <c r="J13" s="14">
        <f>Sheet2!B$4</f>
        <v>0</v>
      </c>
      <c r="K13" s="14">
        <f>Sheet2!B$5</f>
        <v>57909.13</v>
      </c>
      <c r="L13" s="14">
        <f>Sheet2!B$6</f>
        <v>92585.739999999991</v>
      </c>
      <c r="M13" s="14">
        <f>Sheet2!B$7</f>
        <v>1763.64</v>
      </c>
      <c r="N13" s="14">
        <f>Sheet2!B$8</f>
        <v>6536.63</v>
      </c>
      <c r="O13" s="14">
        <f>Sheet2!B$9</f>
        <v>106.55</v>
      </c>
      <c r="P13" s="14">
        <f>Sheet2!B$10</f>
        <v>11988.54</v>
      </c>
      <c r="Q13" s="14">
        <f>Sheet2!B$11</f>
        <v>62728.32</v>
      </c>
      <c r="R13" s="14">
        <f>Sheet2!B$12</f>
        <v>38140.29</v>
      </c>
      <c r="S13" s="14">
        <f>Sheet2!B$13</f>
        <v>450</v>
      </c>
      <c r="T13" s="14">
        <f>Sheet2!B$14</f>
        <v>42800</v>
      </c>
      <c r="U13" s="14">
        <f>Sheet2!B$15</f>
        <v>7073.63</v>
      </c>
      <c r="V13" s="14">
        <f>Sheet2!B$16</f>
        <v>1384</v>
      </c>
      <c r="W13" s="14">
        <f t="shared" si="7"/>
        <v>323466.47000000003</v>
      </c>
      <c r="X13" s="14">
        <v>1064.82</v>
      </c>
      <c r="Y13" s="14">
        <f t="shared" si="8"/>
        <v>12777.84</v>
      </c>
      <c r="Z13" s="15">
        <v>1943</v>
      </c>
      <c r="AA13" s="15">
        <v>52524</v>
      </c>
      <c r="AB13" s="14">
        <f t="shared" si="9"/>
        <v>6.1584508034422365</v>
      </c>
      <c r="AC13" s="34">
        <f t="shared" si="10"/>
        <v>11965.869911088266</v>
      </c>
      <c r="AD13" s="4" t="s">
        <v>96</v>
      </c>
    </row>
    <row r="14" spans="1:30" x14ac:dyDescent="0.2">
      <c r="A14" s="4" t="s">
        <v>30</v>
      </c>
      <c r="B14" s="22" t="s">
        <v>77</v>
      </c>
      <c r="C14" s="9">
        <f t="shared" ca="1" si="0"/>
        <v>44267</v>
      </c>
      <c r="D14" s="15" t="str">
        <f t="shared" si="1"/>
        <v>6801-6909 WEST COLONIAL DRIVE, ORLANDO, FL 32818</v>
      </c>
      <c r="E14" s="10">
        <f t="shared" ca="1" si="2"/>
        <v>2020</v>
      </c>
      <c r="F14" s="10">
        <f t="shared" ca="1" si="3"/>
        <v>2021</v>
      </c>
      <c r="G14" s="11" t="str">
        <f t="shared" si="4"/>
        <v>METRO PCS FLORIDA LLC</v>
      </c>
      <c r="H14" s="12">
        <f t="shared" si="5"/>
        <v>-740.43865813723096</v>
      </c>
      <c r="I14" s="12">
        <f t="shared" si="6"/>
        <v>1112.626778488564</v>
      </c>
      <c r="J14" s="14">
        <f>Sheet2!B$4</f>
        <v>0</v>
      </c>
      <c r="K14" s="14">
        <f>Sheet2!B$5</f>
        <v>57909.13</v>
      </c>
      <c r="L14" s="14">
        <f>Sheet2!B$6</f>
        <v>92585.739999999991</v>
      </c>
      <c r="M14" s="14">
        <f>Sheet2!B$7</f>
        <v>1763.64</v>
      </c>
      <c r="N14" s="14">
        <f>Sheet2!B$8</f>
        <v>6536.63</v>
      </c>
      <c r="O14" s="14">
        <f>Sheet2!B$9</f>
        <v>106.55</v>
      </c>
      <c r="P14" s="14">
        <f>Sheet2!B$10</f>
        <v>11988.54</v>
      </c>
      <c r="Q14" s="14">
        <f>Sheet2!B$11</f>
        <v>62728.32</v>
      </c>
      <c r="R14" s="14">
        <f>Sheet2!B$12</f>
        <v>38140.29</v>
      </c>
      <c r="S14" s="14">
        <f>Sheet2!B$13</f>
        <v>450</v>
      </c>
      <c r="T14" s="14">
        <f>Sheet2!B$14</f>
        <v>42800</v>
      </c>
      <c r="U14" s="14">
        <f>Sheet2!B$15</f>
        <v>7073.63</v>
      </c>
      <c r="V14" s="14">
        <f>Sheet2!B$16</f>
        <v>1384</v>
      </c>
      <c r="W14" s="14">
        <f t="shared" si="7"/>
        <v>323466.47000000003</v>
      </c>
      <c r="X14" s="14">
        <v>1174.33</v>
      </c>
      <c r="Y14" s="14">
        <f t="shared" si="8"/>
        <v>14091.96</v>
      </c>
      <c r="Z14" s="15">
        <v>2168</v>
      </c>
      <c r="AA14" s="15">
        <v>52524</v>
      </c>
      <c r="AB14" s="14">
        <f t="shared" si="9"/>
        <v>6.1584508034422365</v>
      </c>
      <c r="AC14" s="34">
        <f t="shared" si="10"/>
        <v>13351.521341862768</v>
      </c>
      <c r="AD14" s="4" t="s">
        <v>84</v>
      </c>
    </row>
    <row r="15" spans="1:30" x14ac:dyDescent="0.2">
      <c r="A15" s="4" t="s">
        <v>41</v>
      </c>
      <c r="B15" s="22" t="s">
        <v>39</v>
      </c>
      <c r="C15" s="9">
        <f t="shared" ca="1" si="0"/>
        <v>44267</v>
      </c>
      <c r="D15" s="15" t="str">
        <f t="shared" si="1"/>
        <v>6538-6670 RIDGE ROAD, PORT RICHEY, FL 34668</v>
      </c>
      <c r="E15" s="10">
        <f t="shared" ca="1" si="2"/>
        <v>2020</v>
      </c>
      <c r="F15" s="10">
        <f t="shared" ca="1" si="3"/>
        <v>2021</v>
      </c>
      <c r="G15" s="11" t="str">
        <f t="shared" si="4"/>
        <v>PAM'S COUNTRY RESTAURANT</v>
      </c>
      <c r="H15" s="12">
        <f t="shared" si="5"/>
        <v>19.185366178428012</v>
      </c>
      <c r="I15" s="12">
        <f t="shared" si="6"/>
        <v>515.96878051486908</v>
      </c>
      <c r="J15" s="14">
        <f>Sheet2!B$38</f>
        <v>10533.41</v>
      </c>
      <c r="K15" s="14">
        <f>Sheet2!B$39</f>
        <v>45693.91</v>
      </c>
      <c r="L15" s="14">
        <f>Sheet2!B$40</f>
        <v>52500.84</v>
      </c>
      <c r="M15" s="14">
        <f>Sheet2!B$41</f>
        <v>4437</v>
      </c>
      <c r="N15" s="14">
        <f>Sheet2!B$42</f>
        <v>26311.05</v>
      </c>
      <c r="O15" s="14">
        <f>Sheet2!B$43</f>
        <v>225</v>
      </c>
      <c r="P15" s="14">
        <f>Sheet2!B$44</f>
        <v>9428.76</v>
      </c>
      <c r="Q15" s="14">
        <f>Sheet2!B$45</f>
        <v>65099.95</v>
      </c>
      <c r="R15" s="14">
        <f>Sheet2!B$46</f>
        <v>49124.01</v>
      </c>
      <c r="S15" s="14">
        <f>Sheet2!B$47</f>
        <v>2050</v>
      </c>
      <c r="T15" s="14">
        <f>Sheet2!B$48</f>
        <v>305.25</v>
      </c>
      <c r="U15" s="14">
        <f>Sheet2!B$49</f>
        <v>0</v>
      </c>
      <c r="V15" s="14">
        <f>Sheet2!B$50</f>
        <v>0</v>
      </c>
      <c r="W15" s="14">
        <f t="shared" si="7"/>
        <v>265709.18</v>
      </c>
      <c r="X15" s="14">
        <v>514.37</v>
      </c>
      <c r="Y15" s="14">
        <f t="shared" si="8"/>
        <v>6172.4400000000005</v>
      </c>
      <c r="Z15" s="15">
        <v>2100</v>
      </c>
      <c r="AA15" s="15">
        <f>IF(A15="SAMPLE USA CORP", Sheet2!$C$53, IF(A15="IBERIC GROUP CORP", Sheet2!$C$19, IF(A15="NEW ORLANDO TEAM CORP", Sheet2!$C$2, Sheet2!$C$36)))</f>
        <v>90120</v>
      </c>
      <c r="AB15" s="14">
        <f t="shared" si="9"/>
        <v>2.9483930315135374</v>
      </c>
      <c r="AC15" s="34">
        <f t="shared" si="10"/>
        <v>6191.6253661784285</v>
      </c>
      <c r="AD15" s="4" t="s">
        <v>91</v>
      </c>
    </row>
    <row r="16" spans="1:30" x14ac:dyDescent="0.2">
      <c r="A16" s="4" t="s">
        <v>41</v>
      </c>
      <c r="B16" s="22" t="s">
        <v>42</v>
      </c>
      <c r="C16" s="9">
        <f t="shared" ca="1" si="0"/>
        <v>44267</v>
      </c>
      <c r="D16" s="15" t="str">
        <f t="shared" si="1"/>
        <v>6538-6670 RIDGE ROAD, PORT RICHEY, FL 34668</v>
      </c>
      <c r="E16" s="10">
        <f t="shared" ca="1" si="2"/>
        <v>2020</v>
      </c>
      <c r="F16" s="10">
        <f t="shared" ca="1" si="3"/>
        <v>2021</v>
      </c>
      <c r="G16" s="11" t="str">
        <f t="shared" si="4"/>
        <v>TIAN TIAN CHINESE RESTAURANT</v>
      </c>
      <c r="H16" s="12">
        <f t="shared" si="5"/>
        <v>16.00780514868984</v>
      </c>
      <c r="I16" s="12">
        <f t="shared" si="6"/>
        <v>429.97398376239084</v>
      </c>
      <c r="J16" s="14">
        <f>Sheet2!B$38</f>
        <v>10533.41</v>
      </c>
      <c r="K16" s="14">
        <f>Sheet2!B$39</f>
        <v>45693.91</v>
      </c>
      <c r="L16" s="14">
        <f>Sheet2!B$40</f>
        <v>52500.84</v>
      </c>
      <c r="M16" s="14">
        <f>Sheet2!B$41</f>
        <v>4437</v>
      </c>
      <c r="N16" s="14">
        <f>Sheet2!B$42</f>
        <v>26311.05</v>
      </c>
      <c r="O16" s="14">
        <f>Sheet2!B$43</f>
        <v>225</v>
      </c>
      <c r="P16" s="14">
        <f>Sheet2!B$44</f>
        <v>9428.76</v>
      </c>
      <c r="Q16" s="14">
        <f>Sheet2!B$45</f>
        <v>65099.95</v>
      </c>
      <c r="R16" s="14">
        <f>Sheet2!B$46</f>
        <v>49124.01</v>
      </c>
      <c r="S16" s="14">
        <f>Sheet2!B$47</f>
        <v>2050</v>
      </c>
      <c r="T16" s="14">
        <f>Sheet2!B$48</f>
        <v>305.25</v>
      </c>
      <c r="U16" s="14">
        <f>Sheet2!B$49</f>
        <v>0</v>
      </c>
      <c r="V16" s="14">
        <f>Sheet2!B$50</f>
        <v>0</v>
      </c>
      <c r="W16" s="14">
        <f t="shared" si="7"/>
        <v>265709.18</v>
      </c>
      <c r="X16" s="14">
        <v>428.64</v>
      </c>
      <c r="Y16" s="14">
        <f t="shared" si="8"/>
        <v>5143.68</v>
      </c>
      <c r="Z16" s="15">
        <v>1750</v>
      </c>
      <c r="AA16" s="15">
        <f>IF(A16="SAMPLE USA CORP", Sheet2!$C$53, IF(A16="IBERIC GROUP CORP", Sheet2!$C$19, IF(A16="NEW ORLANDO TEAM CORP", Sheet2!$C$2, Sheet2!$C$36)))</f>
        <v>90120</v>
      </c>
      <c r="AB16" s="14">
        <f t="shared" si="9"/>
        <v>2.9483930315135374</v>
      </c>
      <c r="AC16" s="34">
        <f t="shared" si="10"/>
        <v>5159.6878051486901</v>
      </c>
      <c r="AD16" s="4" t="s">
        <v>91</v>
      </c>
    </row>
    <row r="17" spans="1:30" x14ac:dyDescent="0.2">
      <c r="A17" s="4" t="s">
        <v>41</v>
      </c>
      <c r="B17" s="22" t="s">
        <v>40</v>
      </c>
      <c r="C17" s="9">
        <f t="shared" ca="1" si="0"/>
        <v>44267</v>
      </c>
      <c r="D17" s="15" t="str">
        <f t="shared" si="1"/>
        <v>6538-6670 RIDGE ROAD, PORT RICHEY, FL 34668</v>
      </c>
      <c r="E17" s="10">
        <f t="shared" ca="1" si="2"/>
        <v>2020</v>
      </c>
      <c r="F17" s="10">
        <f t="shared" ca="1" si="3"/>
        <v>2021</v>
      </c>
      <c r="G17" s="11" t="str">
        <f t="shared" si="4"/>
        <v>LA NAILS</v>
      </c>
      <c r="H17" s="12">
        <f t="shared" si="5"/>
        <v>12.830244118952578</v>
      </c>
      <c r="I17" s="12">
        <f t="shared" si="6"/>
        <v>343.97918700991272</v>
      </c>
      <c r="J17" s="14">
        <f>Sheet2!B$38</f>
        <v>10533.41</v>
      </c>
      <c r="K17" s="14">
        <f>Sheet2!B$39</f>
        <v>45693.91</v>
      </c>
      <c r="L17" s="14">
        <f>Sheet2!B$40</f>
        <v>52500.84</v>
      </c>
      <c r="M17" s="14">
        <f>Sheet2!B$41</f>
        <v>4437</v>
      </c>
      <c r="N17" s="14">
        <f>Sheet2!B$42</f>
        <v>26311.05</v>
      </c>
      <c r="O17" s="14">
        <f>Sheet2!B$43</f>
        <v>225</v>
      </c>
      <c r="P17" s="14">
        <f>Sheet2!B$44</f>
        <v>9428.76</v>
      </c>
      <c r="Q17" s="14">
        <f>Sheet2!B$45</f>
        <v>65099.95</v>
      </c>
      <c r="R17" s="14">
        <f>Sheet2!B$46</f>
        <v>49124.01</v>
      </c>
      <c r="S17" s="14">
        <f>Sheet2!B$47</f>
        <v>2050</v>
      </c>
      <c r="T17" s="14">
        <f>Sheet2!B$48</f>
        <v>305.25</v>
      </c>
      <c r="U17" s="14">
        <f>Sheet2!B$49</f>
        <v>0</v>
      </c>
      <c r="V17" s="14">
        <f>Sheet2!B$50</f>
        <v>0</v>
      </c>
      <c r="W17" s="14">
        <f t="shared" si="7"/>
        <v>265709.18</v>
      </c>
      <c r="X17" s="14">
        <v>342.91</v>
      </c>
      <c r="Y17" s="14">
        <f t="shared" si="8"/>
        <v>4114.92</v>
      </c>
      <c r="Z17" s="15">
        <v>1400</v>
      </c>
      <c r="AA17" s="15">
        <f>IF(A17="SAMPLE USA CORP", Sheet2!$C$53, IF(A17="IBERIC GROUP CORP", Sheet2!$C$19, IF(A17="NEW ORLANDO TEAM CORP", Sheet2!$C$2, Sheet2!$C$36)))</f>
        <v>90120</v>
      </c>
      <c r="AB17" s="14">
        <f t="shared" si="9"/>
        <v>2.9483930315135374</v>
      </c>
      <c r="AC17" s="34">
        <f t="shared" si="10"/>
        <v>4127.7502441189527</v>
      </c>
      <c r="AD17" s="4" t="s">
        <v>91</v>
      </c>
    </row>
    <row r="18" spans="1:30" x14ac:dyDescent="0.2">
      <c r="A18" s="4" t="s">
        <v>41</v>
      </c>
      <c r="B18" s="22" t="s">
        <v>43</v>
      </c>
      <c r="C18" s="9">
        <f t="shared" ca="1" si="0"/>
        <v>44267</v>
      </c>
      <c r="D18" s="7" t="str">
        <f t="shared" si="1"/>
        <v>6538-6670 RIDGE ROAD, PORT RICHEY, FL 34668</v>
      </c>
      <c r="E18" s="10">
        <f t="shared" ca="1" si="2"/>
        <v>2020</v>
      </c>
      <c r="F18" s="10">
        <f t="shared" ca="1" si="3"/>
        <v>2021</v>
      </c>
      <c r="G18" s="11" t="str">
        <f t="shared" si="4"/>
        <v>NPC INTERNATIONAL INC</v>
      </c>
      <c r="H18" s="12">
        <f t="shared" si="5"/>
        <v>393.36149134487277</v>
      </c>
      <c r="I18" s="12">
        <f t="shared" si="6"/>
        <v>343.4401242787394</v>
      </c>
      <c r="J18" s="14">
        <f>Sheet2!B$38</f>
        <v>10533.41</v>
      </c>
      <c r="K18" s="14">
        <f>Sheet2!B$39</f>
        <v>45693.91</v>
      </c>
      <c r="L18" s="14">
        <f>Sheet2!B$40-21000-12578</f>
        <v>18922.839999999997</v>
      </c>
      <c r="M18" s="14">
        <f>Sheet2!B$41</f>
        <v>4437</v>
      </c>
      <c r="N18" s="14">
        <f>Sheet2!B$42</f>
        <v>26311.05</v>
      </c>
      <c r="O18" s="14">
        <f>Sheet2!B$43</f>
        <v>225</v>
      </c>
      <c r="P18" s="14">
        <f>Sheet2!B$44</f>
        <v>9428.76</v>
      </c>
      <c r="Q18" s="14">
        <f>Sheet2!B$45</f>
        <v>65099.95</v>
      </c>
      <c r="R18" s="14">
        <f>Sheet2!B$46</f>
        <v>49124.01</v>
      </c>
      <c r="S18" s="14">
        <f>Sheet2!B$47</f>
        <v>2050</v>
      </c>
      <c r="T18" s="14">
        <f>Sheet2!B$48</f>
        <v>305.25</v>
      </c>
      <c r="U18" s="14">
        <f>Sheet2!B$49</f>
        <v>0</v>
      </c>
      <c r="V18" s="14">
        <f>Sheet2!B$50</f>
        <v>0</v>
      </c>
      <c r="W18" s="14">
        <f t="shared" si="7"/>
        <v>232131.18</v>
      </c>
      <c r="X18" s="14">
        <v>310.66000000000003</v>
      </c>
      <c r="Y18" s="14">
        <f t="shared" si="8"/>
        <v>3727.92</v>
      </c>
      <c r="Z18" s="15">
        <v>1600</v>
      </c>
      <c r="AA18" s="15">
        <f>IF(A18="SAMPLE USA CORP", Sheet2!$C$53, IF(A18="IBERIC GROUP CORP", Sheet2!$C$19, IF(A18="NEW ORLANDO TEAM CORP", Sheet2!$C$2, Sheet2!$C$36)))</f>
        <v>90120</v>
      </c>
      <c r="AB18" s="14">
        <f t="shared" si="9"/>
        <v>2.5758009320905457</v>
      </c>
      <c r="AC18" s="34">
        <f t="shared" si="10"/>
        <v>4121.2814913448728</v>
      </c>
      <c r="AD18" s="4" t="s">
        <v>94</v>
      </c>
    </row>
    <row r="19" spans="1:30" x14ac:dyDescent="0.2">
      <c r="A19" s="4" t="s">
        <v>41</v>
      </c>
      <c r="B19" s="22" t="s">
        <v>68</v>
      </c>
      <c r="C19" s="9">
        <f t="shared" ca="1" si="0"/>
        <v>44267</v>
      </c>
      <c r="D19" s="7" t="str">
        <f t="shared" si="1"/>
        <v>6538-6670 RIDGE ROAD, PORT RICHEY, FL 34668</v>
      </c>
      <c r="E19" s="10">
        <f t="shared" ca="1" si="2"/>
        <v>2020</v>
      </c>
      <c r="F19" s="10">
        <f t="shared" ca="1" si="3"/>
        <v>2021</v>
      </c>
      <c r="G19" s="11" t="str">
        <f t="shared" si="4"/>
        <v>REDA FREIJ</v>
      </c>
      <c r="H19" s="12">
        <f t="shared" si="5"/>
        <v>19.185366178428012</v>
      </c>
      <c r="I19" s="12">
        <f t="shared" si="6"/>
        <v>515.96878051486908</v>
      </c>
      <c r="J19" s="14">
        <f>Sheet2!B$38</f>
        <v>10533.41</v>
      </c>
      <c r="K19" s="14">
        <f>Sheet2!B$39</f>
        <v>45693.91</v>
      </c>
      <c r="L19" s="14">
        <f>Sheet2!B$40</f>
        <v>52500.84</v>
      </c>
      <c r="M19" s="14">
        <f>Sheet2!B$41</f>
        <v>4437</v>
      </c>
      <c r="N19" s="14">
        <f>Sheet2!B$42</f>
        <v>26311.05</v>
      </c>
      <c r="O19" s="14">
        <f>Sheet2!B$43</f>
        <v>225</v>
      </c>
      <c r="P19" s="14">
        <f>Sheet2!B$44</f>
        <v>9428.76</v>
      </c>
      <c r="Q19" s="14">
        <f>Sheet2!B$45</f>
        <v>65099.95</v>
      </c>
      <c r="R19" s="14">
        <f>Sheet2!B$46</f>
        <v>49124.01</v>
      </c>
      <c r="S19" s="14">
        <f>Sheet2!B$47</f>
        <v>2050</v>
      </c>
      <c r="T19" s="14">
        <f>Sheet2!B$48</f>
        <v>305.25</v>
      </c>
      <c r="U19" s="14">
        <f>Sheet2!B$49</f>
        <v>0</v>
      </c>
      <c r="V19" s="14">
        <f>Sheet2!B$50</f>
        <v>0</v>
      </c>
      <c r="W19" s="14">
        <f t="shared" si="7"/>
        <v>265709.18</v>
      </c>
      <c r="X19" s="14">
        <v>514.37</v>
      </c>
      <c r="Y19" s="14">
        <f t="shared" si="8"/>
        <v>6172.4400000000005</v>
      </c>
      <c r="Z19" s="15">
        <v>2100</v>
      </c>
      <c r="AA19" s="15">
        <f>IF(A19="SAMPLE USA CORP", Sheet2!$C$53, IF(A19="IBERIC GROUP CORP", Sheet2!$C$19, IF(A19="NEW ORLANDO TEAM CORP", Sheet2!$C$2, Sheet2!$C$36)))</f>
        <v>90120</v>
      </c>
      <c r="AB19" s="14">
        <f t="shared" si="9"/>
        <v>2.9483930315135374</v>
      </c>
      <c r="AC19" s="34">
        <f t="shared" si="10"/>
        <v>6191.6253661784285</v>
      </c>
      <c r="AD19" s="4" t="s">
        <v>91</v>
      </c>
    </row>
  </sheetData>
  <sheetProtection formatCells="0" formatColumns="0" formatRows="0" insertColumns="0" insertRows="0" insertHyperlinks="0" deleteColumns="0" deleteRows="0" sort="0" autoFilter="0" pivotTables="0"/>
  <conditionalFormatting sqref="A1:AC19">
    <cfRule type="containsBlanks" dxfId="0" priority="2">
      <formula>LEN(TRIM(A1))=0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A16F-9252-D441-9545-B22955061625}">
  <dimension ref="A1:L68"/>
  <sheetViews>
    <sheetView topLeftCell="A15" zoomScale="139" zoomScaleNormal="139" workbookViewId="0">
      <selection activeCell="F33" sqref="F33"/>
    </sheetView>
  </sheetViews>
  <sheetFormatPr baseColWidth="10" defaultColWidth="11" defaultRowHeight="16" x14ac:dyDescent="0.2"/>
  <cols>
    <col min="1" max="1" width="32.1640625" style="3" customWidth="1"/>
    <col min="2" max="2" width="16" style="3" customWidth="1"/>
    <col min="3" max="3" width="15" style="3" customWidth="1"/>
    <col min="4" max="4" width="11" style="3"/>
    <col min="5" max="5" width="32.6640625" style="3" customWidth="1"/>
    <col min="6" max="6" width="14.5" style="3" customWidth="1"/>
    <col min="7" max="7" width="13" style="3" bestFit="1" customWidth="1"/>
    <col min="8" max="8" width="12" style="3" bestFit="1" customWidth="1"/>
    <col min="9" max="16384" width="11" style="3"/>
  </cols>
  <sheetData>
    <row r="1" spans="1:12" x14ac:dyDescent="0.2">
      <c r="A1" s="8" t="s">
        <v>44</v>
      </c>
    </row>
    <row r="2" spans="1:12" x14ac:dyDescent="0.2">
      <c r="A2" s="15" t="s">
        <v>45</v>
      </c>
      <c r="B2" s="18" t="s">
        <v>46</v>
      </c>
      <c r="C2" s="10">
        <v>52524</v>
      </c>
      <c r="H2" s="21"/>
      <c r="I2" s="21"/>
      <c r="J2" s="21"/>
      <c r="K2" s="21"/>
      <c r="L2" s="21"/>
    </row>
    <row r="3" spans="1:12" x14ac:dyDescent="0.2">
      <c r="A3" s="15" t="s">
        <v>47</v>
      </c>
      <c r="B3" s="15" t="s">
        <v>48</v>
      </c>
      <c r="C3" s="15" t="s">
        <v>49</v>
      </c>
      <c r="H3" s="35"/>
      <c r="I3" s="21"/>
      <c r="J3" s="21"/>
      <c r="K3" s="21"/>
      <c r="L3" s="21"/>
    </row>
    <row r="4" spans="1:12" x14ac:dyDescent="0.2">
      <c r="A4" s="23" t="s">
        <v>97</v>
      </c>
      <c r="B4" s="30"/>
      <c r="C4" s="14">
        <f t="shared" ref="C4:C16" si="0">B4/$C$2</f>
        <v>0</v>
      </c>
      <c r="H4" s="35"/>
      <c r="I4" s="21"/>
      <c r="J4" s="21"/>
      <c r="K4" s="21"/>
      <c r="L4" s="21"/>
    </row>
    <row r="5" spans="1:12" x14ac:dyDescent="0.2">
      <c r="A5" s="15" t="s">
        <v>6</v>
      </c>
      <c r="B5" s="30">
        <v>57909.13</v>
      </c>
      <c r="C5" s="14">
        <f t="shared" si="0"/>
        <v>1.1025270352600716</v>
      </c>
      <c r="H5" s="35"/>
      <c r="I5" s="21"/>
      <c r="J5" s="21"/>
      <c r="K5" s="21"/>
      <c r="L5" s="21"/>
    </row>
    <row r="6" spans="1:12" x14ac:dyDescent="0.2">
      <c r="A6" s="15" t="s">
        <v>50</v>
      </c>
      <c r="B6" s="31">
        <f>48993.74+21000+14775+4138+3679</f>
        <v>92585.739999999991</v>
      </c>
      <c r="C6" s="14">
        <f t="shared" si="0"/>
        <v>1.7627320843804735</v>
      </c>
      <c r="H6" s="35"/>
      <c r="I6" s="21"/>
      <c r="J6" s="21"/>
      <c r="K6" s="21"/>
      <c r="L6" s="21"/>
    </row>
    <row r="7" spans="1:12" x14ac:dyDescent="0.2">
      <c r="A7" s="15" t="s">
        <v>51</v>
      </c>
      <c r="B7" s="30">
        <v>1763.64</v>
      </c>
      <c r="C7" s="14">
        <f t="shared" si="0"/>
        <v>3.3577793008910214E-2</v>
      </c>
      <c r="H7" s="35"/>
      <c r="I7" s="21"/>
      <c r="J7" s="21"/>
      <c r="K7" s="21"/>
      <c r="L7" s="21"/>
    </row>
    <row r="8" spans="1:12" x14ac:dyDescent="0.2">
      <c r="A8" s="15" t="s">
        <v>52</v>
      </c>
      <c r="B8" s="30">
        <f>1587.07+4949.56</f>
        <v>6536.63</v>
      </c>
      <c r="C8" s="14">
        <f t="shared" si="0"/>
        <v>0.12445034650826289</v>
      </c>
      <c r="E8" s="3" t="s">
        <v>83</v>
      </c>
      <c r="H8" s="35"/>
      <c r="I8" s="21"/>
      <c r="J8" s="21"/>
      <c r="K8" s="21"/>
      <c r="L8" s="21"/>
    </row>
    <row r="9" spans="1:12" x14ac:dyDescent="0.2">
      <c r="A9" s="15" t="s">
        <v>53</v>
      </c>
      <c r="B9" s="30">
        <f>106.55</f>
        <v>106.55</v>
      </c>
      <c r="C9" s="14">
        <f t="shared" si="0"/>
        <v>2.0285964511461427E-3</v>
      </c>
      <c r="E9" s="3" t="s">
        <v>80</v>
      </c>
      <c r="H9" s="35"/>
      <c r="I9" s="21"/>
      <c r="J9" s="21"/>
      <c r="K9" s="21"/>
      <c r="L9" s="21"/>
    </row>
    <row r="10" spans="1:12" x14ac:dyDescent="0.2">
      <c r="A10" s="15" t="s">
        <v>54</v>
      </c>
      <c r="B10" s="30">
        <v>11988.54</v>
      </c>
      <c r="C10" s="14">
        <f>B10/$C$2</f>
        <v>0.22824880054832078</v>
      </c>
      <c r="E10" s="3" t="s">
        <v>81</v>
      </c>
      <c r="H10" s="36"/>
      <c r="I10" s="21"/>
      <c r="J10" s="21"/>
      <c r="K10" s="21"/>
      <c r="L10" s="21"/>
    </row>
    <row r="11" spans="1:12" x14ac:dyDescent="0.2">
      <c r="A11" s="17" t="s">
        <v>56</v>
      </c>
      <c r="B11" s="30">
        <v>62728.32</v>
      </c>
      <c r="C11" s="14">
        <f t="shared" si="0"/>
        <v>1.194279186657528</v>
      </c>
      <c r="E11" s="3" t="s">
        <v>82</v>
      </c>
      <c r="H11" s="21"/>
      <c r="I11" s="21"/>
      <c r="J11" s="21"/>
      <c r="K11" s="21"/>
      <c r="L11" s="21"/>
    </row>
    <row r="12" spans="1:12" x14ac:dyDescent="0.2">
      <c r="A12" s="4" t="s">
        <v>55</v>
      </c>
      <c r="B12" s="30">
        <v>38140.29</v>
      </c>
      <c r="C12" s="14">
        <f>B12/$C$2</f>
        <v>0.72614976010966414</v>
      </c>
      <c r="H12" s="35"/>
      <c r="I12" s="21"/>
      <c r="J12" s="21"/>
      <c r="K12" s="21"/>
      <c r="L12" s="21"/>
    </row>
    <row r="13" spans="1:12" x14ac:dyDescent="0.2">
      <c r="A13" s="17" t="s">
        <v>67</v>
      </c>
      <c r="B13" s="28">
        <v>450</v>
      </c>
      <c r="C13" s="14">
        <f t="shared" si="0"/>
        <v>8.5675119945167917E-3</v>
      </c>
      <c r="H13" s="35"/>
      <c r="I13" s="21"/>
      <c r="J13" s="21"/>
      <c r="K13" s="21"/>
      <c r="L13" s="21"/>
    </row>
    <row r="14" spans="1:12" x14ac:dyDescent="0.2">
      <c r="A14" s="15" t="s">
        <v>57</v>
      </c>
      <c r="B14" s="30">
        <v>42800</v>
      </c>
      <c r="C14" s="14">
        <f t="shared" si="0"/>
        <v>0.81486558525626385</v>
      </c>
      <c r="E14" s="3" t="s">
        <v>70</v>
      </c>
      <c r="H14" s="35"/>
      <c r="I14" s="21"/>
      <c r="J14" s="21"/>
      <c r="K14" s="21"/>
      <c r="L14" s="21"/>
    </row>
    <row r="15" spans="1:12" x14ac:dyDescent="0.2">
      <c r="A15" s="15" t="s">
        <v>58</v>
      </c>
      <c r="B15" s="30">
        <v>7073.63</v>
      </c>
      <c r="C15" s="14">
        <f t="shared" si="0"/>
        <v>0.13467424415505294</v>
      </c>
      <c r="E15" s="3">
        <v>6.17</v>
      </c>
      <c r="F15" s="3" t="s">
        <v>69</v>
      </c>
      <c r="H15" s="35"/>
      <c r="I15" s="21"/>
      <c r="J15" s="21"/>
      <c r="K15" s="21"/>
      <c r="L15" s="21"/>
    </row>
    <row r="16" spans="1:12" x14ac:dyDescent="0.2">
      <c r="A16" s="15" t="s">
        <v>59</v>
      </c>
      <c r="B16" s="30">
        <v>1384</v>
      </c>
      <c r="C16" s="14">
        <f t="shared" si="0"/>
        <v>2.6349859112024979E-2</v>
      </c>
      <c r="H16" s="21"/>
      <c r="I16" s="21"/>
      <c r="J16" s="21"/>
      <c r="K16" s="21"/>
      <c r="L16" s="21"/>
    </row>
    <row r="17" spans="1:12" x14ac:dyDescent="0.2">
      <c r="A17" s="15" t="s">
        <v>60</v>
      </c>
      <c r="B17" s="29">
        <f>SUM(B4:B16)</f>
        <v>323466.47000000003</v>
      </c>
      <c r="C17" s="14">
        <f>SUM(C4:C16)</f>
        <v>6.1584508034422365</v>
      </c>
      <c r="H17" s="21"/>
      <c r="I17" s="21"/>
      <c r="J17" s="21"/>
      <c r="K17" s="21"/>
      <c r="L17" s="21"/>
    </row>
    <row r="18" spans="1:12" x14ac:dyDescent="0.2">
      <c r="A18" s="8"/>
      <c r="H18" s="21"/>
      <c r="I18" s="21"/>
      <c r="J18" s="21"/>
      <c r="K18" s="21"/>
      <c r="L18" s="21"/>
    </row>
    <row r="19" spans="1:12" x14ac:dyDescent="0.2">
      <c r="A19" s="15" t="s">
        <v>61</v>
      </c>
      <c r="B19" s="18" t="s">
        <v>62</v>
      </c>
      <c r="C19" s="19">
        <v>24388</v>
      </c>
      <c r="H19" s="21"/>
      <c r="I19" s="21"/>
      <c r="J19" s="21"/>
      <c r="K19" s="21"/>
      <c r="L19" s="21"/>
    </row>
    <row r="20" spans="1:12" x14ac:dyDescent="0.2">
      <c r="A20" s="15" t="s">
        <v>47</v>
      </c>
      <c r="B20" s="15" t="s">
        <v>48</v>
      </c>
      <c r="C20" s="15" t="s">
        <v>49</v>
      </c>
      <c r="H20" s="21"/>
      <c r="I20" s="21"/>
      <c r="J20" s="21"/>
      <c r="K20" s="21"/>
      <c r="L20" s="21"/>
    </row>
    <row r="21" spans="1:12" x14ac:dyDescent="0.2">
      <c r="A21" s="15" t="s">
        <v>63</v>
      </c>
      <c r="B21" s="28">
        <v>12483.81</v>
      </c>
      <c r="C21" s="14">
        <f>B21/$C$19</f>
        <v>0.5118833032639003</v>
      </c>
    </row>
    <row r="22" spans="1:12" x14ac:dyDescent="0.2">
      <c r="A22" s="15" t="s">
        <v>64</v>
      </c>
      <c r="B22" s="28">
        <v>14211.68</v>
      </c>
      <c r="C22" s="14">
        <f t="shared" ref="C22:C33" si="1">B22/$C$19</f>
        <v>0.5827324913892078</v>
      </c>
    </row>
    <row r="23" spans="1:12" x14ac:dyDescent="0.2">
      <c r="A23" s="15" t="s">
        <v>50</v>
      </c>
      <c r="B23" s="28">
        <f>33506.37-1250-1800-2950</f>
        <v>27506.370000000003</v>
      </c>
      <c r="C23" s="14">
        <f t="shared" si="1"/>
        <v>1.1278649335738888</v>
      </c>
    </row>
    <row r="24" spans="1:12" x14ac:dyDescent="0.2">
      <c r="A24" s="15" t="s">
        <v>51</v>
      </c>
      <c r="B24" s="28">
        <v>1250.45</v>
      </c>
      <c r="C24" s="14">
        <f t="shared" si="1"/>
        <v>5.1273167131376085E-2</v>
      </c>
    </row>
    <row r="25" spans="1:12" x14ac:dyDescent="0.2">
      <c r="A25" s="15" t="s">
        <v>52</v>
      </c>
      <c r="B25" s="28">
        <v>1678.56</v>
      </c>
      <c r="C25" s="14">
        <f t="shared" si="1"/>
        <v>6.8827292110874197E-2</v>
      </c>
    </row>
    <row r="26" spans="1:12" x14ac:dyDescent="0.2">
      <c r="A26" s="15" t="s">
        <v>53</v>
      </c>
      <c r="B26" s="28">
        <v>11323.32</v>
      </c>
      <c r="C26" s="14">
        <f t="shared" si="1"/>
        <v>0.46429883549286532</v>
      </c>
    </row>
    <row r="27" spans="1:12" x14ac:dyDescent="0.2">
      <c r="A27" s="15" t="s">
        <v>54</v>
      </c>
      <c r="B27" s="28">
        <v>20857.09</v>
      </c>
      <c r="C27" s="14">
        <f t="shared" si="1"/>
        <v>0.85521937018205674</v>
      </c>
      <c r="E27" s="3" t="s">
        <v>72</v>
      </c>
    </row>
    <row r="28" spans="1:12" x14ac:dyDescent="0.2">
      <c r="A28" s="17" t="s">
        <v>56</v>
      </c>
      <c r="B28" s="28">
        <v>86405.18</v>
      </c>
      <c r="C28" s="14">
        <f t="shared" si="1"/>
        <v>3.5429383303263897</v>
      </c>
      <c r="E28" s="3" t="s">
        <v>89</v>
      </c>
    </row>
    <row r="29" spans="1:12" x14ac:dyDescent="0.2">
      <c r="A29" s="4" t="s">
        <v>55</v>
      </c>
      <c r="B29" s="28">
        <v>23408</v>
      </c>
      <c r="C29" s="14">
        <f t="shared" si="1"/>
        <v>0.95981630309988519</v>
      </c>
      <c r="F29" s="3">
        <v>2019</v>
      </c>
      <c r="G29" s="3">
        <v>2020</v>
      </c>
      <c r="H29" s="3" t="s">
        <v>90</v>
      </c>
    </row>
    <row r="30" spans="1:12" x14ac:dyDescent="0.2">
      <c r="A30" s="15" t="s">
        <v>67</v>
      </c>
      <c r="B30" s="5">
        <v>0</v>
      </c>
      <c r="C30" s="14">
        <f t="shared" si="1"/>
        <v>0</v>
      </c>
      <c r="E30" s="3" t="s">
        <v>87</v>
      </c>
      <c r="F30" s="3">
        <f>31481.16+1571.83+816.9+31721.16+11912+2669.47</f>
        <v>80172.52</v>
      </c>
      <c r="G30" s="32">
        <f>B23+B24+B26+B27+B31+B32</f>
        <v>70022.86</v>
      </c>
      <c r="H30" s="32">
        <f>G30/F30</f>
        <v>0.87340225803055704</v>
      </c>
    </row>
    <row r="31" spans="1:12" x14ac:dyDescent="0.2">
      <c r="A31" s="15" t="s">
        <v>57</v>
      </c>
      <c r="B31" s="5">
        <f>22183.97-15000</f>
        <v>7183.9700000000012</v>
      </c>
      <c r="C31" s="14">
        <f t="shared" si="1"/>
        <v>0.29456987042807942</v>
      </c>
      <c r="E31" s="3" t="s">
        <v>88</v>
      </c>
      <c r="F31" s="3">
        <f>11426.41+13895.2+84192.87+12756.6+1021</f>
        <v>123292.08</v>
      </c>
      <c r="G31" s="32">
        <f>B21+B22+B28+B29+B33</f>
        <v>137324.66999999998</v>
      </c>
      <c r="H31" s="32">
        <f>G31/F31</f>
        <v>1.1138158266127069</v>
      </c>
    </row>
    <row r="32" spans="1:12" x14ac:dyDescent="0.2">
      <c r="A32" s="15" t="s">
        <v>58</v>
      </c>
      <c r="B32" s="5">
        <f>4046.08-2144.42</f>
        <v>1901.6599999999999</v>
      </c>
      <c r="C32" s="14">
        <f t="shared" si="1"/>
        <v>7.7975233721502377E-2</v>
      </c>
    </row>
    <row r="33" spans="1:5" x14ac:dyDescent="0.2">
      <c r="A33" s="15" t="s">
        <v>59</v>
      </c>
      <c r="B33" s="28">
        <v>816</v>
      </c>
      <c r="C33" s="14">
        <f t="shared" si="1"/>
        <v>3.3459078235197635E-2</v>
      </c>
    </row>
    <row r="34" spans="1:5" x14ac:dyDescent="0.2">
      <c r="A34" s="15" t="s">
        <v>60</v>
      </c>
      <c r="B34" s="14">
        <f>SUM(B21:B33)</f>
        <v>209026.09</v>
      </c>
      <c r="C34" s="14">
        <f>SUM(C21:C33)</f>
        <v>8.5708582089552241</v>
      </c>
    </row>
    <row r="35" spans="1:5" x14ac:dyDescent="0.2">
      <c r="A35" s="8"/>
    </row>
    <row r="36" spans="1:5" x14ac:dyDescent="0.2">
      <c r="A36" s="15" t="s">
        <v>65</v>
      </c>
      <c r="B36" s="18" t="s">
        <v>46</v>
      </c>
      <c r="C36" s="20">
        <v>90120</v>
      </c>
    </row>
    <row r="37" spans="1:5" x14ac:dyDescent="0.2">
      <c r="A37" s="15" t="s">
        <v>47</v>
      </c>
      <c r="B37" s="15" t="s">
        <v>48</v>
      </c>
      <c r="C37" s="15" t="s">
        <v>49</v>
      </c>
    </row>
    <row r="38" spans="1:5" x14ac:dyDescent="0.2">
      <c r="A38" s="15" t="s">
        <v>63</v>
      </c>
      <c r="B38" s="23">
        <v>10533.41</v>
      </c>
      <c r="C38" s="14">
        <f t="shared" ref="C38:C42" si="2">B38/$C$36</f>
        <v>0.11688204616067466</v>
      </c>
    </row>
    <row r="39" spans="1:5" x14ac:dyDescent="0.2">
      <c r="A39" s="15" t="s">
        <v>64</v>
      </c>
      <c r="B39" s="28">
        <v>45693.91</v>
      </c>
      <c r="C39" s="14">
        <f t="shared" si="2"/>
        <v>0.50703406569019094</v>
      </c>
      <c r="E39" s="3" t="s">
        <v>78</v>
      </c>
    </row>
    <row r="40" spans="1:5" x14ac:dyDescent="0.2">
      <c r="A40" s="15" t="s">
        <v>50</v>
      </c>
      <c r="B40" s="28">
        <f>18922.84+12578+21000</f>
        <v>52500.84</v>
      </c>
      <c r="C40" s="14">
        <f t="shared" si="2"/>
        <v>0.58256591211717701</v>
      </c>
      <c r="E40" s="3" t="s">
        <v>79</v>
      </c>
    </row>
    <row r="41" spans="1:5" x14ac:dyDescent="0.2">
      <c r="A41" s="15" t="s">
        <v>51</v>
      </c>
      <c r="B41" s="28">
        <v>4437</v>
      </c>
      <c r="C41" s="14">
        <f t="shared" si="2"/>
        <v>4.9234354194407456E-2</v>
      </c>
    </row>
    <row r="42" spans="1:5" x14ac:dyDescent="0.2">
      <c r="A42" s="15" t="s">
        <v>52</v>
      </c>
      <c r="B42" s="28">
        <f>16822.21+9488.84</f>
        <v>26311.05</v>
      </c>
      <c r="C42" s="14">
        <f t="shared" si="2"/>
        <v>0.29195572569906791</v>
      </c>
    </row>
    <row r="43" spans="1:5" x14ac:dyDescent="0.2">
      <c r="A43" s="15" t="s">
        <v>53</v>
      </c>
      <c r="B43" s="28">
        <v>225</v>
      </c>
      <c r="C43" s="14">
        <f>B43/$C$36</f>
        <v>2.4966711051930758E-3</v>
      </c>
      <c r="E43" s="3" t="s">
        <v>70</v>
      </c>
    </row>
    <row r="44" spans="1:5" x14ac:dyDescent="0.2">
      <c r="A44" s="23" t="s">
        <v>71</v>
      </c>
      <c r="B44" s="28">
        <v>9428.76</v>
      </c>
      <c r="C44" s="14">
        <f t="shared" ref="C44:C50" si="3">B44/$C$36</f>
        <v>0.10462450066577897</v>
      </c>
      <c r="E44" s="24">
        <v>2.94</v>
      </c>
    </row>
    <row r="45" spans="1:5" x14ac:dyDescent="0.2">
      <c r="A45" s="17" t="s">
        <v>56</v>
      </c>
      <c r="B45" s="28">
        <v>65099.95</v>
      </c>
      <c r="C45" s="14">
        <f t="shared" si="3"/>
        <v>0.72236961828672874</v>
      </c>
    </row>
    <row r="46" spans="1:5" x14ac:dyDescent="0.2">
      <c r="A46" s="4" t="s">
        <v>55</v>
      </c>
      <c r="B46" s="28">
        <v>49124.01</v>
      </c>
      <c r="C46" s="14">
        <f t="shared" si="3"/>
        <v>0.54509553928095877</v>
      </c>
    </row>
    <row r="47" spans="1:5" x14ac:dyDescent="0.2">
      <c r="A47" s="15" t="s">
        <v>67</v>
      </c>
      <c r="B47" s="28">
        <v>2050</v>
      </c>
      <c r="C47" s="14">
        <f t="shared" si="3"/>
        <v>2.2747447847314691E-2</v>
      </c>
    </row>
    <row r="48" spans="1:5" x14ac:dyDescent="0.2">
      <c r="A48" s="15" t="s">
        <v>57</v>
      </c>
      <c r="B48" s="28">
        <v>305.25</v>
      </c>
      <c r="C48" s="14">
        <f t="shared" si="3"/>
        <v>3.3871504660452729E-3</v>
      </c>
    </row>
    <row r="49" spans="1:6" x14ac:dyDescent="0.2">
      <c r="A49" s="15" t="s">
        <v>58</v>
      </c>
      <c r="B49" s="5"/>
      <c r="C49" s="14">
        <f t="shared" si="3"/>
        <v>0</v>
      </c>
    </row>
    <row r="50" spans="1:6" x14ac:dyDescent="0.2">
      <c r="A50" s="15" t="s">
        <v>59</v>
      </c>
      <c r="B50" s="5"/>
      <c r="C50" s="14">
        <f t="shared" si="3"/>
        <v>0</v>
      </c>
    </row>
    <row r="51" spans="1:6" x14ac:dyDescent="0.2">
      <c r="A51" s="15" t="s">
        <v>60</v>
      </c>
      <c r="B51" s="14">
        <f>SUM(B38:B50)</f>
        <v>265709.18</v>
      </c>
      <c r="C51" s="14">
        <f>SUM(C38:C50)</f>
        <v>2.9483930315135374</v>
      </c>
    </row>
    <row r="52" spans="1:6" x14ac:dyDescent="0.2">
      <c r="A52" s="8"/>
    </row>
    <row r="53" spans="1:6" x14ac:dyDescent="0.2">
      <c r="A53" s="15" t="s">
        <v>66</v>
      </c>
      <c r="B53" s="18" t="s">
        <v>46</v>
      </c>
      <c r="C53" s="15">
        <v>90476</v>
      </c>
    </row>
    <row r="54" spans="1:6" x14ac:dyDescent="0.2">
      <c r="A54" s="15" t="s">
        <v>47</v>
      </c>
      <c r="B54" s="15" t="s">
        <v>48</v>
      </c>
      <c r="C54" s="15" t="s">
        <v>49</v>
      </c>
      <c r="E54" s="21"/>
    </row>
    <row r="55" spans="1:6" x14ac:dyDescent="0.2">
      <c r="A55" s="15" t="s">
        <v>63</v>
      </c>
      <c r="B55" s="28">
        <v>28812.48</v>
      </c>
      <c r="C55" s="14">
        <f>B55/$C$53</f>
        <v>0.31845439674609843</v>
      </c>
      <c r="E55" s="21"/>
    </row>
    <row r="56" spans="1:6" x14ac:dyDescent="0.2">
      <c r="A56" s="15" t="s">
        <v>64</v>
      </c>
      <c r="B56" s="28">
        <v>19488.22</v>
      </c>
      <c r="C56" s="14">
        <f t="shared" ref="C56:C67" si="4">B56/$C$53</f>
        <v>0.21539656925593528</v>
      </c>
      <c r="E56" s="21"/>
    </row>
    <row r="57" spans="1:6" x14ac:dyDescent="0.2">
      <c r="A57" s="15" t="s">
        <v>50</v>
      </c>
      <c r="B57" s="28">
        <f>117149.86</f>
        <v>117149.86</v>
      </c>
      <c r="C57" s="14">
        <f t="shared" si="4"/>
        <v>1.2948169680357222</v>
      </c>
      <c r="E57" s="21"/>
    </row>
    <row r="58" spans="1:6" x14ac:dyDescent="0.2">
      <c r="A58" s="15" t="s">
        <v>51</v>
      </c>
      <c r="B58" s="28">
        <v>2520</v>
      </c>
      <c r="C58" s="14">
        <f t="shared" si="4"/>
        <v>2.785269021618993E-2</v>
      </c>
      <c r="E58" s="21"/>
    </row>
    <row r="59" spans="1:6" x14ac:dyDescent="0.2">
      <c r="A59" s="15" t="s">
        <v>52</v>
      </c>
      <c r="B59" s="28">
        <v>4452.25</v>
      </c>
      <c r="C59" s="14">
        <f t="shared" si="4"/>
        <v>4.9209182545647462E-2</v>
      </c>
      <c r="E59" s="21"/>
    </row>
    <row r="60" spans="1:6" x14ac:dyDescent="0.2">
      <c r="A60" s="15" t="s">
        <v>53</v>
      </c>
      <c r="B60" s="28">
        <v>9313.75</v>
      </c>
      <c r="C60" s="14">
        <f t="shared" si="4"/>
        <v>0.10294166408771387</v>
      </c>
      <c r="E60" s="21"/>
    </row>
    <row r="61" spans="1:6" x14ac:dyDescent="0.2">
      <c r="A61" s="15" t="s">
        <v>54</v>
      </c>
      <c r="B61" s="28">
        <v>49478.559999999998</v>
      </c>
      <c r="C61" s="14">
        <f t="shared" si="4"/>
        <v>0.54686944604093901</v>
      </c>
      <c r="F61" s="16"/>
    </row>
    <row r="62" spans="1:6" x14ac:dyDescent="0.2">
      <c r="A62" s="17" t="s">
        <v>56</v>
      </c>
      <c r="B62" s="28">
        <f>275624.9-6200.72</f>
        <v>269424.18000000005</v>
      </c>
      <c r="C62" s="14">
        <f t="shared" si="4"/>
        <v>2.9778524691630937</v>
      </c>
      <c r="E62" s="3" t="s">
        <v>72</v>
      </c>
    </row>
    <row r="63" spans="1:6" x14ac:dyDescent="0.2">
      <c r="A63" s="4" t="s">
        <v>55</v>
      </c>
      <c r="B63" s="28">
        <v>57998.05</v>
      </c>
      <c r="C63" s="14">
        <f t="shared" si="4"/>
        <v>0.64103242848932318</v>
      </c>
      <c r="E63" s="3" t="s">
        <v>70</v>
      </c>
    </row>
    <row r="64" spans="1:6" x14ac:dyDescent="0.2">
      <c r="A64" s="15" t="s">
        <v>67</v>
      </c>
      <c r="B64" s="28">
        <v>3967.31</v>
      </c>
      <c r="C64" s="14">
        <f t="shared" si="4"/>
        <v>4.3849308103806536E-2</v>
      </c>
      <c r="E64" s="3">
        <v>6.43</v>
      </c>
    </row>
    <row r="65" spans="1:3" x14ac:dyDescent="0.2">
      <c r="A65" s="15" t="s">
        <v>57</v>
      </c>
      <c r="B65" s="28">
        <f>88169.26-30000-36000</f>
        <v>22169.259999999995</v>
      </c>
      <c r="C65" s="14">
        <f t="shared" si="4"/>
        <v>0.24502917900879786</v>
      </c>
    </row>
    <row r="66" spans="1:3" x14ac:dyDescent="0.2">
      <c r="A66" s="15" t="s">
        <v>58</v>
      </c>
      <c r="B66" s="28">
        <v>4908</v>
      </c>
      <c r="C66" s="14">
        <f t="shared" si="4"/>
        <v>5.4246429992484198E-2</v>
      </c>
    </row>
    <row r="67" spans="1:3" x14ac:dyDescent="0.2">
      <c r="A67" s="15" t="s">
        <v>59</v>
      </c>
      <c r="B67" s="28">
        <v>1570</v>
      </c>
      <c r="C67" s="14">
        <f t="shared" si="4"/>
        <v>1.7352668110880234E-2</v>
      </c>
    </row>
    <row r="68" spans="1:3" x14ac:dyDescent="0.2">
      <c r="A68" s="15" t="s">
        <v>60</v>
      </c>
      <c r="B68" s="14">
        <f>SUM(B55:B67)</f>
        <v>591251.92000000016</v>
      </c>
      <c r="C68" s="14">
        <f>SUM(C55:C67)</f>
        <v>6.5349033997966313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Gerónimo Alonso</dc:creator>
  <cp:lastModifiedBy>Geronimo Alonso</cp:lastModifiedBy>
  <cp:lastPrinted>2020-03-17T21:48:25Z</cp:lastPrinted>
  <dcterms:created xsi:type="dcterms:W3CDTF">2020-02-20T21:38:59Z</dcterms:created>
  <dcterms:modified xsi:type="dcterms:W3CDTF">2021-03-12T21:09:35Z</dcterms:modified>
</cp:coreProperties>
</file>