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os\Proyecto Crasso 2.0\"/>
    </mc:Choice>
  </mc:AlternateContent>
  <bookViews>
    <workbookView xWindow="975" yWindow="0" windowWidth="19515" windowHeight="8235"/>
  </bookViews>
  <sheets>
    <sheet name="Principal" sheetId="1" r:id="rId1"/>
    <sheet name="Cálculos de ratio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2" l="1"/>
  <c r="S7" i="2"/>
  <c r="N1" i="2"/>
  <c r="O1" i="2"/>
  <c r="P1" i="2" s="1"/>
  <c r="Q1" i="2" s="1"/>
  <c r="R1" i="2" s="1"/>
  <c r="N7" i="2"/>
  <c r="O7" i="2"/>
  <c r="P7" i="2"/>
  <c r="Q7" i="2"/>
  <c r="R7" i="2"/>
  <c r="H1" i="2"/>
  <c r="I1" i="2"/>
  <c r="J1" i="2" s="1"/>
  <c r="K1" i="2" s="1"/>
  <c r="L1" i="2" s="1"/>
  <c r="M1" i="2" s="1"/>
  <c r="G1" i="2"/>
  <c r="G7" i="2"/>
  <c r="H7" i="2"/>
  <c r="I7" i="2"/>
  <c r="J7" i="2"/>
  <c r="K7" i="2"/>
  <c r="L7" i="2"/>
  <c r="M7" i="2"/>
  <c r="F7" i="2"/>
  <c r="E7" i="2"/>
  <c r="D7" i="2"/>
  <c r="C7" i="2"/>
  <c r="B7" i="2"/>
  <c r="A7" i="2"/>
  <c r="I76" i="1"/>
  <c r="I75" i="1"/>
  <c r="I72" i="1"/>
  <c r="I71" i="1"/>
  <c r="I68" i="1"/>
  <c r="I67" i="1"/>
  <c r="I63" i="1"/>
  <c r="I60" i="1"/>
  <c r="I59" i="1"/>
  <c r="I56" i="1"/>
  <c r="I55" i="1"/>
  <c r="I52" i="1"/>
  <c r="I51" i="1"/>
  <c r="I46" i="1"/>
  <c r="I43" i="1"/>
  <c r="I42" i="1"/>
  <c r="I39" i="1"/>
  <c r="I38" i="1"/>
  <c r="I35" i="1"/>
  <c r="I34" i="1"/>
  <c r="I31" i="1"/>
  <c r="I30" i="1"/>
  <c r="I27" i="1"/>
  <c r="I26" i="1"/>
  <c r="I22" i="1"/>
  <c r="D21" i="1"/>
  <c r="C21" i="1"/>
  <c r="I47" i="1" s="1"/>
  <c r="I19" i="1"/>
  <c r="I18" i="1"/>
  <c r="K18" i="1" s="1"/>
  <c r="M18" i="1" s="1"/>
  <c r="I14" i="1"/>
  <c r="I11" i="1"/>
  <c r="I10" i="1"/>
  <c r="D10" i="1"/>
  <c r="C10" i="1"/>
  <c r="I64" i="1" s="1"/>
  <c r="I7" i="1"/>
  <c r="I6" i="1"/>
  <c r="K51" i="1" l="1"/>
  <c r="M51" i="1" s="1"/>
  <c r="K55" i="1"/>
  <c r="M55" i="1" s="1"/>
  <c r="K59" i="1"/>
  <c r="M59" i="1" s="1"/>
  <c r="D10" i="2"/>
  <c r="D12" i="2" s="1"/>
  <c r="D14" i="2" s="1"/>
  <c r="L10" i="2"/>
  <c r="L12" i="2" s="1"/>
  <c r="L14" i="2" s="1"/>
  <c r="K6" i="1"/>
  <c r="K10" i="1"/>
  <c r="K26" i="1"/>
  <c r="K30" i="1"/>
  <c r="K34" i="1"/>
  <c r="K38" i="1"/>
  <c r="K42" i="1"/>
  <c r="K46" i="1"/>
  <c r="K67" i="1"/>
  <c r="P10" i="2" s="1"/>
  <c r="P12" i="2" s="1"/>
  <c r="P14" i="2" s="1"/>
  <c r="K71" i="1"/>
  <c r="K75" i="1"/>
  <c r="C32" i="1"/>
  <c r="I80" i="1" s="1"/>
  <c r="K63" i="1"/>
  <c r="O10" i="2" s="1"/>
  <c r="O12" i="2" s="1"/>
  <c r="O14" i="2" s="1"/>
  <c r="I15" i="1"/>
  <c r="K14" i="1" s="1"/>
  <c r="I23" i="1"/>
  <c r="K22" i="1" s="1"/>
  <c r="M10" i="2" l="1"/>
  <c r="M12" i="2" s="1"/>
  <c r="M14" i="2" s="1"/>
  <c r="N10" i="2"/>
  <c r="N12" i="2" s="1"/>
  <c r="N14" i="2" s="1"/>
  <c r="M14" i="1"/>
  <c r="C10" i="2"/>
  <c r="C12" i="2" s="1"/>
  <c r="C14" i="2" s="1"/>
  <c r="M22" i="1"/>
  <c r="E10" i="2"/>
  <c r="E12" i="2" s="1"/>
  <c r="E14" i="2" s="1"/>
  <c r="M75" i="1"/>
  <c r="R10" i="2"/>
  <c r="R12" i="2" s="1"/>
  <c r="R14" i="2" s="1"/>
  <c r="M42" i="1"/>
  <c r="J10" i="2"/>
  <c r="J12" i="2" s="1"/>
  <c r="J14" i="2" s="1"/>
  <c r="M34" i="1"/>
  <c r="H10" i="2"/>
  <c r="H12" i="2" s="1"/>
  <c r="H14" i="2" s="1"/>
  <c r="M26" i="1"/>
  <c r="F10" i="2"/>
  <c r="F12" i="2" s="1"/>
  <c r="F14" i="2" s="1"/>
  <c r="M6" i="1"/>
  <c r="A10" i="2"/>
  <c r="A12" i="2" s="1"/>
  <c r="A14" i="2" s="1"/>
  <c r="M67" i="1"/>
  <c r="M71" i="1"/>
  <c r="Q10" i="2"/>
  <c r="Q12" i="2" s="1"/>
  <c r="Q14" i="2" s="1"/>
  <c r="M46" i="1"/>
  <c r="K10" i="2"/>
  <c r="K12" i="2" s="1"/>
  <c r="K14" i="2" s="1"/>
  <c r="M38" i="1"/>
  <c r="I10" i="2"/>
  <c r="I12" i="2" s="1"/>
  <c r="I14" i="2" s="1"/>
  <c r="M30" i="1"/>
  <c r="G10" i="2"/>
  <c r="G12" i="2" s="1"/>
  <c r="G14" i="2" s="1"/>
  <c r="M10" i="1"/>
  <c r="B10" i="2"/>
  <c r="B12" i="2" s="1"/>
  <c r="B14" i="2" s="1"/>
  <c r="C31" i="1"/>
  <c r="I79" i="1" s="1"/>
  <c r="K79" i="1" s="1"/>
  <c r="M63" i="1"/>
  <c r="M79" i="1" l="1"/>
  <c r="S10" i="2"/>
  <c r="S12" i="2" s="1"/>
  <c r="S14" i="2" s="1"/>
</calcChain>
</file>

<file path=xl/sharedStrings.xml><?xml version="1.0" encoding="utf-8"?>
<sst xmlns="http://schemas.openxmlformats.org/spreadsheetml/2006/main" count="126" uniqueCount="62">
  <si>
    <t>índices</t>
  </si>
  <si>
    <t>Son herramientas de gestión que nos permite sacar conclusiones respecto de la actuación de un ente y su situación económica, o financiera</t>
  </si>
  <si>
    <t>Ejercicios</t>
  </si>
  <si>
    <t>Financiamiento de la inversión (con capital propio)</t>
  </si>
  <si>
    <t>Activo Corriente</t>
  </si>
  <si>
    <t>Patrimonio Neto</t>
  </si>
  <si>
    <t>=</t>
  </si>
  <si>
    <t>*100</t>
  </si>
  <si>
    <t>Activo Total</t>
  </si>
  <si>
    <t>Pasivo Corriente</t>
  </si>
  <si>
    <t>Pasivo Total</t>
  </si>
  <si>
    <t>Financiamiento de la inversión (con capital ajeno)</t>
  </si>
  <si>
    <t>Otros activos, pasivos y Resultados</t>
  </si>
  <si>
    <t>Inversiones permanentes</t>
  </si>
  <si>
    <t>Activos Intangibles</t>
  </si>
  <si>
    <t>Financiamiento de activos inmovilizados (con capital propio)</t>
  </si>
  <si>
    <t>Bienes de uso</t>
  </si>
  <si>
    <t>Bs Uso + Act Int + Inv Perm</t>
  </si>
  <si>
    <t>Bienes de cambio</t>
  </si>
  <si>
    <t>Patrimonio neto</t>
  </si>
  <si>
    <t>Créditos por ventas</t>
  </si>
  <si>
    <t>Otros Ingresos</t>
  </si>
  <si>
    <t>Inmovilización del activo</t>
  </si>
  <si>
    <t>Ventas</t>
  </si>
  <si>
    <t>Cuentas a pagar</t>
  </si>
  <si>
    <t>Compras</t>
  </si>
  <si>
    <t>Costo de Ventas (CMV)</t>
  </si>
  <si>
    <t>Grado de endeudamiento en relación al capital</t>
  </si>
  <si>
    <t>Resultado Neto</t>
  </si>
  <si>
    <t>Ganancia Neta</t>
  </si>
  <si>
    <t>Utilidad neta final</t>
  </si>
  <si>
    <t>Q acciones en circulación</t>
  </si>
  <si>
    <t>Grado de endeudamiento en relación a los bienes propios</t>
  </si>
  <si>
    <t>Costos Bienes de Uso</t>
  </si>
  <si>
    <t>Gastos de administración</t>
  </si>
  <si>
    <t>Gastos de comercialización</t>
  </si>
  <si>
    <t>Gastos Financieros</t>
  </si>
  <si>
    <t>Liquidez Corriente</t>
  </si>
  <si>
    <t>Ganancia Bruta</t>
  </si>
  <si>
    <t>Rentabilidad de PN</t>
  </si>
  <si>
    <t>Rentabilidad de inversión</t>
  </si>
  <si>
    <t>Liquidez Inmediata o ácida</t>
  </si>
  <si>
    <t>Activo Corriente - Bs de Cambio</t>
  </si>
  <si>
    <t>Plazo promedio de cobros</t>
  </si>
  <si>
    <t>*365</t>
  </si>
  <si>
    <t>Plazo promedio de pagos</t>
  </si>
  <si>
    <t>Cuentas a Pagar</t>
  </si>
  <si>
    <t>Rotación de Inventarios</t>
  </si>
  <si>
    <t>Bienes de Cambio</t>
  </si>
  <si>
    <t>Índices Verticales</t>
  </si>
  <si>
    <t>Evolución de Ventas</t>
  </si>
  <si>
    <t>Rendimiento Operativo</t>
  </si>
  <si>
    <t>Margen de resultado final sobre ventas</t>
  </si>
  <si>
    <t>Utilidad Neta Final</t>
  </si>
  <si>
    <t>Rentabilidad del capital propio</t>
  </si>
  <si>
    <t>Patrimonio Neto - RE</t>
  </si>
  <si>
    <t>Rentabilidad de la Inversión</t>
  </si>
  <si>
    <t>Ganancia por Acción</t>
  </si>
  <si>
    <t>Q Acciones en Circulación</t>
  </si>
  <si>
    <t>Punto de equilibrio</t>
  </si>
  <si>
    <t>Gastos adm + com + fin</t>
  </si>
  <si>
    <t>Palanca o Laverage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</si>
</sst>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1">
    <xf numFmtId="0" fontId="0" fillId="0" borderId="0" xfId="0"/>
    <xf numFmtId="0" fontId="5" fillId="4" borderId="1" xfId="5" applyFont="1" applyBorder="1"/>
    <xf numFmtId="0" fontId="5" fillId="4" borderId="2" xfId="5" applyFont="1" applyBorder="1"/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44" fontId="0" fillId="0" borderId="2" xfId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1" applyFont="1" applyBorder="1"/>
    <xf numFmtId="0" fontId="0" fillId="0" borderId="0" xfId="0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6" borderId="6" xfId="2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0" fontId="0" fillId="0" borderId="5" xfId="0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6" borderId="9" xfId="2" applyFont="1" applyFill="1" applyBorder="1" applyAlignment="1">
      <alignment horizontal="center" vertical="center"/>
    </xf>
    <xf numFmtId="0" fontId="0" fillId="0" borderId="4" xfId="0" applyBorder="1"/>
    <xf numFmtId="0" fontId="0" fillId="0" borderId="10" xfId="0" applyBorder="1"/>
    <xf numFmtId="44" fontId="0" fillId="0" borderId="10" xfId="1" applyFont="1" applyBorder="1"/>
    <xf numFmtId="0" fontId="5" fillId="4" borderId="7" xfId="5" applyFont="1" applyBorder="1"/>
    <xf numFmtId="0" fontId="5" fillId="4" borderId="8" xfId="5" applyFont="1" applyBorder="1"/>
    <xf numFmtId="0" fontId="2" fillId="2" borderId="7" xfId="3" applyBorder="1"/>
    <xf numFmtId="0" fontId="2" fillId="2" borderId="8" xfId="3" applyBorder="1"/>
    <xf numFmtId="44" fontId="2" fillId="2" borderId="8" xfId="1" applyFont="1" applyFill="1" applyBorder="1"/>
    <xf numFmtId="0" fontId="3" fillId="3" borderId="7" xfId="4" applyBorder="1"/>
    <xf numFmtId="0" fontId="3" fillId="3" borderId="8" xfId="4" applyBorder="1"/>
    <xf numFmtId="44" fontId="3" fillId="3" borderId="8" xfId="1" applyFont="1" applyFill="1" applyBorder="1"/>
    <xf numFmtId="2" fontId="0" fillId="0" borderId="8" xfId="1" applyNumberFormat="1" applyFont="1" applyBorder="1"/>
    <xf numFmtId="2" fontId="0" fillId="0" borderId="10" xfId="1" applyNumberFormat="1" applyFont="1" applyBorder="1"/>
    <xf numFmtId="2" fontId="0" fillId="6" borderId="6" xfId="2" applyNumberFormat="1" applyFont="1" applyFill="1" applyBorder="1" applyAlignment="1">
      <alignment horizontal="center" vertical="center"/>
    </xf>
    <xf numFmtId="2" fontId="0" fillId="6" borderId="9" xfId="2" applyNumberFormat="1" applyFont="1" applyFill="1" applyBorder="1" applyAlignment="1">
      <alignment horizontal="center" vertical="center"/>
    </xf>
    <xf numFmtId="0" fontId="7" fillId="0" borderId="0" xfId="0" applyFont="1"/>
    <xf numFmtId="0" fontId="0" fillId="7" borderId="0" xfId="0" applyFill="1" applyAlignment="1">
      <alignment horizontal="center"/>
    </xf>
    <xf numFmtId="1" fontId="0" fillId="8" borderId="11" xfId="0" applyNumberFormat="1" applyFill="1" applyBorder="1" applyAlignment="1">
      <alignment horizontal="center"/>
    </xf>
  </cellXfs>
  <cellStyles count="6">
    <cellStyle name="Bueno" xfId="3" builtinId="26"/>
    <cellStyle name="Énfasis6" xfId="5" builtinId="49"/>
    <cellStyle name="Incorrecto" xfId="4" builtinId="27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A-413D-A9A1-DB2E010BA87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A-413D-A9A1-DB2E010BA8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0A-413D-A9A1-DB2E010BA87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0A-413D-A9A1-DB2E010BA87E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0A-413D-A9A1-DB2E010BA87E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0A-413D-A9A1-DB2E010BA87E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A-413D-A9A1-DB2E010B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20A-413D-A9A1-DB2E010BA87E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20A-413D-A9A1-DB2E010BA87E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20A-413D-A9A1-DB2E010BA87E}"/>
              </c:ext>
            </c:extLst>
          </c:dPt>
          <c:val>
            <c:numRef>
              <c:f>'Cálculos de ratios'!$A$12:$A$14</c:f>
              <c:numCache>
                <c:formatCode>General</c:formatCode>
                <c:ptCount val="3"/>
                <c:pt idx="0">
                  <c:v>46.344008153023985</c:v>
                </c:pt>
                <c:pt idx="1">
                  <c:v>3</c:v>
                </c:pt>
                <c:pt idx="2">
                  <c:v>150.65599184697601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0A-413D-A9A1-DB2E010B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15-45F3-BBB9-E23D071EA32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15-45F3-BBB9-E23D071EA32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15-45F3-BBB9-E23D071EA32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15-45F3-BBB9-E23D071EA32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15-45F3-BBB9-E23D071EA322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215-45F3-BBB9-E23D071EA322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15-45F3-BBB9-E23D071E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215-45F3-BBB9-E23D071EA32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215-45F3-BBB9-E23D071EA32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215-45F3-BBB9-E23D071EA322}"/>
              </c:ext>
            </c:extLst>
          </c:dPt>
          <c:val>
            <c:numRef>
              <c:f>'Cálculos de ratios'!$J$12:$J$14</c:f>
              <c:numCache>
                <c:formatCode>General</c:formatCode>
                <c:ptCount val="3"/>
                <c:pt idx="0">
                  <c:v>7.2741598401416923</c:v>
                </c:pt>
                <c:pt idx="1">
                  <c:v>3</c:v>
                </c:pt>
                <c:pt idx="2">
                  <c:v>189.72584015985831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15-45F3-BBB9-E23D071E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D-411A-9482-D46D8A18923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D-411A-9482-D46D8A18923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BD-411A-9482-D46D8A18923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BD-411A-9482-D46D8A189238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BD-411A-9482-D46D8A189238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BD-411A-9482-D46D8A189238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BD-411A-9482-D46D8A18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7BD-411A-9482-D46D8A18923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7BD-411A-9482-D46D8A18923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7BD-411A-9482-D46D8A189238}"/>
              </c:ext>
            </c:extLst>
          </c:dPt>
          <c:val>
            <c:numRef>
              <c:f>'Cálculos de ratios'!$K$12:$K$14</c:f>
              <c:numCache>
                <c:formatCode>General</c:formatCode>
                <c:ptCount val="3"/>
                <c:pt idx="0">
                  <c:v>96.405753848314703</c:v>
                </c:pt>
                <c:pt idx="1">
                  <c:v>3</c:v>
                </c:pt>
                <c:pt idx="2">
                  <c:v>100.5942461516853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7BD-411A-9482-D46D8A18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03-456A-8A72-F4BAFD1D2F6B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03-456A-8A72-F4BAFD1D2F6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03-456A-8A72-F4BAFD1D2F6B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03-456A-8A72-F4BAFD1D2F6B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03-456A-8A72-F4BAFD1D2F6B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03-456A-8A72-F4BAFD1D2F6B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03-456A-8A72-F4BAFD1D2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C03-456A-8A72-F4BAFD1D2F6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C03-456A-8A72-F4BAFD1D2F6B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C03-456A-8A72-F4BAFD1D2F6B}"/>
              </c:ext>
            </c:extLst>
          </c:dPt>
          <c:val>
            <c:numRef>
              <c:f>'Cálculos de ratios'!$L$12:$L$14</c:f>
              <c:numCache>
                <c:formatCode>General</c:formatCode>
                <c:ptCount val="3"/>
                <c:pt idx="0">
                  <c:v>140.76310578617682</c:v>
                </c:pt>
                <c:pt idx="1">
                  <c:v>3</c:v>
                </c:pt>
                <c:pt idx="2">
                  <c:v>56.236894213823177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03-456A-8A72-F4BAFD1D2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F5-497D-8EE2-998D2D3BD3F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F5-497D-8EE2-998D2D3BD3F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F5-497D-8EE2-998D2D3BD3F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F5-497D-8EE2-998D2D3BD3FE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F5-497D-8EE2-998D2D3BD3FE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F5-497D-8EE2-998D2D3BD3FE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F5-497D-8EE2-998D2D3B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BF5-497D-8EE2-998D2D3BD3FE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BF5-497D-8EE2-998D2D3BD3FE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BF5-497D-8EE2-998D2D3BD3FE}"/>
              </c:ext>
            </c:extLst>
          </c:dPt>
          <c:val>
            <c:numRef>
              <c:f>'Cálculos de ratios'!$M$12:$M$14</c:f>
              <c:numCache>
                <c:formatCode>General</c:formatCode>
                <c:ptCount val="3"/>
                <c:pt idx="0">
                  <c:v>-1.5</c:v>
                </c:pt>
                <c:pt idx="1">
                  <c:v>3</c:v>
                </c:pt>
                <c:pt idx="2">
                  <c:v>198.5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F5-497D-8EE2-998D2D3B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E1-47CC-AF18-07EAEAF414D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E1-47CC-AF18-07EAEAF414D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E1-47CC-AF18-07EAEAF414D5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E1-47CC-AF18-07EAEAF414D5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E1-47CC-AF18-07EAEAF414D5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E1-47CC-AF18-07EAEAF414D5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E1-47CC-AF18-07EAEAF4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DE1-47CC-AF18-07EAEAF414D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DE1-47CC-AF18-07EAEAF414D5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DE1-47CC-AF18-07EAEAF414D5}"/>
              </c:ext>
            </c:extLst>
          </c:dPt>
          <c:val>
            <c:numRef>
              <c:f>'Cálculos de ratios'!$N$12:$N$14</c:f>
              <c:numCache>
                <c:formatCode>General</c:formatCode>
                <c:ptCount val="3"/>
                <c:pt idx="0">
                  <c:v>5.6082893457872514</c:v>
                </c:pt>
                <c:pt idx="1">
                  <c:v>3</c:v>
                </c:pt>
                <c:pt idx="2">
                  <c:v>191.39171065421274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DE1-47CC-AF18-07EAEAF4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5-4219-9DE2-96792CA1916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5-4219-9DE2-96792CA1916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65-4219-9DE2-96792CA1916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65-4219-9DE2-96792CA1916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65-4219-9DE2-96792CA19162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65-4219-9DE2-96792CA19162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65-4219-9DE2-96792CA1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365-4219-9DE2-96792CA1916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365-4219-9DE2-96792CA1916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365-4219-9DE2-96792CA19162}"/>
              </c:ext>
            </c:extLst>
          </c:dPt>
          <c:val>
            <c:numRef>
              <c:f>'Cálculos de ratios'!$O$12:$O$14</c:f>
              <c:numCache>
                <c:formatCode>General</c:formatCode>
                <c:ptCount val="3"/>
                <c:pt idx="0">
                  <c:v>72.532926558326835</c:v>
                </c:pt>
                <c:pt idx="1">
                  <c:v>3</c:v>
                </c:pt>
                <c:pt idx="2">
                  <c:v>124.46707344167316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65-4219-9DE2-96792CA1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37-46B8-9F8F-C76FA12F676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37-46B8-9F8F-C76FA12F676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37-46B8-9F8F-C76FA12F6763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37-46B8-9F8F-C76FA12F676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37-46B8-9F8F-C76FA12F6763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37-46B8-9F8F-C76FA12F6763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37-46B8-9F8F-C76FA12F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237-46B8-9F8F-C76FA12F676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237-46B8-9F8F-C76FA12F6763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237-46B8-9F8F-C76FA12F6763}"/>
              </c:ext>
            </c:extLst>
          </c:dPt>
          <c:val>
            <c:numRef>
              <c:f>'Cálculos de ratios'!$P$12:$P$14</c:f>
              <c:numCache>
                <c:formatCode>General</c:formatCode>
                <c:ptCount val="3"/>
                <c:pt idx="0">
                  <c:v>18.852654017236844</c:v>
                </c:pt>
                <c:pt idx="1">
                  <c:v>3</c:v>
                </c:pt>
                <c:pt idx="2">
                  <c:v>178.14734598276317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237-46B8-9F8F-C76FA12F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00-4A65-906E-574EED72566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00-4A65-906E-574EED72566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00-4A65-906E-574EED72566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00-4A65-906E-574EED72566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00-4A65-906E-574EED72566A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00-4A65-906E-574EED72566A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00-4A65-906E-574EED72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D00-4A65-906E-574EED72566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D00-4A65-906E-574EED72566A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D00-4A65-906E-574EED72566A}"/>
              </c:ext>
            </c:extLst>
          </c:dPt>
          <c:val>
            <c:numRef>
              <c:f>'Cálculos de ratios'!$Q$12:$Q$14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00-4A65-906E-574EED72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BE-4E11-8F16-33C876D7ED0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BE-4E11-8F16-33C876D7ED0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BE-4E11-8F16-33C876D7ED0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BE-4E11-8F16-33C876D7ED0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BE-4E11-8F16-33C876D7ED0D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BE-4E11-8F16-33C876D7ED0D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BE-4E11-8F16-33C876D7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2BE-4E11-8F16-33C876D7ED0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2BE-4E11-8F16-33C876D7ED0D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2BE-4E11-8F16-33C876D7ED0D}"/>
              </c:ext>
            </c:extLst>
          </c:dPt>
          <c:val>
            <c:numRef>
              <c:f>'Cálculos de ratios'!$R$12:$R$14</c:f>
              <c:numCache>
                <c:formatCode>General</c:formatCode>
                <c:ptCount val="3"/>
                <c:pt idx="0">
                  <c:v>5.8548302068773372</c:v>
                </c:pt>
                <c:pt idx="1">
                  <c:v>3</c:v>
                </c:pt>
                <c:pt idx="2">
                  <c:v>191.14516979312268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2BE-4E11-8F16-33C876D7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F7-442F-B82B-C8698ABC9D8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F7-442F-B82B-C8698ABC9D8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F7-442F-B82B-C8698ABC9D8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F7-442F-B82B-C8698ABC9D81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F7-442F-B82B-C8698ABC9D81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F7-442F-B82B-C8698ABC9D81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F7-442F-B82B-C8698ABC9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2F7-442F-B82B-C8698ABC9D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2F7-442F-B82B-C8698ABC9D8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2F7-442F-B82B-C8698ABC9D81}"/>
              </c:ext>
            </c:extLst>
          </c:dPt>
          <c:val>
            <c:numRef>
              <c:f>'Cálculos de ratios'!$S$12:$S$14</c:f>
              <c:numCache>
                <c:formatCode>General</c:formatCode>
                <c:ptCount val="3"/>
                <c:pt idx="0">
                  <c:v>362.25072506822795</c:v>
                </c:pt>
                <c:pt idx="1">
                  <c:v>3</c:v>
                </c:pt>
                <c:pt idx="2">
                  <c:v>-165.25072506822795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2F7-442F-B82B-C8698ABC9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82-42B9-A171-73B72A7C0F9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82-42B9-A171-73B72A7C0F9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82-42B9-A171-73B72A7C0F9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82-42B9-A171-73B72A7C0F9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82-42B9-A171-73B72A7C0F9A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82-42B9-A171-73B72A7C0F9A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82-42B9-A171-73B72A7C0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D82-42B9-A171-73B72A7C0F9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D82-42B9-A171-73B72A7C0F9A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D82-42B9-A171-73B72A7C0F9A}"/>
              </c:ext>
            </c:extLst>
          </c:dPt>
          <c:val>
            <c:numRef>
              <c:f>'Cálculos de ratios'!$B$12:$B$14</c:f>
              <c:numCache>
                <c:formatCode>General</c:formatCode>
                <c:ptCount val="3"/>
                <c:pt idx="0">
                  <c:v>50.655991846976015</c:v>
                </c:pt>
                <c:pt idx="1">
                  <c:v>3</c:v>
                </c:pt>
                <c:pt idx="2">
                  <c:v>146.34400815302399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D82-42B9-A171-73B72A7C0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7B-4FF8-ABD1-16516DABE00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7B-4FF8-ABD1-16516DABE00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7B-4FF8-ABD1-16516DABE007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7B-4FF8-ABD1-16516DABE007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7B-4FF8-ABD1-16516DABE007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7B-4FF8-ABD1-16516DABE007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7B-4FF8-ABD1-16516DAB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B7B-4FF8-ABD1-16516DABE007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B7B-4FF8-ABD1-16516DABE007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B7B-4FF8-ABD1-16516DABE007}"/>
              </c:ext>
            </c:extLst>
          </c:dPt>
          <c:val>
            <c:numRef>
              <c:f>[1]Hoja2!$C$12:$C$14</c:f>
              <c:numCache>
                <c:formatCode>General</c:formatCode>
                <c:ptCount val="3"/>
                <c:pt idx="0">
                  <c:v>23.092592592592595</c:v>
                </c:pt>
                <c:pt idx="1">
                  <c:v>3</c:v>
                </c:pt>
                <c:pt idx="2">
                  <c:v>173.90740740740739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Puntero</c:v>
                </c15:tx>
              </c15:filteredSeriesTitle>
            </c:ext>
            <c:ext xmlns:c16="http://schemas.microsoft.com/office/drawing/2014/chart" uri="{C3380CC4-5D6E-409C-BE32-E72D297353CC}">
              <c16:uniqueId val="{00000013-0B7B-4FF8-ABD1-16516DAB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71-4040-A15A-8BE04D96EF6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71-4040-A15A-8BE04D96EF6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71-4040-A15A-8BE04D96EF6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71-4040-A15A-8BE04D96EF68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71-4040-A15A-8BE04D96EF68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71-4040-A15A-8BE04D96EF68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71-4040-A15A-8BE04D96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671-4040-A15A-8BE04D96EF6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671-4040-A15A-8BE04D96EF6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671-4040-A15A-8BE04D96EF68}"/>
              </c:ext>
            </c:extLst>
          </c:dPt>
          <c:val>
            <c:numRef>
              <c:f>[1]Hoja2!$G$12:$G$14</c:f>
              <c:numCache>
                <c:formatCode>General</c:formatCode>
                <c:ptCount val="3"/>
                <c:pt idx="0">
                  <c:v>2.5740740740740744</c:v>
                </c:pt>
                <c:pt idx="1">
                  <c:v>3</c:v>
                </c:pt>
                <c:pt idx="2">
                  <c:v>194.42592592592592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71-4040-A15A-8BE04D96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5494530801531"/>
          <c:y val="0.14156536326318547"/>
          <c:w val="0.71494240676341647"/>
          <c:h val="0.716869273473629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B6-4AAC-AAA5-38819D6DFC4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B6-4AAC-AAA5-38819D6DFC4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B6-4AAC-AAA5-38819D6DFC4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B6-4AAC-AAA5-38819D6DFC41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B6-4AAC-AAA5-38819D6DFC41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B6-4AAC-AAA5-38819D6DFC41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B6-4AAC-AAA5-38819D6D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1B6-4AAC-AAA5-38819D6DFC4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1B6-4AAC-AAA5-38819D6DFC4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1B6-4AAC-AAA5-38819D6DFC41}"/>
              </c:ext>
            </c:extLst>
          </c:dPt>
          <c:val>
            <c:numRef>
              <c:f>'Cálculos de ratios'!$C$12:$C$14</c:f>
              <c:numCache>
                <c:formatCode>General</c:formatCode>
                <c:ptCount val="3"/>
                <c:pt idx="0">
                  <c:v>15.948038972990464</c:v>
                </c:pt>
                <c:pt idx="1">
                  <c:v>3</c:v>
                </c:pt>
                <c:pt idx="2">
                  <c:v>181.05196102700953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1B6-4AAC-AAA5-38819D6D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BF-43B4-9943-D9820DEB29C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BF-43B4-9943-D9820DEB29C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BF-43B4-9943-D9820DEB29C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BF-43B4-9943-D9820DEB29C8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BF-43B4-9943-D9820DEB29C8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BF-43B4-9943-D9820DEB29C8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BF-43B4-9943-D9820DEB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EBF-43B4-9943-D9820DEB29C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EBF-43B4-9943-D9820DEB29C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EBF-43B4-9943-D9820DEB29C8}"/>
              </c:ext>
            </c:extLst>
          </c:dPt>
          <c:val>
            <c:numRef>
              <c:f>'Cálculos de ratios'!$D$12:$D$14</c:f>
              <c:numCache>
                <c:formatCode>General</c:formatCode>
                <c:ptCount val="3"/>
                <c:pt idx="0">
                  <c:v>6.847841188780361</c:v>
                </c:pt>
                <c:pt idx="1">
                  <c:v>3</c:v>
                </c:pt>
                <c:pt idx="2">
                  <c:v>190.15215881121964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EBF-43B4-9943-D9820DEB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2F-4A1F-980D-3D492CB3204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2F-4A1F-980D-3D492CB3204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2F-4A1F-980D-3D492CB3204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2F-4A1F-980D-3D492CB3204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2F-4A1F-980D-3D492CB3204A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2F-4A1F-980D-3D492CB3204A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2F-4A1F-980D-3D492CB32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52F-4A1F-980D-3D492CB3204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52F-4A1F-980D-3D492CB3204A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52F-4A1F-980D-3D492CB3204A}"/>
              </c:ext>
            </c:extLst>
          </c:dPt>
          <c:val>
            <c:numRef>
              <c:f>'Cálculos de ratios'!$E$12:$E$14</c:f>
              <c:numCache>
                <c:formatCode>General</c:formatCode>
                <c:ptCount val="3"/>
                <c:pt idx="0">
                  <c:v>107.51258874499102</c:v>
                </c:pt>
                <c:pt idx="1">
                  <c:v>3</c:v>
                </c:pt>
                <c:pt idx="2">
                  <c:v>89.487411255008979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2F-4A1F-980D-3D492CB32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69-40D9-A591-ADA574BAB51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9-40D9-A591-ADA574BAB51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69-40D9-A591-ADA574BAB515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69-40D9-A591-ADA574BAB515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69-40D9-A591-ADA574BAB515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69-40D9-A591-ADA574BAB515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69-40D9-A591-ADA574BAB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969-40D9-A591-ADA574BAB51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969-40D9-A591-ADA574BAB515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969-40D9-A591-ADA574BAB515}"/>
              </c:ext>
            </c:extLst>
          </c:dPt>
          <c:val>
            <c:numRef>
              <c:f>'Cálculos de ratios'!$F$12:$F$14</c:f>
              <c:numCache>
                <c:formatCode>General</c:formatCode>
                <c:ptCount val="3"/>
                <c:pt idx="0">
                  <c:v>50.655991846976015</c:v>
                </c:pt>
                <c:pt idx="1">
                  <c:v>3</c:v>
                </c:pt>
                <c:pt idx="2">
                  <c:v>146.34400815302399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969-40D9-A591-ADA574BAB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13-45B9-8A2B-5EC8B32E17A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13-45B9-8A2B-5EC8B32E17A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13-45B9-8A2B-5EC8B32E17A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13-45B9-8A2B-5EC8B32E17A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13-45B9-8A2B-5EC8B32E17A6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13-45B9-8A2B-5EC8B32E17A6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13-45B9-8A2B-5EC8B32E1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813-45B9-8A2B-5EC8B32E17A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813-45B9-8A2B-5EC8B32E17A6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813-45B9-8A2B-5EC8B32E17A6}"/>
              </c:ext>
            </c:extLst>
          </c:dPt>
          <c:val>
            <c:numRef>
              <c:f>'Cálculos de ratios'!$G$12:$G$14</c:f>
              <c:numCache>
                <c:formatCode>General</c:formatCode>
                <c:ptCount val="3"/>
                <c:pt idx="0">
                  <c:v>184.5805002961811</c:v>
                </c:pt>
                <c:pt idx="1">
                  <c:v>3</c:v>
                </c:pt>
                <c:pt idx="2">
                  <c:v>12.4194997038189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813-45B9-8A2B-5EC8B32E1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3F-4105-98E5-8B5FFBC9427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3F-4105-98E5-8B5FFBC9427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3F-4105-98E5-8B5FFBC9427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3F-4105-98E5-8B5FFBC9427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3F-4105-98E5-8B5FFBC94272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3F-4105-98E5-8B5FFBC94272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3F-4105-98E5-8B5FFBC9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B3F-4105-98E5-8B5FFBC9427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B3F-4105-98E5-8B5FFBC9427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B3F-4105-98E5-8B5FFBC94272}"/>
              </c:ext>
            </c:extLst>
          </c:dPt>
          <c:val>
            <c:numRef>
              <c:f>'Cálculos de ratios'!$H$12:$H$14</c:f>
              <c:numCache>
                <c:formatCode>General</c:formatCode>
                <c:ptCount val="3"/>
                <c:pt idx="0">
                  <c:v>-153.14610571902233</c:v>
                </c:pt>
                <c:pt idx="1">
                  <c:v>3</c:v>
                </c:pt>
                <c:pt idx="2">
                  <c:v>350.14610571902233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3F-4105-98E5-8B5FFBC9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CE-49D3-8D29-2723DF96D7D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CE-49D3-8D29-2723DF96D7D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CE-49D3-8D29-2723DF96D7D4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CE-49D3-8D29-2723DF96D7D4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CE-49D3-8D29-2723DF96D7D4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CE-49D3-8D29-2723DF96D7D4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CE-49D3-8D29-2723DF96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5CE-49D3-8D29-2723DF96D7D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5CE-49D3-8D29-2723DF96D7D4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5CE-49D3-8D29-2723DF96D7D4}"/>
              </c:ext>
            </c:extLst>
          </c:dPt>
          <c:val>
            <c:numRef>
              <c:f>'Cálculos de ratios'!$I$12:$I$14</c:f>
              <c:numCache>
                <c:formatCode>General</c:formatCode>
                <c:ptCount val="3"/>
                <c:pt idx="0">
                  <c:v>-1.4396463112401063</c:v>
                </c:pt>
                <c:pt idx="1">
                  <c:v>3</c:v>
                </c:pt>
                <c:pt idx="2">
                  <c:v>198.4396463112401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CE-49D3-8D29-2723DF96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742950</xdr:colOff>
      <xdr:row>2</xdr:row>
      <xdr:rowOff>133350</xdr:rowOff>
    </xdr:from>
    <xdr:to>
      <xdr:col>15</xdr:col>
      <xdr:colOff>228599</xdr:colOff>
      <xdr:row>11</xdr:row>
      <xdr:rowOff>23812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742950</xdr:colOff>
      <xdr:row>6</xdr:row>
      <xdr:rowOff>161925</xdr:rowOff>
    </xdr:from>
    <xdr:to>
      <xdr:col>15</xdr:col>
      <xdr:colOff>228599</xdr:colOff>
      <xdr:row>15</xdr:row>
      <xdr:rowOff>119062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752475</xdr:colOff>
      <xdr:row>10</xdr:row>
      <xdr:rowOff>161925</xdr:rowOff>
    </xdr:from>
    <xdr:to>
      <xdr:col>15</xdr:col>
      <xdr:colOff>238124</xdr:colOff>
      <xdr:row>19</xdr:row>
      <xdr:rowOff>119062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742950</xdr:colOff>
      <xdr:row>14</xdr:row>
      <xdr:rowOff>95250</xdr:rowOff>
    </xdr:from>
    <xdr:to>
      <xdr:col>15</xdr:col>
      <xdr:colOff>228599</xdr:colOff>
      <xdr:row>23</xdr:row>
      <xdr:rowOff>128587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18</xdr:row>
      <xdr:rowOff>66675</xdr:rowOff>
    </xdr:from>
    <xdr:to>
      <xdr:col>15</xdr:col>
      <xdr:colOff>247649</xdr:colOff>
      <xdr:row>27</xdr:row>
      <xdr:rowOff>100012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</xdr:colOff>
      <xdr:row>22</xdr:row>
      <xdr:rowOff>123825</xdr:rowOff>
    </xdr:from>
    <xdr:to>
      <xdr:col>15</xdr:col>
      <xdr:colOff>266699</xdr:colOff>
      <xdr:row>31</xdr:row>
      <xdr:rowOff>157162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9525</xdr:colOff>
      <xdr:row>26</xdr:row>
      <xdr:rowOff>57150</xdr:rowOff>
    </xdr:from>
    <xdr:to>
      <xdr:col>15</xdr:col>
      <xdr:colOff>257174</xdr:colOff>
      <xdr:row>35</xdr:row>
      <xdr:rowOff>90487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30</xdr:row>
      <xdr:rowOff>114300</xdr:rowOff>
    </xdr:from>
    <xdr:to>
      <xdr:col>15</xdr:col>
      <xdr:colOff>247649</xdr:colOff>
      <xdr:row>39</xdr:row>
      <xdr:rowOff>147637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723900</xdr:colOff>
      <xdr:row>34</xdr:row>
      <xdr:rowOff>123825</xdr:rowOff>
    </xdr:from>
    <xdr:to>
      <xdr:col>15</xdr:col>
      <xdr:colOff>209549</xdr:colOff>
      <xdr:row>43</xdr:row>
      <xdr:rowOff>157162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733425</xdr:colOff>
      <xdr:row>38</xdr:row>
      <xdr:rowOff>95250</xdr:rowOff>
    </xdr:from>
    <xdr:to>
      <xdr:col>15</xdr:col>
      <xdr:colOff>219074</xdr:colOff>
      <xdr:row>47</xdr:row>
      <xdr:rowOff>128587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714375</xdr:colOff>
      <xdr:row>42</xdr:row>
      <xdr:rowOff>123825</xdr:rowOff>
    </xdr:from>
    <xdr:to>
      <xdr:col>15</xdr:col>
      <xdr:colOff>200024</xdr:colOff>
      <xdr:row>51</xdr:row>
      <xdr:rowOff>52387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752475</xdr:colOff>
      <xdr:row>48</xdr:row>
      <xdr:rowOff>28575</xdr:rowOff>
    </xdr:from>
    <xdr:to>
      <xdr:col>15</xdr:col>
      <xdr:colOff>238124</xdr:colOff>
      <xdr:row>56</xdr:row>
      <xdr:rowOff>147637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742950</xdr:colOff>
      <xdr:row>51</xdr:row>
      <xdr:rowOff>114300</xdr:rowOff>
    </xdr:from>
    <xdr:to>
      <xdr:col>15</xdr:col>
      <xdr:colOff>228599</xdr:colOff>
      <xdr:row>60</xdr:row>
      <xdr:rowOff>147637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742950</xdr:colOff>
      <xdr:row>55</xdr:row>
      <xdr:rowOff>95250</xdr:rowOff>
    </xdr:from>
    <xdr:to>
      <xdr:col>15</xdr:col>
      <xdr:colOff>228599</xdr:colOff>
      <xdr:row>64</xdr:row>
      <xdr:rowOff>128587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723900</xdr:colOff>
      <xdr:row>59</xdr:row>
      <xdr:rowOff>123825</xdr:rowOff>
    </xdr:from>
    <xdr:to>
      <xdr:col>15</xdr:col>
      <xdr:colOff>209549</xdr:colOff>
      <xdr:row>68</xdr:row>
      <xdr:rowOff>157162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723900</xdr:colOff>
      <xdr:row>63</xdr:row>
      <xdr:rowOff>123825</xdr:rowOff>
    </xdr:from>
    <xdr:to>
      <xdr:col>15</xdr:col>
      <xdr:colOff>209549</xdr:colOff>
      <xdr:row>72</xdr:row>
      <xdr:rowOff>157162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704850</xdr:colOff>
      <xdr:row>67</xdr:row>
      <xdr:rowOff>133350</xdr:rowOff>
    </xdr:from>
    <xdr:to>
      <xdr:col>15</xdr:col>
      <xdr:colOff>190499</xdr:colOff>
      <xdr:row>76</xdr:row>
      <xdr:rowOff>166687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666750</xdr:colOff>
      <xdr:row>71</xdr:row>
      <xdr:rowOff>104042</xdr:rowOff>
    </xdr:from>
    <xdr:to>
      <xdr:col>15</xdr:col>
      <xdr:colOff>152399</xdr:colOff>
      <xdr:row>80</xdr:row>
      <xdr:rowOff>137379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714375</xdr:colOff>
      <xdr:row>75</xdr:row>
      <xdr:rowOff>114300</xdr:rowOff>
    </xdr:from>
    <xdr:to>
      <xdr:col>15</xdr:col>
      <xdr:colOff>200024</xdr:colOff>
      <xdr:row>84</xdr:row>
      <xdr:rowOff>157162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I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CF1C91DA-CCF6-4E6C-B25E-D977A088F6A2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0</a:t>
          </a:fld>
          <a:endParaRPr lang="es-AR" sz="85700" b="1" i="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J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C56807FC-2A43-4C0F-84D5-27F60DC0D438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9</a:t>
          </a:fld>
          <a:endParaRPr lang="es-AR" sz="85700" b="1" i="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K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3D4C78D9-0867-433C-8DD3-092335AF75E2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98</a:t>
          </a:fld>
          <a:endParaRPr lang="es-AR" sz="85700" b="1" i="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L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7BE6A18-5A4B-4C64-8970-8676189D0611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142</a:t>
          </a:fld>
          <a:endParaRPr lang="es-AR" sz="85700" b="1" i="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M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E4C215E8-6485-47AD-9AFF-3F32D0F5576E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0</a:t>
          </a:fld>
          <a:endParaRPr lang="es-AR" sz="85700" b="1" i="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N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36F52E1A-F317-4306-9079-F4F4FEB2869B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7</a:t>
          </a:fld>
          <a:endParaRPr lang="es-AR" sz="85700" b="1" i="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O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293EF5F-9E6F-4EDE-A90B-C6D0FC97E6C2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74</a:t>
          </a:fld>
          <a:endParaRPr lang="es-AR" sz="85700" b="1" i="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P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AAA1E503-7C62-4868-B1DA-BF292925AA4E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20</a:t>
          </a:fld>
          <a:endParaRPr lang="es-AR" sz="85700" b="1" i="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Q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0DE078F-7C52-4227-B5C1-EC33452F0861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#¡DIV/0!</a:t>
          </a:fld>
          <a:endParaRPr lang="es-AR" sz="85700" b="1" i="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R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B1F15135-7AEC-42B2-8678-F6BE3E1D9B4F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7</a:t>
          </a:fld>
          <a:endParaRPr lang="es-AR" sz="85700" b="1" i="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A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89268FD7-83BE-46E7-B80E-46E75C390244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48</a:t>
          </a:fld>
          <a:endParaRPr lang="es-AR" sz="49600" b="1" i="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S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67971417-0E50-4E02-9218-4EAC0AAF346F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364</a:t>
          </a:fld>
          <a:endParaRPr lang="es-AR" sz="85700" b="1" i="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242888</xdr:colOff>
      <xdr:row>17</xdr:row>
      <xdr:rowOff>61913</xdr:rowOff>
    </xdr:from>
    <xdr:to>
      <xdr:col>7</xdr:col>
      <xdr:colOff>542925</xdr:colOff>
      <xdr:row>26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17</xdr:row>
      <xdr:rowOff>95250</xdr:rowOff>
    </xdr:from>
    <xdr:to>
      <xdr:col>2</xdr:col>
      <xdr:colOff>247650</xdr:colOff>
      <xdr:row>26</xdr:row>
      <xdr:rowOff>147637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0.43998</cdr:x>
      <cdr:y>0.3892</cdr:y>
    </cdr:from>
    <cdr:to>
      <cdr:x>0.57326</cdr:x>
      <cdr:y>0.57951</cdr:y>
    </cdr:to>
    <cdr:sp macro="" textlink="'Cálculos de ratios'!$C$10">
      <cdr:nvSpPr>
        <cdr:cNvPr id="2" name="CuadroTexto 1"/>
        <cdr:cNvSpPr txBox="1"/>
      </cdr:nvSpPr>
      <cdr:spPr>
        <a:xfrm xmlns:a="http://schemas.openxmlformats.org/drawingml/2006/main">
          <a:off x="1473079" y="687673"/>
          <a:ext cx="446208" cy="336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E1F7326-02D8-4AFC-9207-5C2302B3342E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17</a:t>
          </a:fld>
          <a:endParaRPr lang="es-AR" sz="4000" b="1" i="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A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89268FD7-83BE-46E7-B80E-46E75C390244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48</a:t>
          </a:fld>
          <a:endParaRPr lang="es-AR" sz="49600" b="1" i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B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231DD17-49E8-408C-BD45-96C5FD131367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52</a:t>
          </a:fld>
          <a:endParaRPr lang="es-AR" sz="85700" b="1" i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0.29301</cdr:x>
      <cdr:y>0.35011</cdr:y>
    </cdr:from>
    <cdr:to>
      <cdr:x>0.64248</cdr:x>
      <cdr:y>0.54043</cdr:y>
    </cdr:to>
    <cdr:sp macro="" textlink="'Cálculos de ratios'!$C$10">
      <cdr:nvSpPr>
        <cdr:cNvPr id="2" name="CuadroTexto 1"/>
        <cdr:cNvSpPr txBox="1"/>
      </cdr:nvSpPr>
      <cdr:spPr>
        <a:xfrm xmlns:a="http://schemas.openxmlformats.org/drawingml/2006/main">
          <a:off x="519106" y="618608"/>
          <a:ext cx="619138" cy="336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7149FBE4-863F-4FB9-9C94-FE980F174907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17</a:t>
          </a:fld>
          <a:endParaRPr lang="es-AR" sz="85700" b="1" i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D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1899C124-7C3E-416F-9692-B943FC8080AD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8</a:t>
          </a:fld>
          <a:endParaRPr lang="es-AR" sz="85700" b="1" i="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E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8B97DAFD-C104-49E0-BAD1-CA98687F0B83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109</a:t>
          </a:fld>
          <a:endParaRPr lang="es-AR" sz="85700" b="1" i="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F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86EFF017-8CB1-41C5-BB16-D2A7463B1001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52</a:t>
          </a:fld>
          <a:endParaRPr lang="es-AR" sz="85700" b="1" i="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G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994FF9C-8133-4306-A432-9A703C1276CE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186</a:t>
          </a:fld>
          <a:endParaRPr lang="es-AR" sz="85700" b="1" i="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H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196E6C4-534E-4BCA-BA68-2CFBC1F5375F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-152</a:t>
          </a:fld>
          <a:endParaRPr lang="es-AR" sz="85700" b="1" i="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Universidad/5to%20Cuatrimestre/Costos/Segundo%20Parcial/Lucha%20por%20el%20velocimet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/>
      <sheetData sheetId="1">
        <row r="2">
          <cell r="A2" t="str">
            <v>Muy Mal</v>
          </cell>
          <cell r="B2">
            <v>20</v>
          </cell>
        </row>
        <row r="3">
          <cell r="A3" t="str">
            <v>Mal</v>
          </cell>
          <cell r="B3">
            <v>20</v>
          </cell>
        </row>
        <row r="4">
          <cell r="A4" t="str">
            <v>Regular</v>
          </cell>
          <cell r="B4">
            <v>20</v>
          </cell>
        </row>
        <row r="5">
          <cell r="A5" t="str">
            <v>Bueno</v>
          </cell>
          <cell r="B5">
            <v>20</v>
          </cell>
        </row>
        <row r="6">
          <cell r="A6" t="str">
            <v>Muy bueno</v>
          </cell>
          <cell r="B6">
            <v>20</v>
          </cell>
        </row>
        <row r="7">
          <cell r="A7" t="str">
            <v>Total</v>
          </cell>
          <cell r="B7">
            <v>100</v>
          </cell>
        </row>
        <row r="12">
          <cell r="C12">
            <v>23.092592592592595</v>
          </cell>
          <cell r="G12">
            <v>2.5740740740740744</v>
          </cell>
        </row>
        <row r="13">
          <cell r="C13">
            <v>3</v>
          </cell>
          <cell r="G13">
            <v>3</v>
          </cell>
        </row>
        <row r="14">
          <cell r="C14">
            <v>173.90740740740739</v>
          </cell>
          <cell r="G14">
            <v>194.42592592592592</v>
          </cell>
        </row>
      </sheetData>
      <sheetData sheetId="2">
        <row r="11">
          <cell r="F11">
            <v>58.888888888888893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0"/>
  <sheetViews>
    <sheetView tabSelected="1" zoomScale="80" zoomScaleNormal="80" workbookViewId="0">
      <selection activeCell="C32" sqref="C32"/>
    </sheetView>
  </sheetViews>
  <sheetFormatPr baseColWidth="10" defaultRowHeight="15" x14ac:dyDescent="0.25"/>
  <cols>
    <col min="1" max="1" width="13.28515625" customWidth="1"/>
    <col min="2" max="2" width="13.7109375" customWidth="1"/>
    <col min="3" max="3" width="20.28515625" customWidth="1"/>
    <col min="4" max="4" width="19.140625" customWidth="1"/>
    <col min="5" max="5" width="5.85546875" customWidth="1"/>
    <col min="6" max="6" width="6.5703125" customWidth="1"/>
    <col min="7" max="7" width="13.7109375" customWidth="1"/>
    <col min="8" max="8" width="15.42578125" customWidth="1"/>
    <col min="9" max="9" width="19.42578125" customWidth="1"/>
    <col min="10" max="10" width="2.7109375" customWidth="1"/>
  </cols>
  <sheetData>
    <row r="2" spans="1:13" x14ac:dyDescent="0.25">
      <c r="A2" t="s">
        <v>0</v>
      </c>
    </row>
    <row r="3" spans="1:13" x14ac:dyDescent="0.25">
      <c r="A3" t="s">
        <v>1</v>
      </c>
    </row>
    <row r="5" spans="1:13" ht="21" x14ac:dyDescent="0.35">
      <c r="A5" s="1" t="s">
        <v>2</v>
      </c>
      <c r="B5" s="2"/>
      <c r="C5" s="2">
        <v>2023</v>
      </c>
      <c r="D5" s="2">
        <v>2022</v>
      </c>
      <c r="F5">
        <v>1</v>
      </c>
      <c r="G5" s="3" t="s">
        <v>3</v>
      </c>
      <c r="H5" s="4"/>
      <c r="I5" s="4"/>
      <c r="J5" s="4"/>
      <c r="K5" s="4"/>
      <c r="L5" s="4"/>
      <c r="M5" s="5"/>
    </row>
    <row r="6" spans="1:13" x14ac:dyDescent="0.25">
      <c r="A6" s="6" t="s">
        <v>4</v>
      </c>
      <c r="B6" s="7"/>
      <c r="C6" s="8">
        <v>667688907.60000002</v>
      </c>
      <c r="D6" s="8">
        <v>401705030.67000002</v>
      </c>
      <c r="G6" s="9" t="s">
        <v>5</v>
      </c>
      <c r="H6" s="10"/>
      <c r="I6" s="11">
        <f>VLOOKUP(G6,$A$6:$C$32,3,FALSE)</f>
        <v>348545129.25000006</v>
      </c>
      <c r="J6" s="12" t="s">
        <v>6</v>
      </c>
      <c r="K6" s="13">
        <f>I6/I7</f>
        <v>0.47844008153023987</v>
      </c>
      <c r="L6" s="14" t="s">
        <v>7</v>
      </c>
      <c r="M6" s="15">
        <f>K6</f>
        <v>0.47844008153023987</v>
      </c>
    </row>
    <row r="7" spans="1:13" x14ac:dyDescent="0.25">
      <c r="A7" s="16" t="s">
        <v>8</v>
      </c>
      <c r="B7" s="17"/>
      <c r="C7" s="18">
        <v>728503197.59000003</v>
      </c>
      <c r="D7" s="18">
        <v>443708031.12</v>
      </c>
      <c r="G7" s="9" t="s">
        <v>8</v>
      </c>
      <c r="H7" s="10"/>
      <c r="I7" s="11">
        <f>VLOOKUP(G7,$A$6:$C$32,3,FALSE)</f>
        <v>728503197.59000003</v>
      </c>
      <c r="J7" s="19"/>
      <c r="K7" s="20"/>
      <c r="L7" s="21"/>
      <c r="M7" s="22"/>
    </row>
    <row r="8" spans="1:13" x14ac:dyDescent="0.25">
      <c r="A8" s="16" t="s">
        <v>9</v>
      </c>
      <c r="B8" s="17"/>
      <c r="C8" s="18">
        <v>358817235.83999997</v>
      </c>
      <c r="D8" s="18">
        <v>232267861.53</v>
      </c>
    </row>
    <row r="9" spans="1:13" ht="15.75" x14ac:dyDescent="0.25">
      <c r="A9" s="16" t="s">
        <v>10</v>
      </c>
      <c r="B9" s="17"/>
      <c r="C9" s="18">
        <v>379958068.33999997</v>
      </c>
      <c r="D9" s="18">
        <v>234033845.56999999</v>
      </c>
      <c r="F9">
        <v>2</v>
      </c>
      <c r="G9" s="3" t="s">
        <v>11</v>
      </c>
      <c r="H9" s="4"/>
      <c r="I9" s="4"/>
      <c r="J9" s="4"/>
      <c r="K9" s="4"/>
      <c r="L9" s="4"/>
      <c r="M9" s="5"/>
    </row>
    <row r="10" spans="1:13" x14ac:dyDescent="0.25">
      <c r="A10" s="23" t="s">
        <v>5</v>
      </c>
      <c r="B10" s="24"/>
      <c r="C10" s="25">
        <f>C7-C9</f>
        <v>348545129.25000006</v>
      </c>
      <c r="D10" s="25">
        <f>D7-D9</f>
        <v>209674185.55000001</v>
      </c>
      <c r="G10" s="9" t="s">
        <v>10</v>
      </c>
      <c r="H10" s="10"/>
      <c r="I10" s="11">
        <f>VLOOKUP(G10,$A$6:$C$32,3,FALSE)</f>
        <v>379958068.33999997</v>
      </c>
      <c r="J10" s="12" t="s">
        <v>6</v>
      </c>
      <c r="K10" s="13">
        <f>I10/I11</f>
        <v>0.52155991846976013</v>
      </c>
      <c r="L10" s="14" t="s">
        <v>7</v>
      </c>
      <c r="M10" s="15">
        <f>K10</f>
        <v>0.52155991846976013</v>
      </c>
    </row>
    <row r="11" spans="1:13" ht="21" x14ac:dyDescent="0.35">
      <c r="A11" s="26" t="s">
        <v>12</v>
      </c>
      <c r="B11" s="27"/>
      <c r="C11" s="27"/>
      <c r="D11" s="27"/>
      <c r="G11" s="9" t="s">
        <v>8</v>
      </c>
      <c r="H11" s="10"/>
      <c r="I11" s="11">
        <f>VLOOKUP(G11,$A$6:$C$32,3,FALSE)</f>
        <v>728503197.59000003</v>
      </c>
      <c r="J11" s="19"/>
      <c r="K11" s="20"/>
      <c r="L11" s="21"/>
      <c r="M11" s="22"/>
    </row>
    <row r="12" spans="1:13" x14ac:dyDescent="0.25">
      <c r="A12" s="16" t="s">
        <v>13</v>
      </c>
      <c r="B12" s="17"/>
      <c r="C12" s="18"/>
      <c r="D12" s="18"/>
    </row>
    <row r="13" spans="1:13" ht="15.75" x14ac:dyDescent="0.25">
      <c r="A13" s="16" t="s">
        <v>14</v>
      </c>
      <c r="B13" s="17"/>
      <c r="C13" s="18"/>
      <c r="D13" s="18"/>
      <c r="F13">
        <v>3</v>
      </c>
      <c r="G13" s="3" t="s">
        <v>15</v>
      </c>
      <c r="H13" s="4"/>
      <c r="I13" s="4"/>
      <c r="J13" s="4"/>
      <c r="K13" s="4"/>
      <c r="L13" s="4"/>
      <c r="M13" s="5"/>
    </row>
    <row r="14" spans="1:13" x14ac:dyDescent="0.25">
      <c r="A14" s="16" t="s">
        <v>16</v>
      </c>
      <c r="B14" s="17"/>
      <c r="C14" s="18">
        <v>60814289.990000002</v>
      </c>
      <c r="D14" s="18">
        <v>42003000.460000001</v>
      </c>
      <c r="G14" s="9" t="s">
        <v>17</v>
      </c>
      <c r="H14" s="10"/>
      <c r="I14" s="11">
        <f>VLOOKUP("Bienes de uso",$A$6:$C$32,3,FALSE)+VLOOKUP("Inversiones permanentes",$A$6:$C$32,3,FALSE)+VLOOKUP("Activos Intangibles",$A$6:$C$32,3,FALSE)</f>
        <v>60814289.990000002</v>
      </c>
      <c r="J14" s="12" t="s">
        <v>6</v>
      </c>
      <c r="K14" s="13">
        <f>I14/I15</f>
        <v>0.17448038972990465</v>
      </c>
      <c r="L14" s="14" t="s">
        <v>7</v>
      </c>
      <c r="M14" s="15">
        <f>K14</f>
        <v>0.17448038972990465</v>
      </c>
    </row>
    <row r="15" spans="1:13" x14ac:dyDescent="0.25">
      <c r="A15" s="16" t="s">
        <v>18</v>
      </c>
      <c r="B15" s="17"/>
      <c r="C15" s="18">
        <v>1211821272.4000001</v>
      </c>
      <c r="D15" s="18">
        <v>968382811.09000003</v>
      </c>
      <c r="G15" s="9" t="s">
        <v>19</v>
      </c>
      <c r="H15" s="10"/>
      <c r="I15" s="11">
        <f>VLOOKUP(G15,$A$6:$C$32,3,FALSE)</f>
        <v>348545129.25000006</v>
      </c>
      <c r="J15" s="19"/>
      <c r="K15" s="20"/>
      <c r="L15" s="21"/>
      <c r="M15" s="22"/>
    </row>
    <row r="16" spans="1:13" x14ac:dyDescent="0.25">
      <c r="A16" s="28" t="s">
        <v>20</v>
      </c>
      <c r="B16" s="29"/>
      <c r="C16" s="30">
        <v>1258900</v>
      </c>
      <c r="D16" s="30">
        <v>62860740.57</v>
      </c>
    </row>
    <row r="17" spans="1:13" ht="15.75" x14ac:dyDescent="0.25">
      <c r="A17" s="28" t="s">
        <v>21</v>
      </c>
      <c r="B17" s="29"/>
      <c r="C17" s="30"/>
      <c r="D17" s="30"/>
      <c r="F17">
        <v>4</v>
      </c>
      <c r="G17" s="3" t="s">
        <v>22</v>
      </c>
      <c r="H17" s="4"/>
      <c r="I17" s="4"/>
      <c r="J17" s="4"/>
      <c r="K17" s="4"/>
      <c r="L17" s="4"/>
      <c r="M17" s="5"/>
    </row>
    <row r="18" spans="1:13" x14ac:dyDescent="0.25">
      <c r="A18" s="28" t="s">
        <v>23</v>
      </c>
      <c r="B18" s="29"/>
      <c r="C18" s="30">
        <v>2085870848.77</v>
      </c>
      <c r="D18" s="30">
        <v>1466206461.0799999</v>
      </c>
      <c r="G18" s="9" t="s">
        <v>17</v>
      </c>
      <c r="H18" s="10"/>
      <c r="I18" s="11">
        <f>VLOOKUP("Bienes de uso",$A$6:$C$32,3,FALSE)+VLOOKUP("Inversiones permanentes",$A$6:$C$32,3,FALSE)+VLOOKUP("Activos Intangibles",$A$6:$C$32,3,FALSE)</f>
        <v>60814289.990000002</v>
      </c>
      <c r="J18" s="12" t="s">
        <v>6</v>
      </c>
      <c r="K18" s="13">
        <f>I18/I19</f>
        <v>8.3478411887803611E-2</v>
      </c>
      <c r="L18" s="14" t="s">
        <v>7</v>
      </c>
      <c r="M18" s="15">
        <f>K18</f>
        <v>8.3478411887803611E-2</v>
      </c>
    </row>
    <row r="19" spans="1:13" x14ac:dyDescent="0.25">
      <c r="A19" s="31" t="s">
        <v>24</v>
      </c>
      <c r="B19" s="32"/>
      <c r="C19" s="33">
        <v>183017642.33000001</v>
      </c>
      <c r="D19" s="33">
        <v>106426982.38</v>
      </c>
      <c r="G19" s="9" t="s">
        <v>8</v>
      </c>
      <c r="H19" s="10"/>
      <c r="I19" s="11">
        <f>VLOOKUP(G19,$A$6:$C$32,3,FALSE)</f>
        <v>728503197.59000003</v>
      </c>
      <c r="J19" s="19"/>
      <c r="K19" s="20"/>
      <c r="L19" s="21"/>
      <c r="M19" s="22"/>
    </row>
    <row r="20" spans="1:13" x14ac:dyDescent="0.25">
      <c r="A20" s="31" t="s">
        <v>25</v>
      </c>
      <c r="B20" s="32"/>
      <c r="C20" s="33">
        <v>1713947466.0799999</v>
      </c>
      <c r="D20" s="33">
        <v>1169380067.73</v>
      </c>
    </row>
    <row r="21" spans="1:13" ht="15.75" x14ac:dyDescent="0.25">
      <c r="A21" s="31" t="s">
        <v>26</v>
      </c>
      <c r="B21" s="32"/>
      <c r="C21" s="33">
        <f>25921377.82+1211821272.4</f>
        <v>1237742650.22</v>
      </c>
      <c r="D21" s="33">
        <f>40353577.47+968382811.09</f>
        <v>1008736388.5600001</v>
      </c>
      <c r="F21">
        <v>5</v>
      </c>
      <c r="G21" s="3" t="s">
        <v>27</v>
      </c>
      <c r="H21" s="4"/>
      <c r="I21" s="4"/>
      <c r="J21" s="4"/>
      <c r="K21" s="4"/>
      <c r="L21" s="4"/>
      <c r="M21" s="5"/>
    </row>
    <row r="22" spans="1:13" x14ac:dyDescent="0.25">
      <c r="A22" s="16" t="s">
        <v>28</v>
      </c>
      <c r="B22" s="17"/>
      <c r="C22" s="18"/>
      <c r="D22" s="18"/>
      <c r="G22" s="9" t="s">
        <v>10</v>
      </c>
      <c r="H22" s="10"/>
      <c r="I22" s="11">
        <f>VLOOKUP(G22,$A$6:$C$32,3,FALSE)</f>
        <v>379958068.33999997</v>
      </c>
      <c r="J22" s="12" t="s">
        <v>6</v>
      </c>
      <c r="K22" s="13">
        <f>I22/I23</f>
        <v>1.0901258874499102</v>
      </c>
      <c r="L22" s="14" t="s">
        <v>7</v>
      </c>
      <c r="M22" s="15">
        <f>K22</f>
        <v>1.0901258874499102</v>
      </c>
    </row>
    <row r="23" spans="1:13" x14ac:dyDescent="0.25">
      <c r="A23" s="28" t="s">
        <v>29</v>
      </c>
      <c r="B23" s="29"/>
      <c r="C23" s="30"/>
      <c r="D23" s="30"/>
      <c r="G23" s="9" t="s">
        <v>5</v>
      </c>
      <c r="H23" s="10"/>
      <c r="I23" s="11">
        <f>VLOOKUP(G23,$A$6:$C$32,3,FALSE)</f>
        <v>348545129.25000006</v>
      </c>
      <c r="J23" s="19"/>
      <c r="K23" s="20"/>
      <c r="L23" s="21"/>
      <c r="M23" s="22"/>
    </row>
    <row r="24" spans="1:13" x14ac:dyDescent="0.25">
      <c r="A24" s="28" t="s">
        <v>30</v>
      </c>
      <c r="B24" s="29"/>
      <c r="C24" s="30">
        <v>148269735.31</v>
      </c>
      <c r="D24" s="30">
        <v>74255735.379999995</v>
      </c>
    </row>
    <row r="25" spans="1:13" ht="15.75" x14ac:dyDescent="0.25">
      <c r="A25" s="16" t="s">
        <v>31</v>
      </c>
      <c r="B25" s="17"/>
      <c r="C25" s="18"/>
      <c r="D25" s="18"/>
      <c r="F25">
        <v>6</v>
      </c>
      <c r="G25" s="3" t="s">
        <v>32</v>
      </c>
      <c r="H25" s="4"/>
      <c r="I25" s="4"/>
      <c r="J25" s="4"/>
      <c r="K25" s="4"/>
      <c r="L25" s="4"/>
      <c r="M25" s="5"/>
    </row>
    <row r="26" spans="1:13" x14ac:dyDescent="0.25">
      <c r="A26" s="31" t="s">
        <v>33</v>
      </c>
      <c r="B26" s="32"/>
      <c r="C26" s="33"/>
      <c r="D26" s="33"/>
      <c r="G26" s="9" t="s">
        <v>10</v>
      </c>
      <c r="H26" s="10"/>
      <c r="I26" s="11">
        <f>VLOOKUP(G26,$A$6:$C$32,3,FALSE)</f>
        <v>379958068.33999997</v>
      </c>
      <c r="J26" s="12" t="s">
        <v>6</v>
      </c>
      <c r="K26" s="13">
        <f>I26/I27</f>
        <v>0.52155991846976013</v>
      </c>
      <c r="L26" s="14" t="s">
        <v>7</v>
      </c>
      <c r="M26" s="15">
        <f>K26</f>
        <v>0.52155991846976013</v>
      </c>
    </row>
    <row r="27" spans="1:13" x14ac:dyDescent="0.25">
      <c r="A27" s="31" t="s">
        <v>34</v>
      </c>
      <c r="B27" s="32"/>
      <c r="C27" s="33">
        <v>6264443.25</v>
      </c>
      <c r="D27" s="33">
        <v>41585334.039999999</v>
      </c>
      <c r="G27" s="9" t="s">
        <v>8</v>
      </c>
      <c r="H27" s="10"/>
      <c r="I27" s="11">
        <f>VLOOKUP(G27,$A$6:$C$32,3,FALSE)</f>
        <v>728503197.59000003</v>
      </c>
      <c r="J27" s="19"/>
      <c r="K27" s="20"/>
      <c r="L27" s="21"/>
      <c r="M27" s="22"/>
    </row>
    <row r="28" spans="1:13" x14ac:dyDescent="0.25">
      <c r="A28" s="31" t="s">
        <v>35</v>
      </c>
      <c r="B28" s="32"/>
      <c r="C28" s="33">
        <v>56113945.689999998</v>
      </c>
      <c r="D28" s="33">
        <v>58957144.670000002</v>
      </c>
    </row>
    <row r="29" spans="1:13" ht="15.75" x14ac:dyDescent="0.25">
      <c r="A29" s="31" t="s">
        <v>36</v>
      </c>
      <c r="B29" s="32"/>
      <c r="C29" s="33"/>
      <c r="D29" s="33">
        <v>172261.84</v>
      </c>
      <c r="F29">
        <v>7</v>
      </c>
      <c r="G29" s="3" t="s">
        <v>37</v>
      </c>
      <c r="H29" s="4"/>
      <c r="I29" s="4"/>
      <c r="J29" s="4"/>
      <c r="K29" s="4"/>
      <c r="L29" s="4"/>
      <c r="M29" s="5"/>
    </row>
    <row r="30" spans="1:13" x14ac:dyDescent="0.25">
      <c r="A30" s="28" t="s">
        <v>38</v>
      </c>
      <c r="B30" s="29"/>
      <c r="C30" s="30">
        <v>848128198.54999995</v>
      </c>
      <c r="D30" s="30">
        <v>457470072.50999999</v>
      </c>
      <c r="G30" s="9" t="s">
        <v>4</v>
      </c>
      <c r="H30" s="10"/>
      <c r="I30" s="11">
        <f>VLOOKUP(G30,$A$6:$C$32,3,FALSE)</f>
        <v>667688907.60000002</v>
      </c>
      <c r="J30" s="12" t="s">
        <v>6</v>
      </c>
      <c r="K30" s="13">
        <f>I30/I31</f>
        <v>1.8608050029618111</v>
      </c>
      <c r="L30" s="14" t="s">
        <v>7</v>
      </c>
      <c r="M30" s="15">
        <f>K30</f>
        <v>1.8608050029618111</v>
      </c>
    </row>
    <row r="31" spans="1:13" x14ac:dyDescent="0.25">
      <c r="A31" s="16" t="s">
        <v>39</v>
      </c>
      <c r="B31" s="17"/>
      <c r="C31" s="34">
        <f>K63</f>
        <v>0.74032926558326839</v>
      </c>
      <c r="D31" s="18"/>
      <c r="G31" s="9" t="s">
        <v>9</v>
      </c>
      <c r="H31" s="10"/>
      <c r="I31" s="11">
        <f>VLOOKUP(G31,$A$6:$C$32,3,FALSE)</f>
        <v>358817235.83999997</v>
      </c>
      <c r="J31" s="19"/>
      <c r="K31" s="20"/>
      <c r="L31" s="21"/>
      <c r="M31" s="22"/>
    </row>
    <row r="32" spans="1:13" x14ac:dyDescent="0.25">
      <c r="A32" s="23" t="s">
        <v>40</v>
      </c>
      <c r="B32" s="24"/>
      <c r="C32" s="35">
        <f>K67</f>
        <v>0.20352654017236843</v>
      </c>
      <c r="D32" s="25"/>
    </row>
    <row r="33" spans="6:13" ht="15.75" x14ac:dyDescent="0.25">
      <c r="F33">
        <v>8</v>
      </c>
      <c r="G33" s="3" t="s">
        <v>41</v>
      </c>
      <c r="H33" s="4"/>
      <c r="I33" s="4"/>
      <c r="J33" s="4"/>
      <c r="K33" s="4"/>
      <c r="L33" s="4"/>
      <c r="M33" s="5"/>
    </row>
    <row r="34" spans="6:13" x14ac:dyDescent="0.25">
      <c r="G34" s="9" t="s">
        <v>42</v>
      </c>
      <c r="H34" s="10"/>
      <c r="I34" s="11">
        <f>VLOOKUP("Activo Corriente",$A$6:$C$32,3,FALSE)-VLOOKUP("Bienes de Cambio",$A$6:$C$32,3,FALSE)</f>
        <v>-544132364.80000007</v>
      </c>
      <c r="J34" s="12" t="s">
        <v>6</v>
      </c>
      <c r="K34" s="13">
        <f>I34/I35</f>
        <v>-1.5164610571902233</v>
      </c>
      <c r="L34" s="14" t="s">
        <v>7</v>
      </c>
      <c r="M34" s="15">
        <f>K34</f>
        <v>-1.5164610571902233</v>
      </c>
    </row>
    <row r="35" spans="6:13" x14ac:dyDescent="0.25">
      <c r="G35" s="9" t="s">
        <v>9</v>
      </c>
      <c r="H35" s="10"/>
      <c r="I35" s="11">
        <f>VLOOKUP(G35,$A$6:$C$32,3,FALSE)</f>
        <v>358817235.83999997</v>
      </c>
      <c r="J35" s="19"/>
      <c r="K35" s="20"/>
      <c r="L35" s="21"/>
      <c r="M35" s="22"/>
    </row>
    <row r="37" spans="6:13" ht="15.75" x14ac:dyDescent="0.25">
      <c r="F37">
        <v>9</v>
      </c>
      <c r="G37" s="3" t="s">
        <v>43</v>
      </c>
      <c r="H37" s="4"/>
      <c r="I37" s="4"/>
      <c r="J37" s="4"/>
      <c r="K37" s="4"/>
      <c r="L37" s="4"/>
      <c r="M37" s="5"/>
    </row>
    <row r="38" spans="6:13" x14ac:dyDescent="0.25">
      <c r="G38" s="9" t="s">
        <v>20</v>
      </c>
      <c r="H38" s="10"/>
      <c r="I38" s="11">
        <f>VLOOKUP(G38,$A$6:$C$32,3,FALSE)</f>
        <v>1258900</v>
      </c>
      <c r="J38" s="12" t="s">
        <v>6</v>
      </c>
      <c r="K38" s="13">
        <f>I38/I39</f>
        <v>6.035368875989376E-4</v>
      </c>
      <c r="L38" s="14" t="s">
        <v>44</v>
      </c>
      <c r="M38" s="36">
        <f>K38*365</f>
        <v>0.22029096397361222</v>
      </c>
    </row>
    <row r="39" spans="6:13" x14ac:dyDescent="0.25">
      <c r="G39" s="9" t="s">
        <v>23</v>
      </c>
      <c r="H39" s="10"/>
      <c r="I39" s="11">
        <f>VLOOKUP(G39,$A$6:$C$32,3,FALSE)</f>
        <v>2085870848.77</v>
      </c>
      <c r="J39" s="19"/>
      <c r="K39" s="20"/>
      <c r="L39" s="21"/>
      <c r="M39" s="37"/>
    </row>
    <row r="41" spans="6:13" ht="15.75" x14ac:dyDescent="0.25">
      <c r="F41">
        <v>10</v>
      </c>
      <c r="G41" s="3" t="s">
        <v>45</v>
      </c>
      <c r="H41" s="4"/>
      <c r="I41" s="4"/>
      <c r="J41" s="4"/>
      <c r="K41" s="4"/>
      <c r="L41" s="4"/>
      <c r="M41" s="5"/>
    </row>
    <row r="42" spans="6:13" x14ac:dyDescent="0.25">
      <c r="G42" s="9" t="s">
        <v>46</v>
      </c>
      <c r="H42" s="10"/>
      <c r="I42" s="11">
        <f>VLOOKUP(G42,$A$6:$C$32,3,FALSE)</f>
        <v>183017642.33000001</v>
      </c>
      <c r="J42" s="12" t="s">
        <v>6</v>
      </c>
      <c r="K42" s="13">
        <f>I42/I43</f>
        <v>8.7741598401416931E-2</v>
      </c>
      <c r="L42" s="14" t="s">
        <v>44</v>
      </c>
      <c r="M42" s="36">
        <f>K42*365</f>
        <v>32.025683416517182</v>
      </c>
    </row>
    <row r="43" spans="6:13" x14ac:dyDescent="0.25">
      <c r="G43" s="9" t="s">
        <v>23</v>
      </c>
      <c r="H43" s="10"/>
      <c r="I43" s="11">
        <f>VLOOKUP(G43,$A$6:$C$32,3,FALSE)</f>
        <v>2085870848.77</v>
      </c>
      <c r="J43" s="19"/>
      <c r="K43" s="20"/>
      <c r="L43" s="21"/>
      <c r="M43" s="37"/>
    </row>
    <row r="45" spans="6:13" ht="15.75" x14ac:dyDescent="0.25">
      <c r="F45">
        <v>11</v>
      </c>
      <c r="G45" s="3" t="s">
        <v>47</v>
      </c>
      <c r="H45" s="4"/>
      <c r="I45" s="4"/>
      <c r="J45" s="4"/>
      <c r="K45" s="4"/>
      <c r="L45" s="4"/>
      <c r="M45" s="5"/>
    </row>
    <row r="46" spans="6:13" x14ac:dyDescent="0.25">
      <c r="G46" s="9" t="s">
        <v>48</v>
      </c>
      <c r="H46" s="10"/>
      <c r="I46" s="11">
        <f>VLOOKUP(G46,$A$6:$C$32,3,FALSE)</f>
        <v>1211821272.4000001</v>
      </c>
      <c r="J46" s="12" t="s">
        <v>6</v>
      </c>
      <c r="K46" s="13">
        <f>I46/I47</f>
        <v>0.97905753848314703</v>
      </c>
      <c r="L46" s="14" t="s">
        <v>44</v>
      </c>
      <c r="M46" s="36">
        <f>K46*365</f>
        <v>357.35600154634869</v>
      </c>
    </row>
    <row r="47" spans="6:13" x14ac:dyDescent="0.25">
      <c r="G47" s="9" t="s">
        <v>26</v>
      </c>
      <c r="H47" s="10"/>
      <c r="I47" s="11">
        <f>VLOOKUP(G47,$A$6:$C$32,3,FALSE)</f>
        <v>1237742650.22</v>
      </c>
      <c r="J47" s="19"/>
      <c r="K47" s="20"/>
      <c r="L47" s="21"/>
      <c r="M47" s="37"/>
    </row>
    <row r="49" spans="6:13" ht="23.25" x14ac:dyDescent="0.35">
      <c r="G49" s="38" t="s">
        <v>49</v>
      </c>
    </row>
    <row r="50" spans="6:13" ht="15.75" x14ac:dyDescent="0.25">
      <c r="F50">
        <v>12</v>
      </c>
      <c r="G50" s="3" t="s">
        <v>50</v>
      </c>
      <c r="H50" s="4"/>
      <c r="I50" s="4"/>
      <c r="J50" s="4"/>
      <c r="K50" s="4"/>
      <c r="L50" s="4"/>
      <c r="M50" s="5"/>
    </row>
    <row r="51" spans="6:13" x14ac:dyDescent="0.25">
      <c r="G51" s="9" t="s">
        <v>23</v>
      </c>
      <c r="H51" s="10"/>
      <c r="I51" s="11">
        <f>VLOOKUP(G51,$A$6:$C$32,3,FALSE)</f>
        <v>2085870848.77</v>
      </c>
      <c r="J51" s="12" t="s">
        <v>6</v>
      </c>
      <c r="K51" s="13">
        <f>I51/I52</f>
        <v>1.4226310578617682</v>
      </c>
      <c r="L51" s="14" t="s">
        <v>7</v>
      </c>
      <c r="M51" s="15">
        <f>K51</f>
        <v>1.4226310578617682</v>
      </c>
    </row>
    <row r="52" spans="6:13" x14ac:dyDescent="0.25">
      <c r="G52" s="9" t="s">
        <v>23</v>
      </c>
      <c r="H52" s="10"/>
      <c r="I52" s="11">
        <f>VLOOKUP(G52,$A$6:$D$32,4,FALSE)</f>
        <v>1466206461.0799999</v>
      </c>
      <c r="J52" s="19"/>
      <c r="K52" s="20"/>
      <c r="L52" s="21"/>
      <c r="M52" s="22"/>
    </row>
    <row r="54" spans="6:13" ht="15.75" x14ac:dyDescent="0.25">
      <c r="F54">
        <v>13</v>
      </c>
      <c r="G54" s="3" t="s">
        <v>51</v>
      </c>
      <c r="H54" s="4"/>
      <c r="I54" s="4"/>
      <c r="J54" s="4"/>
      <c r="K54" s="4"/>
      <c r="L54" s="4"/>
      <c r="M54" s="5"/>
    </row>
    <row r="55" spans="6:13" x14ac:dyDescent="0.25">
      <c r="G55" s="9" t="s">
        <v>29</v>
      </c>
      <c r="H55" s="10"/>
      <c r="I55" s="11">
        <f>VLOOKUP(G55,$A$6:$C$32,3,FALSE)</f>
        <v>0</v>
      </c>
      <c r="J55" s="12" t="s">
        <v>6</v>
      </c>
      <c r="K55" s="13">
        <f>I55/I56</f>
        <v>0</v>
      </c>
      <c r="L55" s="14" t="s">
        <v>7</v>
      </c>
      <c r="M55" s="15">
        <f>K55</f>
        <v>0</v>
      </c>
    </row>
    <row r="56" spans="6:13" x14ac:dyDescent="0.25">
      <c r="G56" s="9" t="s">
        <v>23</v>
      </c>
      <c r="H56" s="10"/>
      <c r="I56" s="11">
        <f>VLOOKUP(G56,$A$6:$D$32,3,FALSE)</f>
        <v>2085870848.77</v>
      </c>
      <c r="J56" s="19"/>
      <c r="K56" s="20"/>
      <c r="L56" s="21"/>
      <c r="M56" s="22"/>
    </row>
    <row r="58" spans="6:13" ht="15.75" x14ac:dyDescent="0.25">
      <c r="F58">
        <v>14</v>
      </c>
      <c r="G58" s="3" t="s">
        <v>52</v>
      </c>
      <c r="H58" s="4"/>
      <c r="I58" s="4"/>
      <c r="J58" s="4"/>
      <c r="K58" s="4"/>
      <c r="L58" s="4"/>
      <c r="M58" s="5"/>
    </row>
    <row r="59" spans="6:13" x14ac:dyDescent="0.25">
      <c r="G59" s="9" t="s">
        <v>53</v>
      </c>
      <c r="H59" s="10"/>
      <c r="I59" s="11">
        <f>VLOOKUP(G59,$A$6:$C$32,3,FALSE)</f>
        <v>148269735.31</v>
      </c>
      <c r="J59" s="12" t="s">
        <v>6</v>
      </c>
      <c r="K59" s="13">
        <f>I59/I60</f>
        <v>7.1082893457872512E-2</v>
      </c>
      <c r="L59" s="14" t="s">
        <v>7</v>
      </c>
      <c r="M59" s="15">
        <f>K59</f>
        <v>7.1082893457872512E-2</v>
      </c>
    </row>
    <row r="60" spans="6:13" x14ac:dyDescent="0.25">
      <c r="G60" s="9" t="s">
        <v>23</v>
      </c>
      <c r="H60" s="10"/>
      <c r="I60" s="11">
        <f>VLOOKUP(G60,$A$6:$D$32,3,FALSE)</f>
        <v>2085870848.77</v>
      </c>
      <c r="J60" s="19"/>
      <c r="K60" s="20"/>
      <c r="L60" s="21"/>
      <c r="M60" s="22"/>
    </row>
    <row r="62" spans="6:13" ht="15.75" x14ac:dyDescent="0.25">
      <c r="F62">
        <v>15</v>
      </c>
      <c r="G62" s="3" t="s">
        <v>54</v>
      </c>
      <c r="H62" s="4"/>
      <c r="I62" s="4"/>
      <c r="J62" s="4"/>
      <c r="K62" s="4"/>
      <c r="L62" s="4"/>
      <c r="M62" s="5"/>
    </row>
    <row r="63" spans="6:13" x14ac:dyDescent="0.25">
      <c r="G63" s="9" t="s">
        <v>53</v>
      </c>
      <c r="H63" s="10"/>
      <c r="I63" s="11">
        <f>VLOOKUP(G63,$A$6:$C$32,3,FALSE)</f>
        <v>148269735.31</v>
      </c>
      <c r="J63" s="12" t="s">
        <v>6</v>
      </c>
      <c r="K63" s="13">
        <f>I63/I64</f>
        <v>0.74032926558326839</v>
      </c>
      <c r="L63" s="14" t="s">
        <v>7</v>
      </c>
      <c r="M63" s="15">
        <f>K63</f>
        <v>0.74032926558326839</v>
      </c>
    </row>
    <row r="64" spans="6:13" x14ac:dyDescent="0.25">
      <c r="G64" s="9" t="s">
        <v>55</v>
      </c>
      <c r="H64" s="10"/>
      <c r="I64" s="11">
        <f>VLOOKUP("Patrimonio Neto",$A$6:$D$32,3,FALSE)-VLOOKUP("Utilidad Neta Final",$A$6:$D$32,3,FALSE)</f>
        <v>200275393.94000006</v>
      </c>
      <c r="J64" s="19"/>
      <c r="K64" s="20"/>
      <c r="L64" s="21"/>
      <c r="M64" s="22"/>
    </row>
    <row r="66" spans="6:13" ht="15.75" x14ac:dyDescent="0.25">
      <c r="F66">
        <v>16</v>
      </c>
      <c r="G66" s="3" t="s">
        <v>56</v>
      </c>
      <c r="H66" s="4"/>
      <c r="I66" s="4"/>
      <c r="J66" s="4"/>
      <c r="K66" s="4"/>
      <c r="L66" s="4"/>
      <c r="M66" s="5"/>
    </row>
    <row r="67" spans="6:13" x14ac:dyDescent="0.25">
      <c r="G67" s="9" t="s">
        <v>53</v>
      </c>
      <c r="H67" s="10"/>
      <c r="I67" s="11">
        <f>VLOOKUP(G67,$A$6:$C$32,3,FALSE)</f>
        <v>148269735.31</v>
      </c>
      <c r="J67" s="12" t="s">
        <v>6</v>
      </c>
      <c r="K67" s="13">
        <f>I67/I68</f>
        <v>0.20352654017236843</v>
      </c>
      <c r="L67" s="14" t="s">
        <v>7</v>
      </c>
      <c r="M67" s="15">
        <f>K67</f>
        <v>0.20352654017236843</v>
      </c>
    </row>
    <row r="68" spans="6:13" x14ac:dyDescent="0.25">
      <c r="G68" s="9" t="s">
        <v>8</v>
      </c>
      <c r="H68" s="10"/>
      <c r="I68" s="11">
        <f>VLOOKUP(G68,$A$6:$D$32,3,FALSE)</f>
        <v>728503197.59000003</v>
      </c>
      <c r="J68" s="19"/>
      <c r="K68" s="20"/>
      <c r="L68" s="21"/>
      <c r="M68" s="22"/>
    </row>
    <row r="70" spans="6:13" ht="15.75" x14ac:dyDescent="0.25">
      <c r="F70">
        <v>17</v>
      </c>
      <c r="G70" s="3" t="s">
        <v>57</v>
      </c>
      <c r="H70" s="4"/>
      <c r="I70" s="4"/>
      <c r="J70" s="4"/>
      <c r="K70" s="4"/>
      <c r="L70" s="4"/>
      <c r="M70" s="5"/>
    </row>
    <row r="71" spans="6:13" x14ac:dyDescent="0.25">
      <c r="G71" s="9" t="s">
        <v>53</v>
      </c>
      <c r="H71" s="10"/>
      <c r="I71" s="11">
        <f>VLOOKUP(G71,$A$6:$C$32,3,FALSE)</f>
        <v>148269735.31</v>
      </c>
      <c r="J71" s="12" t="s">
        <v>6</v>
      </c>
      <c r="K71" s="13" t="e">
        <f>I71/I72</f>
        <v>#DIV/0!</v>
      </c>
      <c r="L71" s="14" t="s">
        <v>7</v>
      </c>
      <c r="M71" s="15" t="e">
        <f>K71</f>
        <v>#DIV/0!</v>
      </c>
    </row>
    <row r="72" spans="6:13" x14ac:dyDescent="0.25">
      <c r="G72" s="9" t="s">
        <v>58</v>
      </c>
      <c r="H72" s="10"/>
      <c r="I72" s="11">
        <f>VLOOKUP(G72,$A$6:$D$32,3,FALSE)</f>
        <v>0</v>
      </c>
      <c r="J72" s="19"/>
      <c r="K72" s="20"/>
      <c r="L72" s="21"/>
      <c r="M72" s="22"/>
    </row>
    <row r="74" spans="6:13" ht="15.75" x14ac:dyDescent="0.25">
      <c r="F74">
        <v>18</v>
      </c>
      <c r="G74" s="3" t="s">
        <v>59</v>
      </c>
      <c r="H74" s="4"/>
      <c r="I74" s="4"/>
      <c r="J74" s="4"/>
      <c r="K74" s="4"/>
      <c r="L74" s="4"/>
      <c r="M74" s="5"/>
    </row>
    <row r="75" spans="6:13" x14ac:dyDescent="0.25">
      <c r="G75" s="9" t="s">
        <v>60</v>
      </c>
      <c r="H75" s="10"/>
      <c r="I75" s="11">
        <f>VLOOKUP("Gastos de Administración",$A$6:$C$32,3,FALSE)+VLOOKUP("Gastos de Comercialización",$A$6:$C$32,3,FALSE)+VLOOKUP("Gastos Financieros",$A$6:$C$32,3,FALSE)</f>
        <v>62378388.939999998</v>
      </c>
      <c r="J75" s="12" t="s">
        <v>6</v>
      </c>
      <c r="K75" s="13">
        <f>I75/I76</f>
        <v>7.3548302068773372E-2</v>
      </c>
      <c r="L75" s="14" t="s">
        <v>44</v>
      </c>
      <c r="M75" s="36">
        <f>K75*365</f>
        <v>26.84513025510228</v>
      </c>
    </row>
    <row r="76" spans="6:13" x14ac:dyDescent="0.25">
      <c r="G76" s="9" t="s">
        <v>38</v>
      </c>
      <c r="H76" s="10"/>
      <c r="I76" s="11">
        <f>VLOOKUP(G76,$A$6:$C$32,3,FALSE)</f>
        <v>848128198.54999995</v>
      </c>
      <c r="J76" s="19"/>
      <c r="K76" s="20"/>
      <c r="L76" s="21"/>
      <c r="M76" s="37"/>
    </row>
    <row r="78" spans="6:13" ht="15.75" x14ac:dyDescent="0.25">
      <c r="F78">
        <v>19</v>
      </c>
      <c r="G78" s="3" t="s">
        <v>61</v>
      </c>
      <c r="H78" s="4"/>
      <c r="I78" s="4"/>
      <c r="J78" s="4"/>
      <c r="K78" s="4"/>
      <c r="L78" s="4"/>
      <c r="M78" s="5"/>
    </row>
    <row r="79" spans="6:13" x14ac:dyDescent="0.25">
      <c r="G79" s="9" t="s">
        <v>39</v>
      </c>
      <c r="H79" s="10"/>
      <c r="I79" s="11">
        <f>VLOOKUP(G79,$A$6:$C$32,3,FALSE)</f>
        <v>0.74032926558326839</v>
      </c>
      <c r="J79" s="12" t="s">
        <v>6</v>
      </c>
      <c r="K79" s="13">
        <f>I79/I80</f>
        <v>3.6375072506822796</v>
      </c>
      <c r="L79" s="14" t="s">
        <v>7</v>
      </c>
      <c r="M79" s="15">
        <f>K79</f>
        <v>3.6375072506822796</v>
      </c>
    </row>
    <row r="80" spans="6:13" x14ac:dyDescent="0.25">
      <c r="G80" s="9" t="s">
        <v>40</v>
      </c>
      <c r="H80" s="10"/>
      <c r="I80" s="11">
        <f>VLOOKUP(G80,$A$6:$D$32,3,FALSE)</f>
        <v>0.20352654017236843</v>
      </c>
      <c r="J80" s="19"/>
      <c r="K80" s="20"/>
      <c r="L80" s="21"/>
      <c r="M80" s="22"/>
    </row>
  </sheetData>
  <mergeCells count="133">
    <mergeCell ref="G78:M78"/>
    <mergeCell ref="G79:H79"/>
    <mergeCell ref="J79:J80"/>
    <mergeCell ref="K79:K80"/>
    <mergeCell ref="L79:L80"/>
    <mergeCell ref="M79:M80"/>
    <mergeCell ref="G80:H80"/>
    <mergeCell ref="G74:M74"/>
    <mergeCell ref="G75:H75"/>
    <mergeCell ref="J75:J76"/>
    <mergeCell ref="K75:K76"/>
    <mergeCell ref="L75:L76"/>
    <mergeCell ref="M75:M76"/>
    <mergeCell ref="G76:H76"/>
    <mergeCell ref="G70:M70"/>
    <mergeCell ref="G71:H71"/>
    <mergeCell ref="J71:J72"/>
    <mergeCell ref="K71:K72"/>
    <mergeCell ref="L71:L72"/>
    <mergeCell ref="M71:M72"/>
    <mergeCell ref="G72:H72"/>
    <mergeCell ref="G66:M66"/>
    <mergeCell ref="G67:H67"/>
    <mergeCell ref="J67:J68"/>
    <mergeCell ref="K67:K68"/>
    <mergeCell ref="L67:L68"/>
    <mergeCell ref="M67:M68"/>
    <mergeCell ref="G68:H68"/>
    <mergeCell ref="G62:M62"/>
    <mergeCell ref="G63:H63"/>
    <mergeCell ref="J63:J64"/>
    <mergeCell ref="K63:K64"/>
    <mergeCell ref="L63:L64"/>
    <mergeCell ref="M63:M64"/>
    <mergeCell ref="G64:H64"/>
    <mergeCell ref="G58:M58"/>
    <mergeCell ref="G59:H59"/>
    <mergeCell ref="J59:J60"/>
    <mergeCell ref="K59:K60"/>
    <mergeCell ref="L59:L60"/>
    <mergeCell ref="M59:M60"/>
    <mergeCell ref="G60:H60"/>
    <mergeCell ref="G54:M54"/>
    <mergeCell ref="G55:H55"/>
    <mergeCell ref="J55:J56"/>
    <mergeCell ref="K55:K56"/>
    <mergeCell ref="L55:L56"/>
    <mergeCell ref="M55:M56"/>
    <mergeCell ref="G56:H56"/>
    <mergeCell ref="G50:M50"/>
    <mergeCell ref="G51:H51"/>
    <mergeCell ref="J51:J52"/>
    <mergeCell ref="K51:K52"/>
    <mergeCell ref="L51:L52"/>
    <mergeCell ref="M51:M52"/>
    <mergeCell ref="G52:H52"/>
    <mergeCell ref="G45:M45"/>
    <mergeCell ref="G46:H46"/>
    <mergeCell ref="J46:J47"/>
    <mergeCell ref="K46:K47"/>
    <mergeCell ref="L46:L47"/>
    <mergeCell ref="M46:M47"/>
    <mergeCell ref="G47:H47"/>
    <mergeCell ref="G41:M41"/>
    <mergeCell ref="G42:H42"/>
    <mergeCell ref="J42:J43"/>
    <mergeCell ref="K42:K43"/>
    <mergeCell ref="L42:L43"/>
    <mergeCell ref="M42:M43"/>
    <mergeCell ref="G43:H43"/>
    <mergeCell ref="G37:M37"/>
    <mergeCell ref="G38:H38"/>
    <mergeCell ref="J38:J39"/>
    <mergeCell ref="K38:K39"/>
    <mergeCell ref="L38:L39"/>
    <mergeCell ref="M38:M39"/>
    <mergeCell ref="G39:H39"/>
    <mergeCell ref="G33:M33"/>
    <mergeCell ref="G34:H34"/>
    <mergeCell ref="J34:J35"/>
    <mergeCell ref="K34:K35"/>
    <mergeCell ref="L34:L35"/>
    <mergeCell ref="M34:M35"/>
    <mergeCell ref="G35:H35"/>
    <mergeCell ref="G29:M29"/>
    <mergeCell ref="G30:H30"/>
    <mergeCell ref="J30:J31"/>
    <mergeCell ref="K30:K31"/>
    <mergeCell ref="L30:L31"/>
    <mergeCell ref="M30:M31"/>
    <mergeCell ref="G31:H31"/>
    <mergeCell ref="G25:M25"/>
    <mergeCell ref="G26:H26"/>
    <mergeCell ref="J26:J27"/>
    <mergeCell ref="K26:K27"/>
    <mergeCell ref="L26:L27"/>
    <mergeCell ref="M26:M27"/>
    <mergeCell ref="G27:H27"/>
    <mergeCell ref="G21:M21"/>
    <mergeCell ref="G22:H22"/>
    <mergeCell ref="J22:J23"/>
    <mergeCell ref="K22:K23"/>
    <mergeCell ref="L22:L23"/>
    <mergeCell ref="M22:M23"/>
    <mergeCell ref="G23:H23"/>
    <mergeCell ref="G17:M17"/>
    <mergeCell ref="G18:H18"/>
    <mergeCell ref="J18:J19"/>
    <mergeCell ref="K18:K19"/>
    <mergeCell ref="L18:L19"/>
    <mergeCell ref="M18:M19"/>
    <mergeCell ref="G19:H19"/>
    <mergeCell ref="G13:M13"/>
    <mergeCell ref="G14:H14"/>
    <mergeCell ref="J14:J15"/>
    <mergeCell ref="K14:K15"/>
    <mergeCell ref="L14:L15"/>
    <mergeCell ref="M14:M15"/>
    <mergeCell ref="G15:H15"/>
    <mergeCell ref="G9:M9"/>
    <mergeCell ref="G10:H10"/>
    <mergeCell ref="J10:J11"/>
    <mergeCell ref="K10:K11"/>
    <mergeCell ref="L10:L11"/>
    <mergeCell ref="M10:M11"/>
    <mergeCell ref="G11:H11"/>
    <mergeCell ref="G5:M5"/>
    <mergeCell ref="G6:H6"/>
    <mergeCell ref="J6:J7"/>
    <mergeCell ref="K6:K7"/>
    <mergeCell ref="L6:L7"/>
    <mergeCell ref="M6:M7"/>
    <mergeCell ref="G7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D17" sqref="D17"/>
    </sheetView>
  </sheetViews>
  <sheetFormatPr baseColWidth="10" defaultRowHeight="15" x14ac:dyDescent="0.25"/>
  <sheetData>
    <row r="1" spans="1:19" x14ac:dyDescent="0.25">
      <c r="A1" s="39">
        <v>1</v>
      </c>
      <c r="B1" s="39">
        <v>2</v>
      </c>
      <c r="C1" s="39">
        <v>3</v>
      </c>
      <c r="D1" s="39">
        <v>4</v>
      </c>
      <c r="E1" s="39">
        <v>5</v>
      </c>
      <c r="F1" s="39">
        <v>6</v>
      </c>
      <c r="G1" s="39">
        <f>F1+1</f>
        <v>7</v>
      </c>
      <c r="H1" s="39">
        <f t="shared" ref="H1:M1" si="0">G1+1</f>
        <v>8</v>
      </c>
      <c r="I1" s="39">
        <f t="shared" si="0"/>
        <v>9</v>
      </c>
      <c r="J1" s="39">
        <f t="shared" si="0"/>
        <v>10</v>
      </c>
      <c r="K1" s="39">
        <f t="shared" si="0"/>
        <v>11</v>
      </c>
      <c r="L1" s="39">
        <f t="shared" si="0"/>
        <v>12</v>
      </c>
      <c r="M1" s="39">
        <f t="shared" si="0"/>
        <v>13</v>
      </c>
      <c r="N1" s="39">
        <f t="shared" ref="N1:S1" si="1">M1+1</f>
        <v>14</v>
      </c>
      <c r="O1" s="39">
        <f t="shared" si="1"/>
        <v>15</v>
      </c>
      <c r="P1" s="39">
        <f t="shared" si="1"/>
        <v>16</v>
      </c>
      <c r="Q1" s="39">
        <f t="shared" si="1"/>
        <v>17</v>
      </c>
      <c r="R1" s="39">
        <f t="shared" si="1"/>
        <v>18</v>
      </c>
      <c r="S1" s="39">
        <f t="shared" si="1"/>
        <v>19</v>
      </c>
    </row>
    <row r="2" spans="1:19" x14ac:dyDescent="0.25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</row>
    <row r="3" spans="1:19" x14ac:dyDescent="0.25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</row>
    <row r="4" spans="1:19" x14ac:dyDescent="0.25">
      <c r="A4">
        <v>20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</row>
    <row r="5" spans="1:19" x14ac:dyDescent="0.25">
      <c r="A5">
        <v>20</v>
      </c>
      <c r="B5">
        <v>20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20</v>
      </c>
      <c r="P5">
        <v>20</v>
      </c>
      <c r="Q5">
        <v>20</v>
      </c>
      <c r="R5">
        <v>20</v>
      </c>
      <c r="S5">
        <v>20</v>
      </c>
    </row>
    <row r="6" spans="1:19" x14ac:dyDescent="0.25">
      <c r="A6">
        <v>20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20</v>
      </c>
      <c r="P6">
        <v>20</v>
      </c>
      <c r="Q6">
        <v>20</v>
      </c>
      <c r="R6">
        <v>20</v>
      </c>
      <c r="S6">
        <v>20</v>
      </c>
    </row>
    <row r="7" spans="1:19" x14ac:dyDescent="0.25">
      <c r="A7">
        <f t="shared" ref="A7:F7" si="2">SUM(A2:A6)</f>
        <v>100</v>
      </c>
      <c r="B7">
        <f t="shared" si="2"/>
        <v>100</v>
      </c>
      <c r="C7">
        <f t="shared" si="2"/>
        <v>100</v>
      </c>
      <c r="D7">
        <f t="shared" si="2"/>
        <v>100</v>
      </c>
      <c r="E7">
        <f t="shared" si="2"/>
        <v>100</v>
      </c>
      <c r="F7">
        <f t="shared" si="2"/>
        <v>100</v>
      </c>
      <c r="G7">
        <f t="shared" ref="G7" si="3">SUM(G2:G6)</f>
        <v>100</v>
      </c>
      <c r="H7">
        <f t="shared" ref="H7" si="4">SUM(H2:H6)</f>
        <v>100</v>
      </c>
      <c r="I7">
        <f t="shared" ref="I7" si="5">SUM(I2:I6)</f>
        <v>100</v>
      </c>
      <c r="J7">
        <f t="shared" ref="J7" si="6">SUM(J2:J6)</f>
        <v>100</v>
      </c>
      <c r="K7">
        <f t="shared" ref="K7" si="7">SUM(K2:K6)</f>
        <v>100</v>
      </c>
      <c r="L7">
        <f t="shared" ref="L7" si="8">SUM(L2:L6)</f>
        <v>100</v>
      </c>
      <c r="M7">
        <f t="shared" ref="M7" si="9">SUM(M2:M6)</f>
        <v>100</v>
      </c>
      <c r="N7">
        <f t="shared" ref="N7" si="10">SUM(N2:N6)</f>
        <v>100</v>
      </c>
      <c r="O7">
        <f t="shared" ref="O7" si="11">SUM(O2:O6)</f>
        <v>100</v>
      </c>
      <c r="P7">
        <f t="shared" ref="P7" si="12">SUM(P2:P6)</f>
        <v>100</v>
      </c>
      <c r="Q7">
        <f t="shared" ref="Q7" si="13">SUM(Q2:Q6)</f>
        <v>100</v>
      </c>
      <c r="R7">
        <f t="shared" ref="R7:S7" si="14">SUM(R2:R6)</f>
        <v>100</v>
      </c>
      <c r="S7">
        <f t="shared" si="14"/>
        <v>100</v>
      </c>
    </row>
    <row r="10" spans="1:19" x14ac:dyDescent="0.25">
      <c r="A10" s="40">
        <f>Principal!$K$6*100</f>
        <v>47.844008153023985</v>
      </c>
      <c r="B10" s="40">
        <f>Principal!$K$10*100</f>
        <v>52.155991846976015</v>
      </c>
      <c r="C10" s="40">
        <f>Principal!$K$14*100</f>
        <v>17.448038972990464</v>
      </c>
      <c r="D10" s="40">
        <f>Principal!$K$18*100</f>
        <v>8.347841188780361</v>
      </c>
      <c r="E10" s="40">
        <f>Principal!$K$22*100</f>
        <v>109.01258874499102</v>
      </c>
      <c r="F10" s="40">
        <f>Principal!$K$26*100</f>
        <v>52.155991846976015</v>
      </c>
      <c r="G10" s="40">
        <f>Principal!$K$30*100</f>
        <v>186.0805002961811</v>
      </c>
      <c r="H10" s="40">
        <f>Principal!$K$34*100</f>
        <v>-151.64610571902233</v>
      </c>
      <c r="I10" s="40">
        <f>Principal!$K$38*100</f>
        <v>6.0353688759893762E-2</v>
      </c>
      <c r="J10" s="40">
        <f>Principal!$K$42*100</f>
        <v>8.7741598401416923</v>
      </c>
      <c r="K10" s="40">
        <f>Principal!$K$46*100</f>
        <v>97.905753848314703</v>
      </c>
      <c r="L10" s="40">
        <f>Principal!$K$51*100</f>
        <v>142.26310578617682</v>
      </c>
      <c r="M10" s="40">
        <f>Principal!$K$55*100</f>
        <v>0</v>
      </c>
      <c r="N10" s="40">
        <f>Principal!$K$59*100</f>
        <v>7.1082893457872514</v>
      </c>
      <c r="O10" s="40">
        <f>Principal!$K$63*100</f>
        <v>74.032926558326835</v>
      </c>
      <c r="P10" s="40">
        <f>Principal!$K$67*100</f>
        <v>20.352654017236844</v>
      </c>
      <c r="Q10" s="40" t="e">
        <f>Principal!$K$71*100</f>
        <v>#DIV/0!</v>
      </c>
      <c r="R10" s="40">
        <f>Principal!$K$75*100</f>
        <v>7.3548302068773372</v>
      </c>
      <c r="S10" s="40">
        <f>Principal!$K$79*100</f>
        <v>363.75072506822795</v>
      </c>
    </row>
    <row r="12" spans="1:19" x14ac:dyDescent="0.25">
      <c r="A12">
        <f t="shared" ref="A12:F12" si="15">A10-A13/2</f>
        <v>46.344008153023985</v>
      </c>
      <c r="B12">
        <f t="shared" si="15"/>
        <v>50.655991846976015</v>
      </c>
      <c r="C12">
        <f t="shared" si="15"/>
        <v>15.948038972990464</v>
      </c>
      <c r="D12">
        <f t="shared" si="15"/>
        <v>6.847841188780361</v>
      </c>
      <c r="E12">
        <f t="shared" si="15"/>
        <v>107.51258874499102</v>
      </c>
      <c r="F12">
        <f t="shared" si="15"/>
        <v>50.655991846976015</v>
      </c>
      <c r="G12">
        <f t="shared" ref="G12" si="16">G10-G13/2</f>
        <v>184.5805002961811</v>
      </c>
      <c r="H12">
        <f t="shared" ref="H12" si="17">H10-H13/2</f>
        <v>-153.14610571902233</v>
      </c>
      <c r="I12">
        <f t="shared" ref="I12" si="18">I10-I13/2</f>
        <v>-1.4396463112401063</v>
      </c>
      <c r="J12">
        <f t="shared" ref="J12" si="19">J10-J13/2</f>
        <v>7.2741598401416923</v>
      </c>
      <c r="K12">
        <f t="shared" ref="K12" si="20">K10-K13/2</f>
        <v>96.405753848314703</v>
      </c>
      <c r="L12">
        <f t="shared" ref="L12" si="21">L10-L13/2</f>
        <v>140.76310578617682</v>
      </c>
      <c r="M12">
        <f t="shared" ref="M12" si="22">M10-M13/2</f>
        <v>-1.5</v>
      </c>
      <c r="N12">
        <f t="shared" ref="N12" si="23">N10-N13/2</f>
        <v>5.6082893457872514</v>
      </c>
      <c r="O12">
        <f t="shared" ref="O12" si="24">O10-O13/2</f>
        <v>72.532926558326835</v>
      </c>
      <c r="P12">
        <f t="shared" ref="P12" si="25">P10-P13/2</f>
        <v>18.852654017236844</v>
      </c>
      <c r="Q12" t="e">
        <f t="shared" ref="Q12" si="26">Q10-Q13/2</f>
        <v>#DIV/0!</v>
      </c>
      <c r="R12">
        <f t="shared" ref="R12:S12" si="27">R10-R13/2</f>
        <v>5.8548302068773372</v>
      </c>
      <c r="S12">
        <f t="shared" si="27"/>
        <v>362.25072506822795</v>
      </c>
    </row>
    <row r="13" spans="1:19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</row>
    <row r="14" spans="1:19" x14ac:dyDescent="0.25">
      <c r="A14">
        <f t="shared" ref="A14:F14" si="28">SUM(A2:A7)-A12-A13</f>
        <v>150.65599184697601</v>
      </c>
      <c r="B14">
        <f t="shared" si="28"/>
        <v>146.34400815302399</v>
      </c>
      <c r="C14">
        <f t="shared" si="28"/>
        <v>181.05196102700953</v>
      </c>
      <c r="D14">
        <f t="shared" si="28"/>
        <v>190.15215881121964</v>
      </c>
      <c r="E14">
        <f t="shared" si="28"/>
        <v>89.487411255008979</v>
      </c>
      <c r="F14">
        <f t="shared" si="28"/>
        <v>146.34400815302399</v>
      </c>
      <c r="G14">
        <f t="shared" ref="G14" si="29">SUM(G2:G7)-G12-G13</f>
        <v>12.4194997038189</v>
      </c>
      <c r="H14">
        <f t="shared" ref="H14" si="30">SUM(H2:H7)-H12-H13</f>
        <v>350.14610571902233</v>
      </c>
      <c r="I14">
        <f t="shared" ref="I14" si="31">SUM(I2:I7)-I12-I13</f>
        <v>198.4396463112401</v>
      </c>
      <c r="J14">
        <f t="shared" ref="J14" si="32">SUM(J2:J7)-J12-J13</f>
        <v>189.72584015985831</v>
      </c>
      <c r="K14">
        <f t="shared" ref="K14" si="33">SUM(K2:K7)-K12-K13</f>
        <v>100.5942461516853</v>
      </c>
      <c r="L14">
        <f t="shared" ref="L14" si="34">SUM(L2:L7)-L12-L13</f>
        <v>56.236894213823177</v>
      </c>
      <c r="M14">
        <f t="shared" ref="M14" si="35">SUM(M2:M7)-M12-M13</f>
        <v>198.5</v>
      </c>
      <c r="N14">
        <f t="shared" ref="N14" si="36">SUM(N2:N7)-N12-N13</f>
        <v>191.39171065421274</v>
      </c>
      <c r="O14">
        <f t="shared" ref="O14" si="37">SUM(O2:O7)-O12-O13</f>
        <v>124.46707344167316</v>
      </c>
      <c r="P14">
        <f t="shared" ref="P14" si="38">SUM(P2:P7)-P12-P13</f>
        <v>178.14734598276317</v>
      </c>
      <c r="Q14" t="e">
        <f t="shared" ref="Q14" si="39">SUM(Q2:Q7)-Q12-Q13</f>
        <v>#DIV/0!</v>
      </c>
      <c r="R14">
        <f t="shared" ref="R14:S14" si="40">SUM(R2:R7)-R12-R13</f>
        <v>191.14516979312268</v>
      </c>
      <c r="S14">
        <f t="shared" si="40"/>
        <v>-165.25072506822795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Cálculos de 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2024-07-27T17:41:45Z</dcterms:created>
  <dcterms:modified xsi:type="dcterms:W3CDTF">2024-07-27T18:17:26Z</dcterms:modified>
</cp:coreProperties>
</file>