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is\Gerardo Reyes Varela\"/>
    </mc:Choice>
  </mc:AlternateContent>
  <xr:revisionPtr revIDLastSave="0" documentId="13_ncr:1_{33C2C784-50A3-4F57-AFB6-106C5EE08F97}" xr6:coauthVersionLast="45" xr6:coauthVersionMax="45" xr10:uidLastSave="{00000000-0000-0000-0000-000000000000}"/>
  <bookViews>
    <workbookView xWindow="-110" yWindow="-110" windowWidth="19420" windowHeight="10420" xr2:uid="{8009AC2D-5645-4B3D-9885-2219519E71CB}"/>
  </bookViews>
  <sheets>
    <sheet name="Escenarios" sheetId="3" r:id="rId1"/>
    <sheet name="Valor de Muertes Evitadas" sheetId="1" r:id="rId2"/>
    <sheet name="Beneficio Cos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" l="1"/>
  <c r="B17" i="1"/>
  <c r="B18" i="1"/>
  <c r="B19" i="1"/>
  <c r="B20" i="1"/>
  <c r="B21" i="1"/>
  <c r="B22" i="1"/>
  <c r="B16" i="1"/>
  <c r="B11" i="1" l="1"/>
  <c r="D2" i="2"/>
  <c r="C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D3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8" i="2"/>
  <c r="C19" i="2" s="1"/>
  <c r="D19" i="2" l="1"/>
  <c r="E19" i="2"/>
  <c r="I13" i="2"/>
  <c r="I14" i="2"/>
  <c r="I15" i="2"/>
  <c r="I16" i="2"/>
  <c r="I3" i="2"/>
  <c r="I4" i="2"/>
  <c r="I5" i="2"/>
  <c r="I6" i="2"/>
  <c r="I7" i="2"/>
  <c r="I8" i="2"/>
  <c r="I9" i="2"/>
  <c r="I10" i="2"/>
  <c r="I11" i="2"/>
  <c r="I12" i="2"/>
  <c r="I2" i="2"/>
  <c r="B6" i="1" l="1"/>
  <c r="B7" i="1" s="1"/>
  <c r="B8" i="1" s="1"/>
  <c r="B9" i="1" s="1"/>
  <c r="B12" i="1" l="1"/>
  <c r="B13" i="1" s="1"/>
  <c r="B7" i="2" s="1"/>
  <c r="C6" i="1" l="1"/>
  <c r="C7" i="1" s="1"/>
  <c r="C8" i="1" s="1"/>
  <c r="C9" i="1" s="1"/>
  <c r="C11" i="1" s="1"/>
  <c r="D6" i="1"/>
  <c r="D7" i="1" s="1"/>
  <c r="D8" i="1" s="1"/>
  <c r="D9" i="1" s="1"/>
  <c r="D11" i="1" s="1"/>
  <c r="E6" i="1"/>
  <c r="E7" i="1" s="1"/>
  <c r="E8" i="1" s="1"/>
  <c r="E9" i="1" s="1"/>
  <c r="E11" i="1" s="1"/>
  <c r="F6" i="1"/>
  <c r="F7" i="1" s="1"/>
  <c r="F8" i="1" s="1"/>
  <c r="F9" i="1" s="1"/>
  <c r="F11" i="1" s="1"/>
  <c r="G6" i="1"/>
  <c r="G7" i="1" s="1"/>
  <c r="G8" i="1" s="1"/>
  <c r="G9" i="1" s="1"/>
  <c r="G11" i="1" s="1"/>
  <c r="H6" i="1"/>
  <c r="H7" i="1" s="1"/>
  <c r="H8" i="1" s="1"/>
  <c r="H9" i="1" s="1"/>
  <c r="H11" i="1" s="1"/>
  <c r="I6" i="1"/>
  <c r="I7" i="1" s="1"/>
  <c r="I8" i="1" s="1"/>
  <c r="I9" i="1" s="1"/>
  <c r="I11" i="1" s="1"/>
  <c r="J6" i="1"/>
  <c r="J7" i="1" s="1"/>
  <c r="J8" i="1" s="1"/>
  <c r="J9" i="1" s="1"/>
  <c r="J11" i="1" s="1"/>
  <c r="K6" i="1"/>
  <c r="K7" i="1" s="1"/>
  <c r="K8" i="1" s="1"/>
  <c r="K9" i="1" s="1"/>
  <c r="K11" i="1" s="1"/>
  <c r="I12" i="1" l="1"/>
  <c r="I13" i="1" s="1"/>
  <c r="B14" i="2" s="1"/>
  <c r="J12" i="1"/>
  <c r="J13" i="1" s="1"/>
  <c r="B15" i="2" s="1"/>
  <c r="G12" i="1"/>
  <c r="G13" i="1" s="1"/>
  <c r="B12" i="2" s="1"/>
  <c r="E12" i="1"/>
  <c r="E13" i="1" s="1"/>
  <c r="B10" i="2" s="1"/>
  <c r="F12" i="1"/>
  <c r="F13" i="1" s="1"/>
  <c r="B11" i="2" s="1"/>
  <c r="D12" i="1"/>
  <c r="D13" i="1" s="1"/>
  <c r="B9" i="2" s="1"/>
  <c r="H12" i="1"/>
  <c r="H13" i="1" s="1"/>
  <c r="B13" i="2" s="1"/>
  <c r="K12" i="1"/>
  <c r="K13" i="1" s="1"/>
  <c r="B16" i="2" s="1"/>
  <c r="C12" i="1"/>
  <c r="C13" i="1" s="1"/>
  <c r="B8" i="2" s="1"/>
  <c r="B19" i="2" l="1"/>
  <c r="B25" i="1" l="1"/>
  <c r="B27" i="1"/>
  <c r="B26" i="1"/>
</calcChain>
</file>

<file path=xl/sharedStrings.xml><?xml version="1.0" encoding="utf-8"?>
<sst xmlns="http://schemas.openxmlformats.org/spreadsheetml/2006/main" count="48" uniqueCount="40">
  <si>
    <t>Km recorridos promedio</t>
  </si>
  <si>
    <t>Parametros</t>
  </si>
  <si>
    <t>Viajes redondos totales</t>
  </si>
  <si>
    <t>Viajes sencillos totales</t>
  </si>
  <si>
    <t>Valor de muertes evitadas USD [Se]</t>
  </si>
  <si>
    <t>Probabilidad de morir</t>
  </si>
  <si>
    <t>VNA (2010)</t>
  </si>
  <si>
    <t>Año</t>
  </si>
  <si>
    <t>Beneficios por muertes evitadas</t>
  </si>
  <si>
    <t>Costo de Inversion</t>
  </si>
  <si>
    <t xml:space="preserve">Costo de Mantenimiento y Operación </t>
  </si>
  <si>
    <t xml:space="preserve">Total de usuarios </t>
  </si>
  <si>
    <t>Predicción de total de usuarios</t>
  </si>
  <si>
    <t>y=34707x - 24544</t>
  </si>
  <si>
    <t>Valor de X</t>
  </si>
  <si>
    <t>Ingresos:  [Usuarios y usuarios predicted * tarifa anual/tipo de cambio]</t>
  </si>
  <si>
    <t>Velocidad promedio (km/hr)</t>
  </si>
  <si>
    <t>VSL México (USD)</t>
  </si>
  <si>
    <t>1-RR</t>
  </si>
  <si>
    <t>Ciclismo de referencia (kms/año)</t>
  </si>
  <si>
    <t>Tasa de descuento</t>
  </si>
  <si>
    <t>Beneficios se manifiestan al año</t>
  </si>
  <si>
    <t>Tipo de cambio 20 pesos por dólar</t>
  </si>
  <si>
    <t>Escenario 1</t>
  </si>
  <si>
    <t>Escenario 2</t>
  </si>
  <si>
    <t>Escenario 3</t>
  </si>
  <si>
    <t>Escenario 4</t>
  </si>
  <si>
    <t>Beneficio-costos (VPN 2010)</t>
  </si>
  <si>
    <t>Ratio Beneficio/Costo Total del proyecto</t>
  </si>
  <si>
    <t>Ratio Beneficio/Costo VSL saved</t>
  </si>
  <si>
    <t>Escenario 5</t>
  </si>
  <si>
    <t>Beneficio en Salud</t>
  </si>
  <si>
    <t>Usuarios totales [Sp]</t>
  </si>
  <si>
    <t xml:space="preserve">Viajes totales </t>
  </si>
  <si>
    <t>Prop. de muertes prevenidas [Spf]</t>
  </si>
  <si>
    <t>Prop de viajes redondos</t>
  </si>
  <si>
    <t>Muertes evitadas [Sb]</t>
  </si>
  <si>
    <t>V. local de ciclismo per cápita(kms) [V]</t>
  </si>
  <si>
    <t xml:space="preserve">V. local de ciclismo agregado(kms) </t>
  </si>
  <si>
    <t>Seleccione escenario (default= Escenario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</si>
</sst>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00_-;\-* #,##0.00000_-;_-* &quot;-&quot;??_-;_-@_-"/>
    <numFmt numFmtId="167" formatCode="_-* #,##0.000_-;\-* #,##0.000_-;_-* &quot;-&quot;??_-;_-@_-"/>
    <numFmt numFmtId="168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 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0" fillId="2" borderId="0" xfId="0" applyFill="1" applyAlignment="1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6" fontId="0" fillId="0" borderId="0" xfId="1" applyNumberFormat="1" applyFont="1"/>
    <xf numFmtId="8" fontId="0" fillId="0" borderId="0" xfId="0" applyNumberFormat="1"/>
    <xf numFmtId="6" fontId="0" fillId="0" borderId="0" xfId="0" applyNumberFormat="1"/>
    <xf numFmtId="0" fontId="4" fillId="0" borderId="0" xfId="2"/>
    <xf numFmtId="0" fontId="0" fillId="3" borderId="0" xfId="0" applyFill="1"/>
    <xf numFmtId="164" fontId="0" fillId="3" borderId="0" xfId="1" applyNumberFormat="1" applyFont="1" applyFill="1"/>
    <xf numFmtId="43" fontId="0" fillId="0" borderId="0" xfId="1" applyFont="1"/>
    <xf numFmtId="0" fontId="0" fillId="0" borderId="0" xfId="0" applyFill="1"/>
    <xf numFmtId="0" fontId="0" fillId="0" borderId="0" xfId="0" applyFont="1" applyFill="1"/>
    <xf numFmtId="164" fontId="0" fillId="0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2" borderId="0" xfId="1" applyNumberFormat="1" applyFont="1" applyFill="1" applyAlignment="1">
      <alignment horizontal="left"/>
    </xf>
    <xf numFmtId="164" fontId="0" fillId="4" borderId="0" xfId="1" applyNumberFormat="1" applyFont="1" applyFill="1" applyAlignment="1">
      <alignment horizontal="left"/>
    </xf>
    <xf numFmtId="167" fontId="0" fillId="4" borderId="0" xfId="1" applyNumberFormat="1" applyFont="1" applyFill="1" applyAlignment="1">
      <alignment horizontal="left"/>
    </xf>
    <xf numFmtId="164" fontId="0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 applyAlignment="1">
      <alignment vertical="center"/>
    </xf>
    <xf numFmtId="2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68" fontId="0" fillId="0" borderId="0" xfId="1" applyNumberFormat="1" applyFont="1" applyFill="1"/>
    <xf numFmtId="166" fontId="0" fillId="0" borderId="0" xfId="1" applyNumberFormat="1" applyFont="1" applyFill="1"/>
    <xf numFmtId="43" fontId="0" fillId="0" borderId="0" xfId="0" applyNumberFormat="1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783C-2832-4394-8607-BF260B51FE86}">
  <dimension ref="A1:F8"/>
  <sheetViews>
    <sheetView tabSelected="1" workbookViewId="0">
      <selection activeCell="A11" sqref="A11"/>
    </sheetView>
  </sheetViews>
  <sheetFormatPr baseColWidth="10" defaultRowHeight="14.5"/>
  <cols>
    <col min="1" max="1" width="34.54296875" bestFit="1" customWidth="1"/>
  </cols>
  <sheetData>
    <row r="1" spans="1:6">
      <c r="A1" s="3" t="s">
        <v>1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30</v>
      </c>
    </row>
    <row r="2" spans="1:6">
      <c r="A2" t="s">
        <v>16</v>
      </c>
      <c r="B2">
        <v>14</v>
      </c>
      <c r="C2">
        <v>14</v>
      </c>
      <c r="D2">
        <v>14</v>
      </c>
      <c r="E2">
        <v>14</v>
      </c>
      <c r="F2">
        <v>14</v>
      </c>
    </row>
    <row r="3" spans="1:6">
      <c r="A3" t="s">
        <v>17</v>
      </c>
      <c r="B3">
        <v>210880</v>
      </c>
      <c r="C3">
        <v>210880</v>
      </c>
      <c r="D3">
        <v>210880</v>
      </c>
      <c r="E3">
        <v>210880</v>
      </c>
      <c r="F3">
        <v>210880</v>
      </c>
    </row>
    <row r="4" spans="1:6">
      <c r="A4" t="s">
        <v>18</v>
      </c>
      <c r="B4">
        <v>0.1</v>
      </c>
      <c r="C4">
        <v>0.28000000000000003</v>
      </c>
      <c r="D4">
        <v>9.9999999999999978E-2</v>
      </c>
      <c r="E4">
        <v>0.28000000000000003</v>
      </c>
      <c r="F4">
        <v>9.9999999999999978E-2</v>
      </c>
    </row>
    <row r="5" spans="1:6">
      <c r="A5" t="s">
        <v>19</v>
      </c>
      <c r="B5">
        <v>1213.3333333333335</v>
      </c>
      <c r="C5">
        <v>1213.3333333333335</v>
      </c>
      <c r="D5">
        <v>1213.3333333333335</v>
      </c>
      <c r="E5">
        <v>1213.3333333333335</v>
      </c>
      <c r="F5">
        <v>5423.5999999999995</v>
      </c>
    </row>
    <row r="6" spans="1:6">
      <c r="A6" t="s">
        <v>21</v>
      </c>
      <c r="B6">
        <v>5</v>
      </c>
      <c r="C6">
        <v>5</v>
      </c>
      <c r="D6">
        <v>5</v>
      </c>
      <c r="E6">
        <v>5</v>
      </c>
      <c r="F6">
        <v>5</v>
      </c>
    </row>
    <row r="7" spans="1:6">
      <c r="A7" t="s">
        <v>20</v>
      </c>
      <c r="B7">
        <v>0.1</v>
      </c>
      <c r="C7">
        <v>0.1</v>
      </c>
      <c r="D7">
        <v>0.05</v>
      </c>
      <c r="E7">
        <v>0.05</v>
      </c>
      <c r="F7">
        <v>0.1</v>
      </c>
    </row>
    <row r="8" spans="1:6">
      <c r="A8" t="s">
        <v>22</v>
      </c>
      <c r="B8">
        <v>15.93</v>
      </c>
      <c r="C8">
        <v>15.93</v>
      </c>
      <c r="D8">
        <v>15.93</v>
      </c>
      <c r="E8">
        <v>15.93</v>
      </c>
      <c r="F8">
        <v>15.93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D91-78D7-49F7-94AA-2CABCB37B86D}">
  <dimension ref="A1:M27"/>
  <sheetViews>
    <sheetView topLeftCell="A10" workbookViewId="0">
      <selection activeCell="B15" sqref="B15"/>
    </sheetView>
  </sheetViews>
  <sheetFormatPr baseColWidth="10" defaultRowHeight="14.5"/>
  <cols>
    <col min="1" max="1" width="38.81640625" customWidth="1"/>
    <col min="2" max="2" width="38.1796875" bestFit="1" customWidth="1"/>
    <col min="3" max="4" width="13.54296875" bestFit="1" customWidth="1"/>
    <col min="5" max="5" width="14.453125" bestFit="1" customWidth="1"/>
    <col min="6" max="11" width="14.36328125" bestFit="1" customWidth="1"/>
  </cols>
  <sheetData>
    <row r="1" spans="1:13">
      <c r="A1" s="2"/>
      <c r="B1" s="2">
        <v>2010</v>
      </c>
      <c r="C1" s="3">
        <v>2011</v>
      </c>
      <c r="D1" s="3">
        <v>2012</v>
      </c>
      <c r="E1" s="3">
        <v>2013</v>
      </c>
      <c r="F1" s="2">
        <v>2014</v>
      </c>
      <c r="G1" s="3">
        <v>2015</v>
      </c>
      <c r="H1" s="3">
        <v>2016</v>
      </c>
      <c r="I1" s="3">
        <v>2017</v>
      </c>
      <c r="J1" s="2">
        <v>2018</v>
      </c>
      <c r="K1" s="3">
        <v>2019</v>
      </c>
    </row>
    <row r="2" spans="1:13">
      <c r="A2" s="13" t="s">
        <v>32</v>
      </c>
      <c r="B2" s="20">
        <v>18985</v>
      </c>
      <c r="C2" s="20">
        <v>18408</v>
      </c>
      <c r="D2" s="20">
        <v>20969</v>
      </c>
      <c r="E2" s="20">
        <v>53573</v>
      </c>
      <c r="F2" s="20">
        <v>34094</v>
      </c>
      <c r="G2" s="20">
        <v>50100</v>
      </c>
      <c r="H2" s="20">
        <v>37703</v>
      </c>
      <c r="I2" s="20">
        <v>32892</v>
      </c>
      <c r="J2" s="20">
        <v>29855</v>
      </c>
      <c r="K2" s="20">
        <v>26724</v>
      </c>
      <c r="L2" s="1"/>
      <c r="M2" s="1"/>
    </row>
    <row r="3" spans="1:13">
      <c r="A3" s="14" t="s">
        <v>33</v>
      </c>
      <c r="B3" s="20">
        <v>852209</v>
      </c>
      <c r="C3" s="21">
        <v>2543881</v>
      </c>
      <c r="D3" s="22">
        <v>2728386</v>
      </c>
      <c r="E3" s="22">
        <v>6431361</v>
      </c>
      <c r="F3" s="22">
        <v>7830328</v>
      </c>
      <c r="G3" s="22">
        <v>9037666</v>
      </c>
      <c r="H3" s="22">
        <v>8897350</v>
      </c>
      <c r="I3" s="22">
        <v>9306325</v>
      </c>
      <c r="J3" s="22">
        <v>8397014</v>
      </c>
      <c r="K3" s="22">
        <v>8087647</v>
      </c>
    </row>
    <row r="4" spans="1:13">
      <c r="A4" s="14" t="s">
        <v>0</v>
      </c>
      <c r="B4" s="23">
        <v>2.9633333333333329</v>
      </c>
      <c r="C4" s="23">
        <v>3.01</v>
      </c>
      <c r="D4" s="23">
        <v>2.87</v>
      </c>
      <c r="E4" s="23">
        <v>2.9866666666666668</v>
      </c>
      <c r="F4" s="23">
        <v>3.01</v>
      </c>
      <c r="G4" s="23">
        <v>3.1266666666666665</v>
      </c>
      <c r="H4" s="23">
        <v>3.1033333333333335</v>
      </c>
      <c r="I4" s="23">
        <v>3.2433333333333332</v>
      </c>
      <c r="J4" s="23">
        <v>3.29</v>
      </c>
      <c r="K4" s="23">
        <v>3.313333333333333</v>
      </c>
    </row>
    <row r="5" spans="1:13">
      <c r="A5" s="14" t="s">
        <v>35</v>
      </c>
      <c r="B5" s="24">
        <v>5.9348410436750945E-2</v>
      </c>
      <c r="C5" s="24">
        <v>4.6276277484672293E-2</v>
      </c>
      <c r="D5" s="24">
        <v>3.8260928977144663E-2</v>
      </c>
      <c r="E5" s="24">
        <v>3.3287044120771873E-2</v>
      </c>
      <c r="F5" s="24">
        <v>2.8829283742861367E-2</v>
      </c>
      <c r="G5" s="24">
        <v>2.8638050079415996E-2</v>
      </c>
      <c r="H5" s="24">
        <v>2.5634436366560771E-2</v>
      </c>
      <c r="I5" s="24">
        <v>2.5451929065561537E-2</v>
      </c>
      <c r="J5" s="24">
        <v>2.882360828781215E-2</v>
      </c>
      <c r="K5" s="24">
        <v>2.9955327250803344E-2</v>
      </c>
    </row>
    <row r="6" spans="1:13">
      <c r="A6" s="14" t="s">
        <v>2</v>
      </c>
      <c r="B6" s="25">
        <f t="shared" ref="B6:K6" si="0">B5*B3</f>
        <v>50577.249509893089</v>
      </c>
      <c r="C6" s="25">
        <f t="shared" si="0"/>
        <v>117721.34304398563</v>
      </c>
      <c r="D6" s="25">
        <f t="shared" si="0"/>
        <v>104390.58296823582</v>
      </c>
      <c r="E6" s="25">
        <f t="shared" si="0"/>
        <v>214080.9973636115</v>
      </c>
      <c r="F6" s="25">
        <f t="shared" si="0"/>
        <v>225742.74771167216</v>
      </c>
      <c r="G6" s="25">
        <f t="shared" si="0"/>
        <v>258821.13150903524</v>
      </c>
      <c r="H6" s="25">
        <f t="shared" si="0"/>
        <v>228078.55240601947</v>
      </c>
      <c r="I6" s="25">
        <f t="shared" si="0"/>
        <v>236863.92376106197</v>
      </c>
      <c r="J6" s="25">
        <f t="shared" si="0"/>
        <v>242032.24232327464</v>
      </c>
      <c r="K6" s="25">
        <f t="shared" si="0"/>
        <v>242268.11257397791</v>
      </c>
    </row>
    <row r="7" spans="1:13">
      <c r="A7" s="14" t="s">
        <v>3</v>
      </c>
      <c r="B7" s="25">
        <f t="shared" ref="B7:K7" si="1">B3-B6</f>
        <v>801631.75049010688</v>
      </c>
      <c r="C7" s="25">
        <f t="shared" si="1"/>
        <v>2426159.6569560142</v>
      </c>
      <c r="D7" s="25">
        <f t="shared" si="1"/>
        <v>2623995.4170317641</v>
      </c>
      <c r="E7" s="25">
        <f t="shared" si="1"/>
        <v>6217280.0026363889</v>
      </c>
      <c r="F7" s="25">
        <f t="shared" si="1"/>
        <v>7604585.2522883276</v>
      </c>
      <c r="G7" s="25">
        <f t="shared" si="1"/>
        <v>8778844.8684909642</v>
      </c>
      <c r="H7" s="25">
        <f t="shared" si="1"/>
        <v>8669271.4475939814</v>
      </c>
      <c r="I7" s="25">
        <f t="shared" si="1"/>
        <v>9069461.0762389377</v>
      </c>
      <c r="J7" s="25">
        <f t="shared" si="1"/>
        <v>8154981.7576767253</v>
      </c>
      <c r="K7" s="25">
        <f t="shared" si="1"/>
        <v>7845378.8874260224</v>
      </c>
    </row>
    <row r="8" spans="1:13">
      <c r="A8" s="13" t="s">
        <v>38</v>
      </c>
      <c r="B8" s="25">
        <f t="shared" ref="B8:K8" si="2">B4*B7+(2*B4*B6)</f>
        <v>2675256.5860476494</v>
      </c>
      <c r="C8" s="25">
        <f t="shared" si="2"/>
        <v>8011423.052562396</v>
      </c>
      <c r="D8" s="25">
        <f t="shared" si="2"/>
        <v>8130068.7931188373</v>
      </c>
      <c r="E8" s="25">
        <f t="shared" si="2"/>
        <v>19847720.098792657</v>
      </c>
      <c r="F8" s="25">
        <f t="shared" si="2"/>
        <v>24248772.950612128</v>
      </c>
      <c r="G8" s="25">
        <f t="shared" si="2"/>
        <v>29067016.431184914</v>
      </c>
      <c r="H8" s="25">
        <f t="shared" si="2"/>
        <v>28319246.607633352</v>
      </c>
      <c r="I8" s="25">
        <f t="shared" si="2"/>
        <v>30951742.742731705</v>
      </c>
      <c r="J8" s="25">
        <f t="shared" si="2"/>
        <v>28422462.137243573</v>
      </c>
      <c r="K8" s="25">
        <f t="shared" si="2"/>
        <v>27599785.406328443</v>
      </c>
    </row>
    <row r="9" spans="1:13">
      <c r="A9" s="13" t="s">
        <v>37</v>
      </c>
      <c r="B9" s="23">
        <f t="shared" ref="B9:K9" si="3">B8/B2</f>
        <v>140.9142262864182</v>
      </c>
      <c r="C9" s="23">
        <f t="shared" si="3"/>
        <v>435.21420320308539</v>
      </c>
      <c r="D9" s="23">
        <f t="shared" si="3"/>
        <v>387.7184793322923</v>
      </c>
      <c r="E9" s="23">
        <f t="shared" si="3"/>
        <v>370.47990776683508</v>
      </c>
      <c r="F9" s="23">
        <f t="shared" si="3"/>
        <v>711.23285477245634</v>
      </c>
      <c r="G9" s="23">
        <f t="shared" si="3"/>
        <v>580.17996868632565</v>
      </c>
      <c r="H9" s="23">
        <f t="shared" si="3"/>
        <v>751.11387973459284</v>
      </c>
      <c r="I9" s="23">
        <f t="shared" si="3"/>
        <v>941.01127151683409</v>
      </c>
      <c r="J9" s="23">
        <f t="shared" si="3"/>
        <v>952.01681920092358</v>
      </c>
      <c r="K9" s="23">
        <f t="shared" si="3"/>
        <v>1032.7714940251626</v>
      </c>
    </row>
    <row r="10" spans="1:13">
      <c r="A10" s="13" t="s">
        <v>5</v>
      </c>
      <c r="B10" s="26">
        <v>5.2417815083646022E-3</v>
      </c>
      <c r="C10" s="26">
        <v>5.1565597044242757E-3</v>
      </c>
      <c r="D10" s="26">
        <v>5.1846744948950384E-3</v>
      </c>
      <c r="E10" s="26">
        <v>5.2987366851714604E-3</v>
      </c>
      <c r="F10" s="26">
        <v>5.315056069542203E-3</v>
      </c>
      <c r="G10" s="26">
        <v>5.4344807646485044E-3</v>
      </c>
      <c r="H10" s="26">
        <v>5.6192399729778015E-3</v>
      </c>
      <c r="I10" s="26">
        <v>5.6978554527530156E-3</v>
      </c>
      <c r="J10" s="26">
        <v>5.7951652472711087E-3</v>
      </c>
      <c r="K10" s="26">
        <v>5.8247381823117285E-3</v>
      </c>
    </row>
    <row r="11" spans="1:13" s="6" customFormat="1">
      <c r="A11" s="27" t="s">
        <v>34</v>
      </c>
      <c r="B11" s="26">
        <f>(B9/$B$19)*$B$18</f>
        <v>1.1613809858770731E-2</v>
      </c>
      <c r="C11" s="26">
        <f t="shared" ref="C11:K11" si="4">(C9/$B$19)*$B$18</f>
        <v>3.5869302461792749E-2</v>
      </c>
      <c r="D11" s="26">
        <f t="shared" si="4"/>
        <v>3.1954819725188925E-2</v>
      </c>
      <c r="E11" s="26">
        <f t="shared" si="4"/>
        <v>3.053405833243146E-2</v>
      </c>
      <c r="F11" s="26">
        <f t="shared" si="4"/>
        <v>5.8618092426301338E-2</v>
      </c>
      <c r="G11" s="26">
        <f t="shared" si="4"/>
        <v>4.781703038623563E-2</v>
      </c>
      <c r="H11" s="26">
        <f t="shared" si="4"/>
        <v>6.1904990088015893E-2</v>
      </c>
      <c r="I11" s="26">
        <f t="shared" si="4"/>
        <v>7.7555874026112692E-2</v>
      </c>
      <c r="J11" s="26">
        <f t="shared" si="4"/>
        <v>7.8462924659416775E-2</v>
      </c>
      <c r="K11" s="26">
        <f t="shared" si="4"/>
        <v>8.5118529727348569E-2</v>
      </c>
    </row>
    <row r="12" spans="1:13">
      <c r="A12" s="13" t="s">
        <v>36</v>
      </c>
      <c r="B12" s="28">
        <f>B11*B10*B2</f>
        <v>1.1557508656215811</v>
      </c>
      <c r="C12" s="28">
        <f t="shared" ref="C12:J12" si="5">C11*C10*C2</f>
        <v>3.4047841720828824</v>
      </c>
      <c r="D12" s="28">
        <f t="shared" si="5"/>
        <v>3.4740461796779112</v>
      </c>
      <c r="E12" s="28">
        <f t="shared" si="5"/>
        <v>8.6676793355346877</v>
      </c>
      <c r="F12" s="28">
        <f t="shared" si="5"/>
        <v>10.622273723909485</v>
      </c>
      <c r="G12" s="28">
        <f t="shared" si="5"/>
        <v>13.019022666016189</v>
      </c>
      <c r="H12" s="28">
        <f t="shared" si="5"/>
        <v>13.115327682051868</v>
      </c>
      <c r="I12" s="28">
        <f t="shared" si="5"/>
        <v>14.535045837270529</v>
      </c>
      <c r="J12" s="28">
        <f t="shared" si="5"/>
        <v>13.575236111508202</v>
      </c>
      <c r="K12" s="28">
        <f>K11*K10*K2</f>
        <v>13.249576143943791</v>
      </c>
    </row>
    <row r="13" spans="1:13" s="13" customFormat="1">
      <c r="A13" s="4" t="s">
        <v>4</v>
      </c>
      <c r="B13" s="5">
        <f>B12*$B$17</f>
        <v>243724.74254227904</v>
      </c>
      <c r="C13" s="5">
        <f t="shared" ref="C13:K13" si="6">C12*$B$17</f>
        <v>718000.8862088382</v>
      </c>
      <c r="D13" s="5">
        <f t="shared" si="6"/>
        <v>732606.85837047792</v>
      </c>
      <c r="E13" s="5">
        <f t="shared" si="6"/>
        <v>1827840.218277555</v>
      </c>
      <c r="F13" s="5">
        <f t="shared" si="6"/>
        <v>2240025.0828980324</v>
      </c>
      <c r="G13" s="5">
        <f t="shared" si="6"/>
        <v>2745451.4998094942</v>
      </c>
      <c r="H13" s="5">
        <f t="shared" si="6"/>
        <v>2765760.3015910978</v>
      </c>
      <c r="I13" s="5">
        <f t="shared" si="6"/>
        <v>3065150.4661636092</v>
      </c>
      <c r="J13" s="5">
        <f t="shared" si="6"/>
        <v>2862745.7911948496</v>
      </c>
      <c r="K13" s="5">
        <f t="shared" si="6"/>
        <v>2794070.6172348666</v>
      </c>
    </row>
    <row r="15" spans="1:13">
      <c r="A15" s="17" t="s">
        <v>1</v>
      </c>
      <c r="B15" s="17" t="s">
        <v>39</v>
      </c>
    </row>
    <row r="16" spans="1:13">
      <c r="A16" s="15" t="s">
        <v>16</v>
      </c>
      <c r="B16" s="15">
        <f>Escenarios!B2</f>
        <v>14</v>
      </c>
    </row>
    <row r="17" spans="1:2">
      <c r="A17" s="16" t="s">
        <v>17</v>
      </c>
      <c r="B17" s="15">
        <f>Escenarios!B3</f>
        <v>210880</v>
      </c>
    </row>
    <row r="18" spans="1:2">
      <c r="A18" s="16" t="s">
        <v>18</v>
      </c>
      <c r="B18" s="15">
        <f>Escenarios!B4</f>
        <v>0.1</v>
      </c>
    </row>
    <row r="19" spans="1:2">
      <c r="A19" s="16" t="s">
        <v>19</v>
      </c>
      <c r="B19" s="15">
        <f>Escenarios!B5</f>
        <v>1213.3333333333335</v>
      </c>
    </row>
    <row r="20" spans="1:2">
      <c r="A20" s="16" t="s">
        <v>21</v>
      </c>
      <c r="B20" s="15">
        <f>Escenarios!B6</f>
        <v>5</v>
      </c>
    </row>
    <row r="21" spans="1:2">
      <c r="A21" s="16" t="s">
        <v>20</v>
      </c>
      <c r="B21" s="15">
        <f>Escenarios!B7</f>
        <v>0.1</v>
      </c>
    </row>
    <row r="22" spans="1:2">
      <c r="A22" s="16" t="s">
        <v>22</v>
      </c>
      <c r="B22" s="15">
        <f>Escenarios!B8</f>
        <v>15.93</v>
      </c>
    </row>
    <row r="23" spans="1:2">
      <c r="A23" s="16"/>
      <c r="B23" s="16"/>
    </row>
    <row r="24" spans="1:2">
      <c r="A24" s="18" t="s">
        <v>27</v>
      </c>
      <c r="B24" s="18">
        <f>SUM('Beneficio Costo'!B19:E19)</f>
        <v>12873797.730759487</v>
      </c>
    </row>
    <row r="25" spans="1:2">
      <c r="A25" s="18" t="s">
        <v>28</v>
      </c>
      <c r="B25" s="19">
        <f>('Beneficio Costo'!B19+'Beneficio Costo'!E19)/('Beneficio Costo'!C19+'Beneficio Costo'!D19)*(-1)</f>
        <v>1.3383618087253508</v>
      </c>
    </row>
    <row r="26" spans="1:2">
      <c r="A26" s="18" t="s">
        <v>29</v>
      </c>
      <c r="B26" s="19">
        <f>'Beneficio Costo'!B19/SUM('Beneficio Costo'!C19:D19)*-1</f>
        <v>0.17453777893342795</v>
      </c>
    </row>
    <row r="27" spans="1:2">
      <c r="A27" s="18" t="s">
        <v>31</v>
      </c>
      <c r="B27" s="18">
        <f>'Beneficio Costo'!B19</f>
        <v>6640714.1835230961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27C-A1AE-4586-9C6E-696440769D71}">
  <dimension ref="A1:K25"/>
  <sheetViews>
    <sheetView workbookViewId="0">
      <selection activeCell="B1" sqref="B1"/>
    </sheetView>
  </sheetViews>
  <sheetFormatPr baseColWidth="10" defaultRowHeight="14.5"/>
  <cols>
    <col min="2" max="2" width="27.6328125" bestFit="1" customWidth="1"/>
    <col min="3" max="3" width="22.54296875" customWidth="1"/>
    <col min="4" max="4" width="23.90625" customWidth="1"/>
    <col min="5" max="5" width="60.54296875" bestFit="1" customWidth="1"/>
    <col min="8" max="9" width="12.08984375" bestFit="1" customWidth="1"/>
  </cols>
  <sheetData>
    <row r="1" spans="1:11">
      <c r="A1" s="10" t="s">
        <v>7</v>
      </c>
      <c r="B1" s="10" t="s">
        <v>8</v>
      </c>
      <c r="C1" s="10" t="s">
        <v>9</v>
      </c>
      <c r="D1" s="10" t="s">
        <v>10</v>
      </c>
      <c r="E1" s="10" t="s">
        <v>15</v>
      </c>
      <c r="H1" t="s">
        <v>11</v>
      </c>
      <c r="I1" t="s">
        <v>12</v>
      </c>
      <c r="J1" t="s">
        <v>14</v>
      </c>
      <c r="K1" t="s">
        <v>13</v>
      </c>
    </row>
    <row r="2" spans="1:11">
      <c r="A2">
        <v>2010</v>
      </c>
      <c r="B2" s="1">
        <v>0</v>
      </c>
      <c r="C2" s="1">
        <f>-75000000/'Valor de Muertes Evitadas'!B22</f>
        <v>-4708097.9284369117</v>
      </c>
      <c r="D2" s="1">
        <f>-32400000/'Valor de Muertes Evitadas'!$B$22</f>
        <v>-2033898.3050847459</v>
      </c>
      <c r="E2" s="1">
        <f>(480/'Valor de Muertes Evitadas'!$B$22)*H2</f>
        <v>572052.73069679854</v>
      </c>
      <c r="H2" s="1">
        <v>18985</v>
      </c>
      <c r="I2" s="1">
        <f>34707*J2-24544</f>
        <v>10163</v>
      </c>
      <c r="J2">
        <v>1</v>
      </c>
    </row>
    <row r="3" spans="1:11">
      <c r="A3">
        <v>2011</v>
      </c>
      <c r="B3" s="1">
        <v>0</v>
      </c>
      <c r="C3" s="1">
        <v>0</v>
      </c>
      <c r="D3" s="1">
        <f>-32400000/'Valor de Muertes Evitadas'!$B$22</f>
        <v>-2033898.3050847459</v>
      </c>
      <c r="E3" s="1">
        <f>(480/'Valor de Muertes Evitadas'!$B$22)*H3</f>
        <v>1126719.3973634653</v>
      </c>
      <c r="H3" s="1">
        <v>37393</v>
      </c>
      <c r="I3" s="1">
        <f t="shared" ref="I3:I16" si="0">34707*J3-24544</f>
        <v>44870</v>
      </c>
      <c r="J3">
        <v>2</v>
      </c>
    </row>
    <row r="4" spans="1:11">
      <c r="A4">
        <v>2012</v>
      </c>
      <c r="B4" s="1">
        <v>0</v>
      </c>
      <c r="C4" s="1">
        <v>0</v>
      </c>
      <c r="D4" s="1">
        <f>-76806000/'Valor de Muertes Evitadas'!$B$22</f>
        <v>-4821468.9265536722</v>
      </c>
      <c r="E4" s="1">
        <f>(480/'Valor de Muertes Evitadas'!$B$22)*H4</f>
        <v>1758553.6723163843</v>
      </c>
      <c r="H4" s="1">
        <v>58362</v>
      </c>
      <c r="I4" s="1">
        <f t="shared" si="0"/>
        <v>79577</v>
      </c>
      <c r="J4">
        <v>3</v>
      </c>
    </row>
    <row r="5" spans="1:11">
      <c r="A5">
        <v>2013</v>
      </c>
      <c r="B5" s="1">
        <v>0</v>
      </c>
      <c r="C5" s="1">
        <v>0</v>
      </c>
      <c r="D5" s="1">
        <f>-76806000/'Valor de Muertes Evitadas'!$B$22</f>
        <v>-4821468.9265536722</v>
      </c>
      <c r="E5" s="1">
        <f>(480/'Valor de Muertes Evitadas'!$B$22)*H5</f>
        <v>3372806.0263653486</v>
      </c>
      <c r="H5" s="1">
        <v>111935</v>
      </c>
      <c r="I5" s="1">
        <f t="shared" si="0"/>
        <v>114284</v>
      </c>
      <c r="J5">
        <v>4</v>
      </c>
    </row>
    <row r="6" spans="1:11">
      <c r="A6">
        <v>2014</v>
      </c>
      <c r="B6" s="1">
        <v>0</v>
      </c>
      <c r="C6" s="1">
        <v>0</v>
      </c>
      <c r="D6" s="1">
        <f>-76806000/'Valor de Muertes Evitadas'!$B$22</f>
        <v>-4821468.9265536722</v>
      </c>
      <c r="E6" s="1">
        <f>(480/'Valor de Muertes Evitadas'!$B$22)*H6</f>
        <v>4400120.5273069683</v>
      </c>
      <c r="H6" s="1">
        <v>146029</v>
      </c>
      <c r="I6" s="1">
        <f t="shared" si="0"/>
        <v>148991</v>
      </c>
      <c r="J6">
        <v>5</v>
      </c>
    </row>
    <row r="7" spans="1:11">
      <c r="A7">
        <v>2015</v>
      </c>
      <c r="B7" s="1">
        <f>'Valor de Muertes Evitadas'!B13</f>
        <v>243724.74254227904</v>
      </c>
      <c r="C7" s="1">
        <v>0</v>
      </c>
      <c r="D7" s="1">
        <f>-76806000/'Valor de Muertes Evitadas'!$B$22</f>
        <v>-4821468.9265536722</v>
      </c>
      <c r="E7" s="1">
        <f>(480/'Valor de Muertes Evitadas'!$B$22)*H7</f>
        <v>5909725.0470809797</v>
      </c>
      <c r="H7" s="1">
        <v>196129</v>
      </c>
      <c r="I7" s="1">
        <f t="shared" si="0"/>
        <v>183698</v>
      </c>
      <c r="J7">
        <v>6</v>
      </c>
    </row>
    <row r="8" spans="1:11">
      <c r="A8">
        <v>2016</v>
      </c>
      <c r="B8" s="1">
        <f>'Valor de Muertes Evitadas'!C13</f>
        <v>718000.8862088382</v>
      </c>
      <c r="C8" s="1">
        <f>-60000000/'Valor de Muertes Evitadas'!B22</f>
        <v>-3766478.3427495291</v>
      </c>
      <c r="D8" s="1">
        <f>-76806000/'Valor de Muertes Evitadas'!$B$22</f>
        <v>-4821468.9265536722</v>
      </c>
      <c r="E8" s="1">
        <f>(480/'Valor de Muertes Evitadas'!$B$22)*H8</f>
        <v>7045785.3107344639</v>
      </c>
      <c r="H8" s="1">
        <v>233832</v>
      </c>
      <c r="I8" s="1">
        <f t="shared" si="0"/>
        <v>218405</v>
      </c>
      <c r="J8">
        <v>7</v>
      </c>
    </row>
    <row r="9" spans="1:11">
      <c r="A9">
        <v>2017</v>
      </c>
      <c r="B9" s="1">
        <f>'Valor de Muertes Evitadas'!D13</f>
        <v>732606.85837047792</v>
      </c>
      <c r="C9" s="1">
        <v>0</v>
      </c>
      <c r="D9" s="1">
        <f>-76806000/'Valor de Muertes Evitadas'!$B$22</f>
        <v>-4821468.9265536722</v>
      </c>
      <c r="E9" s="1">
        <f>(480/'Valor de Muertes Evitadas'!$B$22)*H9</f>
        <v>8036881.3559322041</v>
      </c>
      <c r="H9" s="1">
        <v>266724</v>
      </c>
      <c r="I9" s="1">
        <f t="shared" si="0"/>
        <v>253112</v>
      </c>
      <c r="J9">
        <v>8</v>
      </c>
    </row>
    <row r="10" spans="1:11">
      <c r="A10">
        <v>2018</v>
      </c>
      <c r="B10" s="1">
        <f>'Valor de Muertes Evitadas'!E13</f>
        <v>1827840.218277555</v>
      </c>
      <c r="C10" s="1">
        <v>0</v>
      </c>
      <c r="D10" s="1">
        <f>-76806000/'Valor de Muertes Evitadas'!$B$22</f>
        <v>-4821468.9265536722</v>
      </c>
      <c r="E10" s="1">
        <f>(480/'Valor de Muertes Evitadas'!$B$22)*H10</f>
        <v>8936467.0433145016</v>
      </c>
      <c r="H10" s="1">
        <v>296579</v>
      </c>
      <c r="I10" s="1">
        <f t="shared" si="0"/>
        <v>287819</v>
      </c>
      <c r="J10">
        <v>9</v>
      </c>
    </row>
    <row r="11" spans="1:11">
      <c r="A11">
        <v>2019</v>
      </c>
      <c r="B11" s="1">
        <f>'Valor de Muertes Evitadas'!F13</f>
        <v>2240025.0828980324</v>
      </c>
      <c r="C11" s="1">
        <v>0</v>
      </c>
      <c r="D11" s="1">
        <f>-76806000/'Valor de Muertes Evitadas'!$B$22</f>
        <v>-4821468.9265536722</v>
      </c>
      <c r="E11" s="1">
        <f>(480/'Valor de Muertes Evitadas'!$B$22)*H11</f>
        <v>9741709.9811676089</v>
      </c>
      <c r="H11" s="1">
        <v>323303</v>
      </c>
      <c r="I11" s="1">
        <f t="shared" si="0"/>
        <v>322526</v>
      </c>
      <c r="J11">
        <v>10</v>
      </c>
    </row>
    <row r="12" spans="1:11">
      <c r="A12">
        <v>2020</v>
      </c>
      <c r="B12" s="1">
        <f>'Valor de Muertes Evitadas'!G13</f>
        <v>2745451.4998094942</v>
      </c>
      <c r="C12" s="1">
        <v>0</v>
      </c>
      <c r="D12" s="1">
        <f>-76806000/'Valor de Muertes Evitadas'!$B$22</f>
        <v>-4821468.9265536722</v>
      </c>
      <c r="E12" s="1">
        <f>(480/'Valor de Muertes Evitadas'!$B$22)*H12</f>
        <v>9985868.1732580047</v>
      </c>
      <c r="H12" s="1">
        <v>331406</v>
      </c>
      <c r="I12" s="1">
        <f t="shared" si="0"/>
        <v>357233</v>
      </c>
      <c r="J12">
        <v>11</v>
      </c>
    </row>
    <row r="13" spans="1:11">
      <c r="A13">
        <v>2021</v>
      </c>
      <c r="B13" s="1">
        <f>'Valor de Muertes Evitadas'!H13</f>
        <v>2765760.3015910978</v>
      </c>
      <c r="C13" s="1">
        <v>0</v>
      </c>
      <c r="D13" s="1">
        <f>-76806000/'Valor de Muertes Evitadas'!$B$22</f>
        <v>-4821468.9265536722</v>
      </c>
      <c r="E13" s="1">
        <f>(480/'Valor de Muertes Evitadas'!$B$22)*H13</f>
        <v>11809868.173258005</v>
      </c>
      <c r="H13" s="11">
        <v>391940</v>
      </c>
      <c r="I13" s="11">
        <f>34707*J13-24544</f>
        <v>391940</v>
      </c>
      <c r="J13">
        <v>12</v>
      </c>
    </row>
    <row r="14" spans="1:11">
      <c r="A14">
        <v>2022</v>
      </c>
      <c r="B14" s="1">
        <f>'Valor de Muertes Evitadas'!I13</f>
        <v>3065150.4661636092</v>
      </c>
      <c r="C14" s="1">
        <v>0</v>
      </c>
      <c r="D14" s="1">
        <f>-76806000/'Valor de Muertes Evitadas'!$B$22</f>
        <v>-4821468.9265536722</v>
      </c>
      <c r="E14" s="1">
        <f>(480/'Valor de Muertes Evitadas'!$B$22)*H14</f>
        <v>12855653.483992469</v>
      </c>
      <c r="H14" s="11">
        <v>426647</v>
      </c>
      <c r="I14" s="11">
        <f t="shared" si="0"/>
        <v>426647</v>
      </c>
      <c r="J14">
        <v>13</v>
      </c>
    </row>
    <row r="15" spans="1:11">
      <c r="A15">
        <v>2023</v>
      </c>
      <c r="B15" s="1">
        <f>'Valor de Muertes Evitadas'!J13</f>
        <v>2862745.7911948496</v>
      </c>
      <c r="C15" s="1">
        <v>0</v>
      </c>
      <c r="D15" s="1">
        <f>-76806000/'Valor de Muertes Evitadas'!$B$22</f>
        <v>-4821468.9265536722</v>
      </c>
      <c r="E15" s="1">
        <f>(480/'Valor de Muertes Evitadas'!$B$22)*H15</f>
        <v>13901438.794726931</v>
      </c>
      <c r="H15" s="11">
        <v>461354</v>
      </c>
      <c r="I15" s="11">
        <f t="shared" si="0"/>
        <v>461354</v>
      </c>
      <c r="J15">
        <v>14</v>
      </c>
    </row>
    <row r="16" spans="1:11">
      <c r="A16">
        <v>2024</v>
      </c>
      <c r="B16" s="1">
        <f>'Valor de Muertes Evitadas'!K13</f>
        <v>2794070.6172348666</v>
      </c>
      <c r="C16" s="1">
        <v>0</v>
      </c>
      <c r="D16" s="1">
        <f>-76806000/'Valor de Muertes Evitadas'!$B$22</f>
        <v>-4821468.9265536722</v>
      </c>
      <c r="E16" s="1">
        <f>(480/'Valor de Muertes Evitadas'!$B$22)*H16</f>
        <v>14947224.105461394</v>
      </c>
      <c r="H16" s="11">
        <v>496061</v>
      </c>
      <c r="I16" s="11">
        <f t="shared" si="0"/>
        <v>496061</v>
      </c>
      <c r="J16">
        <v>15</v>
      </c>
    </row>
    <row r="18" spans="1:5">
      <c r="B18" s="7"/>
    </row>
    <row r="19" spans="1:5">
      <c r="A19" t="s">
        <v>6</v>
      </c>
      <c r="B19" s="8">
        <f>NPV('Valor de Muertes Evitadas'!$B$21,B2:B16)</f>
        <v>6640714.1835230961</v>
      </c>
      <c r="C19" s="8">
        <f>NPV('Valor de Muertes Evitadas'!$B$21,C2:C16)</f>
        <v>-6212887.964573795</v>
      </c>
      <c r="D19" s="8">
        <f>NPV('Valor de Muertes Evitadas'!$B$21,D2:D16)</f>
        <v>-31834543.509021338</v>
      </c>
      <c r="E19" s="8">
        <f>NPV('Valor de Muertes Evitadas'!$B$21,E2:E16)</f>
        <v>44280515.020831525</v>
      </c>
    </row>
    <row r="22" spans="1:5">
      <c r="C22" s="9"/>
      <c r="D22" s="9"/>
    </row>
    <row r="25" spans="1:5">
      <c r="D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Valor de Muertes Evitadas</vt:lpstr>
      <vt:lpstr>Beneficio 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2020-07-03T18:17:28Z</dcterms:created>
  <dcterms:modified xsi:type="dcterms:W3CDTF">2020-07-16T00:26:07Z</dcterms:modified>
</cp:coreProperties>
</file>