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orres\Desktop\SOFTYS\Subsidios\2021\Diciembre\LIMA\LIMA 2\MANUAL\"/>
    </mc:Choice>
  </mc:AlternateContent>
  <bookViews>
    <workbookView xWindow="-120" yWindow="-120" windowWidth="20640" windowHeight="11160"/>
  </bookViews>
  <sheets>
    <sheet name="Subsidios" sheetId="1" r:id="rId1"/>
    <sheet name="Detalle" sheetId="2" r:id="rId2"/>
    <sheet name="CORRECCIONES" sheetId="3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Subsidios!$B$5:$AE$202</definedName>
    <definedName name="d">[1]EERR_Consolidado!$T$2:$AE$2</definedName>
    <definedName name="DATA1" localSheetId="1">[2]DATA!#REF!</definedName>
    <definedName name="DATA1" localSheetId="0">[2]DATA!#REF!</definedName>
    <definedName name="DATA1">[2]DATA!#REF!</definedName>
    <definedName name="DATA6" localSheetId="1">[2]DATA!#REF!</definedName>
    <definedName name="DATA6" localSheetId="0">[2]DATA!#REF!</definedName>
    <definedName name="DATA6">[2]DATA!#REF!</definedName>
    <definedName name="DATA7" localSheetId="1">[2]DATA!#REF!</definedName>
    <definedName name="DATA7" localSheetId="0">[2]DATA!#REF!</definedName>
    <definedName name="DATA7">[2]DATA!#REF!</definedName>
    <definedName name="TEST1" localSheetId="1">[3]DATA!#REF!</definedName>
    <definedName name="TEST1" localSheetId="0">[3]DATA!#REF!</definedName>
    <definedName name="TEST1">[3]DATA!#REF!</definedName>
    <definedName name="TEST113" localSheetId="1">#REF!</definedName>
    <definedName name="TEST113" localSheetId="0">#REF!</definedName>
    <definedName name="TEST113">#REF!</definedName>
    <definedName name="TEST114" localSheetId="1">#REF!</definedName>
    <definedName name="TEST114" localSheetId="0">#REF!</definedName>
    <definedName name="TEST114">#REF!</definedName>
    <definedName name="TEST115" localSheetId="1">#REF!</definedName>
    <definedName name="TEST115" localSheetId="0">#REF!</definedName>
    <definedName name="TEST115">#REF!</definedName>
    <definedName name="TEST116" localSheetId="1">#REF!</definedName>
    <definedName name="TEST116" localSheetId="0">#REF!</definedName>
    <definedName name="TEST116">#REF!</definedName>
    <definedName name="TEST117" localSheetId="1">#REF!</definedName>
    <definedName name="TEST117" localSheetId="0">#REF!</definedName>
    <definedName name="TEST117">#REF!</definedName>
    <definedName name="TEST118" localSheetId="1">#REF!</definedName>
    <definedName name="TEST118" localSheetId="0">#REF!</definedName>
    <definedName name="TEST118">#REF!</definedName>
    <definedName name="TEST119" localSheetId="1">#REF!</definedName>
    <definedName name="TEST119" localSheetId="0">#REF!</definedName>
    <definedName name="TEST119">#REF!</definedName>
    <definedName name="TEST120" localSheetId="1">#REF!</definedName>
    <definedName name="TEST120" localSheetId="0">#REF!</definedName>
    <definedName name="TEST120">#REF!</definedName>
    <definedName name="TEST121" localSheetId="1">#REF!</definedName>
    <definedName name="TEST121" localSheetId="0">#REF!</definedName>
    <definedName name="TEST121">#REF!</definedName>
    <definedName name="TEST122" localSheetId="1">#REF!</definedName>
    <definedName name="TEST122" localSheetId="0">#REF!</definedName>
    <definedName name="TEST122">#REF!</definedName>
    <definedName name="TEST123" localSheetId="1">#REF!</definedName>
    <definedName name="TEST123" localSheetId="0">#REF!</definedName>
    <definedName name="TEST123">#REF!</definedName>
    <definedName name="TEST124" localSheetId="1">#REF!</definedName>
    <definedName name="TEST124" localSheetId="0">#REF!</definedName>
    <definedName name="TEST124">#REF!</definedName>
    <definedName name="TEST125" localSheetId="1">#REF!</definedName>
    <definedName name="TEST125" localSheetId="0">#REF!</definedName>
    <definedName name="TEST125">#REF!</definedName>
    <definedName name="TEST126" localSheetId="1">#REF!</definedName>
    <definedName name="TEST126" localSheetId="0">#REF!</definedName>
    <definedName name="TEST126">#REF!</definedName>
    <definedName name="TEST2" localSheetId="1">[3]DATA!#REF!</definedName>
    <definedName name="TEST2" localSheetId="0">[3]DATA!#REF!</definedName>
    <definedName name="TEST2">[3]DATA!#REF!</definedName>
    <definedName name="TEST3" localSheetId="1">[3]DATA!#REF!</definedName>
    <definedName name="TEST3" localSheetId="0">[3]DATA!#REF!</definedName>
    <definedName name="TEST3">[3]DATA!#REF!</definedName>
    <definedName name="TEST31" localSheetId="1">#REF!</definedName>
    <definedName name="TEST31" localSheetId="0">#REF!</definedName>
    <definedName name="TEST31">#REF!</definedName>
    <definedName name="TEST32" localSheetId="1">#REF!</definedName>
    <definedName name="TEST32" localSheetId="0">#REF!</definedName>
    <definedName name="TEST32">#REF!</definedName>
    <definedName name="TEST33" localSheetId="1">#REF!</definedName>
    <definedName name="TEST33" localSheetId="0">#REF!</definedName>
    <definedName name="TEST33">#REF!</definedName>
    <definedName name="TEST34" localSheetId="1">#REF!</definedName>
    <definedName name="TEST34" localSheetId="0">#REF!</definedName>
    <definedName name="TEST34">#REF!</definedName>
    <definedName name="TEST4" localSheetId="1">[3]DATA!#REF!</definedName>
    <definedName name="TEST4" localSheetId="0">[3]DATA!#REF!</definedName>
    <definedName name="TEST4">[3]DATA!#REF!</definedName>
    <definedName name="TEST5" localSheetId="1">[3]DATA!#REF!</definedName>
    <definedName name="TEST5" localSheetId="0">[3]DATA!#REF!</definedName>
    <definedName name="TEST5">[3]DATA!#REF!</definedName>
    <definedName name="TEST6" localSheetId="1">[3]DATA!#REF!</definedName>
    <definedName name="TEST6" localSheetId="0">[3]DATA!#REF!</definedName>
    <definedName name="TEST6">[3]DATA!#REF!</definedName>
    <definedName name="TEST7" localSheetId="1">[3]DATA!#REF!</definedName>
    <definedName name="TEST7" localSheetId="0">[3]DATA!#REF!</definedName>
    <definedName name="TEST7">[3]DATA!#REF!</definedName>
    <definedName name="TEST8" localSheetId="1">[3]DATA!#REF!</definedName>
    <definedName name="TEST8" localSheetId="0">[3]DATA!#REF!</definedName>
    <definedName name="TEST8">[3]DATA!#REF!</definedName>
    <definedName name="Vec_Acum">[4]EERR_Consolidado!$T$2:$AE$2</definedName>
    <definedName name="Vec_Mes">[4]EERR_Consolidado!$T$3:$AE$3</definedName>
    <definedName name="Vec_Mes1">[5]EERR_Consolidado!$T$3:$AE$3</definedName>
    <definedName name="Ven_Mes2">[5]EERR_Consolidado!$T$3:$AE$3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97" i="1" l="1"/>
  <c r="AA192" i="1"/>
  <c r="AA190" i="1"/>
  <c r="AA188" i="1"/>
  <c r="AA184" i="1"/>
  <c r="AA183" i="1"/>
  <c r="AA180" i="1"/>
  <c r="AA178" i="1"/>
  <c r="AA177" i="1"/>
  <c r="AA173" i="1"/>
  <c r="AA171" i="1"/>
  <c r="AA169" i="1"/>
  <c r="AA168" i="1"/>
  <c r="AA167" i="1"/>
  <c r="AA166" i="1"/>
  <c r="AA162" i="1"/>
  <c r="AA156" i="1"/>
  <c r="AA153" i="1"/>
  <c r="AA150" i="1"/>
  <c r="AA145" i="1"/>
  <c r="AA144" i="1"/>
  <c r="AA138" i="1"/>
  <c r="AA130" i="1"/>
  <c r="AA129" i="1"/>
  <c r="AA127" i="1"/>
  <c r="AA125" i="1"/>
  <c r="AA116" i="1"/>
  <c r="AA115" i="1"/>
  <c r="AA113" i="1"/>
  <c r="AA112" i="1"/>
  <c r="AA103" i="1"/>
  <c r="AA102" i="1"/>
  <c r="AA97" i="1"/>
  <c r="AA90" i="1"/>
  <c r="AA87" i="1"/>
  <c r="AA85" i="1"/>
  <c r="AA83" i="1"/>
  <c r="AA79" i="1"/>
  <c r="AA77" i="1"/>
  <c r="AA75" i="1"/>
  <c r="AA73" i="1"/>
  <c r="AA64" i="1"/>
  <c r="AA62" i="1"/>
  <c r="AA60" i="1"/>
  <c r="AA54" i="1"/>
  <c r="AA52" i="1"/>
  <c r="AA48" i="1"/>
  <c r="AA45" i="1"/>
  <c r="AA42" i="1"/>
  <c r="AA37" i="1"/>
  <c r="AA36" i="1"/>
  <c r="AA33" i="1"/>
  <c r="AA31" i="1"/>
  <c r="AA30" i="1"/>
  <c r="AA27" i="1"/>
  <c r="AA26" i="1"/>
  <c r="AA16" i="1"/>
  <c r="AA15" i="1"/>
  <c r="AA13" i="1"/>
  <c r="AA12" i="1"/>
  <c r="AA11" i="1"/>
  <c r="AA10" i="1"/>
  <c r="M4" i="3" l="1"/>
  <c r="R200" i="1" l="1"/>
  <c r="R193" i="1"/>
  <c r="U193" i="1" s="1"/>
  <c r="AB193" i="1" s="1"/>
  <c r="R121" i="1"/>
  <c r="R95" i="1"/>
  <c r="Q193" i="1" l="1"/>
  <c r="U121" i="1"/>
  <c r="AB121" i="1" s="1"/>
  <c r="Q121" i="1"/>
  <c r="U95" i="1"/>
  <c r="AB95" i="1" s="1"/>
  <c r="Q95" i="1"/>
  <c r="U200" i="1"/>
  <c r="AB200" i="1" s="1"/>
  <c r="Q200" i="1"/>
  <c r="Z193" i="1"/>
  <c r="AD193" i="1" s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AD95" i="1" l="1"/>
  <c r="R86" i="1"/>
  <c r="R124" i="1"/>
  <c r="R9" i="1"/>
  <c r="R70" i="1"/>
  <c r="R140" i="1"/>
  <c r="R24" i="1"/>
  <c r="R47" i="1"/>
  <c r="R39" i="1"/>
  <c r="R55" i="1"/>
  <c r="R102" i="1"/>
  <c r="R31" i="1"/>
  <c r="R62" i="1"/>
  <c r="R163" i="1"/>
  <c r="R16" i="1"/>
  <c r="R78" i="1"/>
  <c r="R179" i="1"/>
  <c r="R25" i="1"/>
  <c r="R32" i="1"/>
  <c r="R40" i="1"/>
  <c r="R56" i="1"/>
  <c r="R63" i="1"/>
  <c r="R71" i="1"/>
  <c r="R87" i="1"/>
  <c r="R103" i="1"/>
  <c r="R109" i="1"/>
  <c r="R125" i="1"/>
  <c r="R133" i="1"/>
  <c r="R141" i="1"/>
  <c r="R156" i="1"/>
  <c r="R164" i="1"/>
  <c r="R172" i="1"/>
  <c r="R187" i="1"/>
  <c r="R195" i="1"/>
  <c r="R10" i="1"/>
  <c r="R18" i="1"/>
  <c r="R26" i="1"/>
  <c r="R41" i="1"/>
  <c r="R49" i="1"/>
  <c r="R64" i="1"/>
  <c r="R80" i="1"/>
  <c r="R88" i="1"/>
  <c r="R96" i="1"/>
  <c r="R110" i="1"/>
  <c r="R118" i="1"/>
  <c r="R126" i="1"/>
  <c r="R142" i="1"/>
  <c r="R149" i="1"/>
  <c r="R157" i="1"/>
  <c r="R173" i="1"/>
  <c r="R181" i="1"/>
  <c r="R188" i="1"/>
  <c r="R19" i="1"/>
  <c r="R34" i="1"/>
  <c r="R42" i="1"/>
  <c r="R57" i="1"/>
  <c r="R65" i="1"/>
  <c r="R73" i="1"/>
  <c r="R89" i="1"/>
  <c r="R97" i="1"/>
  <c r="R105" i="1"/>
  <c r="R119" i="1"/>
  <c r="R127" i="1"/>
  <c r="R135" i="1"/>
  <c r="R150" i="1"/>
  <c r="R158" i="1"/>
  <c r="R166" i="1"/>
  <c r="R182" i="1"/>
  <c r="R189" i="1"/>
  <c r="R197" i="1"/>
  <c r="R12" i="1"/>
  <c r="R20" i="1"/>
  <c r="R35" i="1"/>
  <c r="R43" i="1"/>
  <c r="R51" i="1"/>
  <c r="R66" i="1"/>
  <c r="R74" i="1"/>
  <c r="R82" i="1"/>
  <c r="R98" i="1"/>
  <c r="R106" i="1"/>
  <c r="R112" i="1"/>
  <c r="R128" i="1"/>
  <c r="R136" i="1"/>
  <c r="R144" i="1"/>
  <c r="R159" i="1"/>
  <c r="R167" i="1"/>
  <c r="R175" i="1"/>
  <c r="R190" i="1"/>
  <c r="R198" i="1"/>
  <c r="R6" i="1"/>
  <c r="R21" i="1"/>
  <c r="R28" i="1"/>
  <c r="R36" i="1"/>
  <c r="R52" i="1"/>
  <c r="R59" i="1"/>
  <c r="R67" i="1"/>
  <c r="R83" i="1"/>
  <c r="R91" i="1"/>
  <c r="R99" i="1"/>
  <c r="R113" i="1"/>
  <c r="R129" i="1"/>
  <c r="R137" i="1"/>
  <c r="R152" i="1"/>
  <c r="R160" i="1"/>
  <c r="R168" i="1"/>
  <c r="R184" i="1"/>
  <c r="R191" i="1"/>
  <c r="R199" i="1"/>
  <c r="R7" i="1"/>
  <c r="R14" i="1"/>
  <c r="R29" i="1"/>
  <c r="R37" i="1"/>
  <c r="R45" i="1"/>
  <c r="R60" i="1"/>
  <c r="R68" i="1"/>
  <c r="R76" i="1"/>
  <c r="R92" i="1"/>
  <c r="R100" i="1"/>
  <c r="R108" i="1"/>
  <c r="R122" i="1"/>
  <c r="R130" i="1"/>
  <c r="R138" i="1"/>
  <c r="R153" i="1"/>
  <c r="R161" i="1"/>
  <c r="R169" i="1"/>
  <c r="R185" i="1"/>
  <c r="R192" i="1"/>
  <c r="R8" i="1"/>
  <c r="R23" i="1"/>
  <c r="R30" i="1"/>
  <c r="R38" i="1"/>
  <c r="R54" i="1"/>
  <c r="R61" i="1"/>
  <c r="R69" i="1"/>
  <c r="R85" i="1"/>
  <c r="R93" i="1"/>
  <c r="R101" i="1"/>
  <c r="R123" i="1"/>
  <c r="R131" i="1"/>
  <c r="R139" i="1"/>
  <c r="R154" i="1"/>
  <c r="R162" i="1"/>
  <c r="R170" i="1"/>
  <c r="R201" i="1"/>
  <c r="Z200" i="1"/>
  <c r="AD200" i="1" s="1"/>
  <c r="Z121" i="1"/>
  <c r="AD121" i="1" s="1"/>
  <c r="Z95" i="1"/>
  <c r="R186" i="1" l="1"/>
  <c r="R94" i="1"/>
  <c r="R178" i="1"/>
  <c r="R115" i="1"/>
  <c r="R46" i="1"/>
  <c r="R146" i="1"/>
  <c r="R84" i="1"/>
  <c r="R22" i="1"/>
  <c r="R145" i="1"/>
  <c r="R75" i="1"/>
  <c r="R13" i="1"/>
  <c r="R183" i="1"/>
  <c r="R120" i="1"/>
  <c r="R58" i="1"/>
  <c r="R143" i="1"/>
  <c r="R81" i="1"/>
  <c r="R11" i="1"/>
  <c r="R165" i="1"/>
  <c r="R104" i="1"/>
  <c r="R33" i="1"/>
  <c r="R148" i="1"/>
  <c r="R79" i="1"/>
  <c r="R17" i="1"/>
  <c r="R171" i="1"/>
  <c r="R194" i="1"/>
  <c r="R116" i="1"/>
  <c r="R155" i="1"/>
  <c r="R147" i="1"/>
  <c r="R77" i="1"/>
  <c r="R15" i="1"/>
  <c r="R177" i="1"/>
  <c r="R114" i="1"/>
  <c r="R53" i="1"/>
  <c r="R176" i="1"/>
  <c r="R107" i="1"/>
  <c r="R44" i="1"/>
  <c r="R151" i="1"/>
  <c r="R90" i="1"/>
  <c r="R27" i="1"/>
  <c r="R174" i="1"/>
  <c r="R111" i="1"/>
  <c r="R50" i="1"/>
  <c r="R196" i="1"/>
  <c r="R134" i="1"/>
  <c r="R72" i="1"/>
  <c r="R180" i="1"/>
  <c r="R117" i="1"/>
  <c r="R48" i="1"/>
  <c r="R132" i="1"/>
  <c r="U170" i="1"/>
  <c r="AB170" i="1" s="1"/>
  <c r="Q170" i="1"/>
  <c r="U139" i="1"/>
  <c r="AB139" i="1" s="1"/>
  <c r="Q139" i="1"/>
  <c r="U101" i="1"/>
  <c r="AB101" i="1" s="1"/>
  <c r="Q101" i="1"/>
  <c r="U69" i="1"/>
  <c r="AB69" i="1" s="1"/>
  <c r="Q69" i="1"/>
  <c r="U38" i="1"/>
  <c r="AB38" i="1" s="1"/>
  <c r="Q38" i="1"/>
  <c r="U8" i="1"/>
  <c r="AB8" i="1" s="1"/>
  <c r="Q8" i="1"/>
  <c r="U169" i="1"/>
  <c r="AB169" i="1" s="1"/>
  <c r="Q169" i="1"/>
  <c r="U138" i="1"/>
  <c r="AB138" i="1" s="1"/>
  <c r="Q138" i="1"/>
  <c r="U108" i="1"/>
  <c r="AB108" i="1" s="1"/>
  <c r="Q108" i="1"/>
  <c r="U76" i="1"/>
  <c r="AB76" i="1" s="1"/>
  <c r="Q76" i="1"/>
  <c r="U45" i="1"/>
  <c r="AB45" i="1" s="1"/>
  <c r="Q45" i="1"/>
  <c r="Q14" i="1"/>
  <c r="U14" i="1"/>
  <c r="AB14" i="1" s="1"/>
  <c r="U199" i="1"/>
  <c r="AB199" i="1" s="1"/>
  <c r="Q199" i="1"/>
  <c r="U168" i="1"/>
  <c r="AB168" i="1" s="1"/>
  <c r="Q168" i="1"/>
  <c r="U137" i="1"/>
  <c r="AB137" i="1" s="1"/>
  <c r="Q137" i="1"/>
  <c r="U99" i="1"/>
  <c r="AB99" i="1" s="1"/>
  <c r="Q99" i="1"/>
  <c r="U67" i="1"/>
  <c r="AB67" i="1" s="1"/>
  <c r="Q67" i="1"/>
  <c r="U36" i="1"/>
  <c r="AB36" i="1" s="1"/>
  <c r="Q36" i="1"/>
  <c r="U6" i="1"/>
  <c r="AB6" i="1" s="1"/>
  <c r="Q6" i="1"/>
  <c r="U175" i="1"/>
  <c r="AB175" i="1" s="1"/>
  <c r="Q175" i="1"/>
  <c r="U144" i="1"/>
  <c r="AB144" i="1" s="1"/>
  <c r="Q144" i="1"/>
  <c r="U112" i="1"/>
  <c r="AB112" i="1" s="1"/>
  <c r="Q112" i="1"/>
  <c r="U82" i="1"/>
  <c r="AB82" i="1" s="1"/>
  <c r="Q82" i="1"/>
  <c r="U51" i="1"/>
  <c r="AB51" i="1" s="1"/>
  <c r="Q51" i="1"/>
  <c r="U20" i="1"/>
  <c r="AB20" i="1" s="1"/>
  <c r="Q20" i="1"/>
  <c r="U197" i="1"/>
  <c r="AB197" i="1" s="1"/>
  <c r="Q197" i="1"/>
  <c r="U166" i="1"/>
  <c r="AB166" i="1" s="1"/>
  <c r="Q166" i="1"/>
  <c r="U135" i="1"/>
  <c r="AB135" i="1" s="1"/>
  <c r="Q135" i="1"/>
  <c r="U105" i="1"/>
  <c r="AB105" i="1" s="1"/>
  <c r="Q105" i="1"/>
  <c r="Q73" i="1"/>
  <c r="U73" i="1"/>
  <c r="AB73" i="1" s="1"/>
  <c r="U42" i="1"/>
  <c r="AB42" i="1" s="1"/>
  <c r="Q42" i="1"/>
  <c r="U188" i="1"/>
  <c r="AB188" i="1" s="1"/>
  <c r="Q188" i="1"/>
  <c r="U157" i="1"/>
  <c r="AB157" i="1" s="1"/>
  <c r="Q157" i="1"/>
  <c r="U126" i="1"/>
  <c r="AB126" i="1" s="1"/>
  <c r="Q126" i="1"/>
  <c r="U96" i="1"/>
  <c r="AB96" i="1" s="1"/>
  <c r="Q96" i="1"/>
  <c r="U64" i="1"/>
  <c r="AB64" i="1" s="1"/>
  <c r="Q64" i="1"/>
  <c r="U26" i="1"/>
  <c r="AB26" i="1" s="1"/>
  <c r="Q26" i="1"/>
  <c r="U172" i="1"/>
  <c r="AB172" i="1" s="1"/>
  <c r="Q172" i="1"/>
  <c r="U141" i="1"/>
  <c r="AB141" i="1" s="1"/>
  <c r="Q141" i="1"/>
  <c r="U109" i="1"/>
  <c r="AB109" i="1" s="1"/>
  <c r="Q109" i="1"/>
  <c r="U71" i="1"/>
  <c r="AB71" i="1" s="1"/>
  <c r="Q71" i="1"/>
  <c r="U40" i="1"/>
  <c r="AB40" i="1" s="1"/>
  <c r="Q40" i="1"/>
  <c r="U78" i="1"/>
  <c r="AB78" i="1" s="1"/>
  <c r="Q78" i="1"/>
  <c r="U16" i="1"/>
  <c r="AB16" i="1" s="1"/>
  <c r="Q16" i="1"/>
  <c r="U62" i="1"/>
  <c r="AB62" i="1" s="1"/>
  <c r="Q62" i="1"/>
  <c r="U102" i="1"/>
  <c r="AB102" i="1" s="1"/>
  <c r="Q102" i="1"/>
  <c r="U47" i="1"/>
  <c r="AB47" i="1" s="1"/>
  <c r="Q47" i="1"/>
  <c r="U140" i="1"/>
  <c r="AB140" i="1" s="1"/>
  <c r="Q140" i="1"/>
  <c r="U124" i="1"/>
  <c r="AB124" i="1" s="1"/>
  <c r="Q124" i="1"/>
  <c r="U162" i="1"/>
  <c r="AB162" i="1" s="1"/>
  <c r="Q162" i="1"/>
  <c r="U131" i="1"/>
  <c r="AB131" i="1" s="1"/>
  <c r="Q131" i="1"/>
  <c r="U93" i="1"/>
  <c r="AB93" i="1" s="1"/>
  <c r="Q93" i="1"/>
  <c r="Q61" i="1"/>
  <c r="U61" i="1"/>
  <c r="AB61" i="1" s="1"/>
  <c r="U30" i="1"/>
  <c r="AB30" i="1" s="1"/>
  <c r="Q30" i="1"/>
  <c r="U192" i="1"/>
  <c r="AB192" i="1" s="1"/>
  <c r="Q192" i="1"/>
  <c r="U161" i="1"/>
  <c r="AB161" i="1" s="1"/>
  <c r="Q161" i="1"/>
  <c r="U130" i="1"/>
  <c r="AB130" i="1" s="1"/>
  <c r="Q130" i="1"/>
  <c r="U100" i="1"/>
  <c r="AB100" i="1" s="1"/>
  <c r="Q100" i="1"/>
  <c r="U68" i="1"/>
  <c r="AB68" i="1" s="1"/>
  <c r="Q68" i="1"/>
  <c r="U37" i="1"/>
  <c r="AB37" i="1" s="1"/>
  <c r="Q37" i="1"/>
  <c r="U7" i="1"/>
  <c r="AB7" i="1" s="1"/>
  <c r="Q7" i="1"/>
  <c r="U191" i="1"/>
  <c r="AB191" i="1" s="1"/>
  <c r="Q191" i="1"/>
  <c r="U160" i="1"/>
  <c r="AB160" i="1" s="1"/>
  <c r="Q160" i="1"/>
  <c r="U129" i="1"/>
  <c r="AB129" i="1" s="1"/>
  <c r="Q129" i="1"/>
  <c r="U91" i="1"/>
  <c r="AB91" i="1" s="1"/>
  <c r="Q91" i="1"/>
  <c r="U59" i="1"/>
  <c r="AB59" i="1" s="1"/>
  <c r="Q59" i="1"/>
  <c r="U28" i="1"/>
  <c r="AB28" i="1" s="1"/>
  <c r="Q28" i="1"/>
  <c r="U198" i="1"/>
  <c r="AB198" i="1" s="1"/>
  <c r="Q198" i="1"/>
  <c r="U167" i="1"/>
  <c r="AB167" i="1" s="1"/>
  <c r="Q167" i="1"/>
  <c r="U136" i="1"/>
  <c r="AB136" i="1" s="1"/>
  <c r="Q136" i="1"/>
  <c r="U106" i="1"/>
  <c r="AB106" i="1" s="1"/>
  <c r="Q106" i="1"/>
  <c r="U74" i="1"/>
  <c r="AB74" i="1" s="1"/>
  <c r="Q74" i="1"/>
  <c r="U43" i="1"/>
  <c r="AB43" i="1" s="1"/>
  <c r="Q43" i="1"/>
  <c r="U12" i="1"/>
  <c r="AB12" i="1" s="1"/>
  <c r="Q12" i="1"/>
  <c r="U189" i="1"/>
  <c r="AB189" i="1" s="1"/>
  <c r="Q189" i="1"/>
  <c r="U158" i="1"/>
  <c r="AB158" i="1" s="1"/>
  <c r="Q158" i="1"/>
  <c r="U127" i="1"/>
  <c r="AB127" i="1" s="1"/>
  <c r="Q127" i="1"/>
  <c r="U97" i="1"/>
  <c r="AB97" i="1" s="1"/>
  <c r="Q97" i="1"/>
  <c r="U65" i="1"/>
  <c r="AB65" i="1" s="1"/>
  <c r="Q65" i="1"/>
  <c r="Q34" i="1"/>
  <c r="U34" i="1"/>
  <c r="AB34" i="1" s="1"/>
  <c r="U181" i="1"/>
  <c r="AB181" i="1" s="1"/>
  <c r="Q181" i="1"/>
  <c r="U149" i="1"/>
  <c r="AB149" i="1" s="1"/>
  <c r="Q149" i="1"/>
  <c r="U118" i="1"/>
  <c r="AB118" i="1" s="1"/>
  <c r="Q118" i="1"/>
  <c r="U88" i="1"/>
  <c r="AB88" i="1" s="1"/>
  <c r="Q88" i="1"/>
  <c r="U49" i="1"/>
  <c r="AB49" i="1" s="1"/>
  <c r="Q49" i="1"/>
  <c r="U18" i="1"/>
  <c r="AB18" i="1" s="1"/>
  <c r="Q18" i="1"/>
  <c r="U195" i="1"/>
  <c r="AB195" i="1" s="1"/>
  <c r="Q195" i="1"/>
  <c r="U164" i="1"/>
  <c r="AB164" i="1" s="1"/>
  <c r="Q164" i="1"/>
  <c r="U133" i="1"/>
  <c r="AB133" i="1" s="1"/>
  <c r="Q133" i="1"/>
  <c r="U103" i="1"/>
  <c r="AB103" i="1" s="1"/>
  <c r="Q103" i="1"/>
  <c r="U63" i="1"/>
  <c r="AB63" i="1" s="1"/>
  <c r="Q63" i="1"/>
  <c r="U32" i="1"/>
  <c r="AB32" i="1" s="1"/>
  <c r="Q32" i="1"/>
  <c r="U31" i="1"/>
  <c r="AB31" i="1" s="1"/>
  <c r="Q31" i="1"/>
  <c r="U55" i="1"/>
  <c r="AB55" i="1" s="1"/>
  <c r="Q55" i="1"/>
  <c r="U24" i="1"/>
  <c r="AB24" i="1" s="1"/>
  <c r="Q24" i="1"/>
  <c r="U70" i="1"/>
  <c r="AB70" i="1" s="1"/>
  <c r="Q70" i="1"/>
  <c r="U86" i="1"/>
  <c r="AB86" i="1" s="1"/>
  <c r="Q86" i="1"/>
  <c r="U201" i="1"/>
  <c r="AB201" i="1" s="1"/>
  <c r="Q201" i="1"/>
  <c r="U154" i="1"/>
  <c r="AB154" i="1" s="1"/>
  <c r="Q154" i="1"/>
  <c r="U123" i="1"/>
  <c r="AB123" i="1" s="1"/>
  <c r="Q123" i="1"/>
  <c r="U85" i="1"/>
  <c r="AB85" i="1" s="1"/>
  <c r="Q85" i="1"/>
  <c r="U54" i="1"/>
  <c r="AB54" i="1" s="1"/>
  <c r="Q54" i="1"/>
  <c r="Q23" i="1"/>
  <c r="U23" i="1"/>
  <c r="AB23" i="1" s="1"/>
  <c r="Q185" i="1"/>
  <c r="U185" i="1"/>
  <c r="AB185" i="1" s="1"/>
  <c r="U153" i="1"/>
  <c r="AB153" i="1" s="1"/>
  <c r="Q153" i="1"/>
  <c r="U122" i="1"/>
  <c r="AB122" i="1" s="1"/>
  <c r="Q122" i="1"/>
  <c r="U92" i="1"/>
  <c r="AB92" i="1" s="1"/>
  <c r="Q92" i="1"/>
  <c r="U60" i="1"/>
  <c r="AB60" i="1" s="1"/>
  <c r="Q60" i="1"/>
  <c r="U29" i="1"/>
  <c r="AB29" i="1" s="1"/>
  <c r="Q29" i="1"/>
  <c r="U184" i="1"/>
  <c r="AB184" i="1" s="1"/>
  <c r="Q184" i="1"/>
  <c r="U152" i="1"/>
  <c r="AB152" i="1" s="1"/>
  <c r="Q152" i="1"/>
  <c r="U113" i="1"/>
  <c r="AB113" i="1" s="1"/>
  <c r="Q113" i="1"/>
  <c r="Q83" i="1"/>
  <c r="U83" i="1"/>
  <c r="AB83" i="1" s="1"/>
  <c r="Q52" i="1"/>
  <c r="U52" i="1"/>
  <c r="AB52" i="1" s="1"/>
  <c r="U21" i="1"/>
  <c r="AB21" i="1" s="1"/>
  <c r="Q21" i="1"/>
  <c r="U190" i="1"/>
  <c r="AB190" i="1" s="1"/>
  <c r="Q190" i="1"/>
  <c r="U159" i="1"/>
  <c r="AB159" i="1" s="1"/>
  <c r="Q159" i="1"/>
  <c r="U128" i="1"/>
  <c r="AB128" i="1" s="1"/>
  <c r="Q128" i="1"/>
  <c r="U98" i="1"/>
  <c r="AB98" i="1" s="1"/>
  <c r="Q98" i="1"/>
  <c r="U66" i="1"/>
  <c r="AB66" i="1" s="1"/>
  <c r="Q66" i="1"/>
  <c r="U35" i="1"/>
  <c r="AB35" i="1" s="1"/>
  <c r="Q35" i="1"/>
  <c r="U182" i="1"/>
  <c r="AB182" i="1" s="1"/>
  <c r="Q182" i="1"/>
  <c r="U150" i="1"/>
  <c r="AB150" i="1" s="1"/>
  <c r="Q150" i="1"/>
  <c r="U119" i="1"/>
  <c r="AB119" i="1" s="1"/>
  <c r="Q119" i="1"/>
  <c r="U89" i="1"/>
  <c r="AB89" i="1" s="1"/>
  <c r="Q89" i="1"/>
  <c r="U57" i="1"/>
  <c r="AB57" i="1" s="1"/>
  <c r="Q57" i="1"/>
  <c r="U19" i="1"/>
  <c r="AB19" i="1" s="1"/>
  <c r="Q19" i="1"/>
  <c r="U173" i="1"/>
  <c r="AB173" i="1" s="1"/>
  <c r="Q173" i="1"/>
  <c r="U142" i="1"/>
  <c r="AB142" i="1" s="1"/>
  <c r="Q142" i="1"/>
  <c r="U110" i="1"/>
  <c r="AB110" i="1" s="1"/>
  <c r="Q110" i="1"/>
  <c r="U80" i="1"/>
  <c r="AB80" i="1" s="1"/>
  <c r="Q80" i="1"/>
  <c r="U41" i="1"/>
  <c r="AB41" i="1" s="1"/>
  <c r="Q41" i="1"/>
  <c r="U10" i="1"/>
  <c r="AB10" i="1" s="1"/>
  <c r="Q10" i="1"/>
  <c r="U187" i="1"/>
  <c r="AB187" i="1" s="1"/>
  <c r="Q187" i="1"/>
  <c r="U156" i="1"/>
  <c r="AB156" i="1" s="1"/>
  <c r="Q156" i="1"/>
  <c r="U125" i="1"/>
  <c r="AB125" i="1" s="1"/>
  <c r="Q125" i="1"/>
  <c r="U87" i="1"/>
  <c r="AB87" i="1" s="1"/>
  <c r="Q87" i="1"/>
  <c r="U56" i="1"/>
  <c r="AB56" i="1" s="1"/>
  <c r="Q56" i="1"/>
  <c r="U25" i="1"/>
  <c r="AB25" i="1" s="1"/>
  <c r="Q25" i="1"/>
  <c r="U179" i="1"/>
  <c r="AB179" i="1" s="1"/>
  <c r="Q179" i="1"/>
  <c r="U163" i="1"/>
  <c r="AB163" i="1" s="1"/>
  <c r="Q163" i="1"/>
  <c r="U39" i="1"/>
  <c r="AB39" i="1" s="1"/>
  <c r="Q39" i="1"/>
  <c r="U9" i="1"/>
  <c r="AB9" i="1" s="1"/>
  <c r="Q9" i="1"/>
  <c r="AD87" i="1" l="1"/>
  <c r="AD7" i="1"/>
  <c r="AD60" i="1"/>
  <c r="AD16" i="1"/>
  <c r="AD69" i="1"/>
  <c r="AD63" i="1"/>
  <c r="AD28" i="1"/>
  <c r="AD96" i="1"/>
  <c r="AD45" i="1"/>
  <c r="AD52" i="1"/>
  <c r="AD65" i="1"/>
  <c r="AD56" i="1"/>
  <c r="AD184" i="1"/>
  <c r="AD112" i="1"/>
  <c r="AD36" i="1"/>
  <c r="AD168" i="1"/>
  <c r="AD9" i="1"/>
  <c r="AD19" i="1"/>
  <c r="AD21" i="1"/>
  <c r="AD68" i="1"/>
  <c r="AD128" i="1"/>
  <c r="AD54" i="1"/>
  <c r="AD55" i="1"/>
  <c r="AD61" i="1"/>
  <c r="AD23" i="1"/>
  <c r="AD29" i="1"/>
  <c r="AD26" i="1"/>
  <c r="AD38" i="1"/>
  <c r="AD43" i="1"/>
  <c r="Z110" i="1"/>
  <c r="AD110" i="1" s="1"/>
  <c r="Z152" i="1"/>
  <c r="AD152" i="1" s="1"/>
  <c r="Z106" i="1"/>
  <c r="AD106" i="1" s="1"/>
  <c r="Z185" i="1"/>
  <c r="AD185" i="1" s="1"/>
  <c r="Z96" i="1"/>
  <c r="Z6" i="1"/>
  <c r="AD6" i="1" s="1"/>
  <c r="Z38" i="1"/>
  <c r="U134" i="1"/>
  <c r="AB134" i="1" s="1"/>
  <c r="Q134" i="1"/>
  <c r="Q174" i="1"/>
  <c r="U174" i="1"/>
  <c r="AB174" i="1" s="1"/>
  <c r="U151" i="1"/>
  <c r="AB151" i="1" s="1"/>
  <c r="Q151" i="1"/>
  <c r="Q176" i="1"/>
  <c r="U176" i="1"/>
  <c r="AB176" i="1" s="1"/>
  <c r="U177" i="1"/>
  <c r="AB177" i="1" s="1"/>
  <c r="Q177" i="1"/>
  <c r="U17" i="1"/>
  <c r="AB17" i="1" s="1"/>
  <c r="Q17" i="1"/>
  <c r="U33" i="1"/>
  <c r="AB33" i="1" s="1"/>
  <c r="Q33" i="1"/>
  <c r="U81" i="1"/>
  <c r="AB81" i="1" s="1"/>
  <c r="Q81" i="1"/>
  <c r="Z63" i="1"/>
  <c r="Z129" i="1"/>
  <c r="AD129" i="1" s="1"/>
  <c r="U155" i="1"/>
  <c r="AB155" i="1" s="1"/>
  <c r="Q155" i="1"/>
  <c r="Z128" i="1"/>
  <c r="Z153" i="1"/>
  <c r="AD153" i="1" s="1"/>
  <c r="Z195" i="1"/>
  <c r="AD195" i="1" s="1"/>
  <c r="Z7" i="1"/>
  <c r="Z14" i="1"/>
  <c r="AD14" i="1" s="1"/>
  <c r="Z61" i="1"/>
  <c r="Z47" i="1"/>
  <c r="AD47" i="1" s="1"/>
  <c r="Z71" i="1"/>
  <c r="AD71" i="1" s="1"/>
  <c r="Z112" i="1"/>
  <c r="Z170" i="1"/>
  <c r="AD170" i="1" s="1"/>
  <c r="Q115" i="1"/>
  <c r="U115" i="1"/>
  <c r="AB115" i="1" s="1"/>
  <c r="Z125" i="1"/>
  <c r="AD125" i="1" s="1"/>
  <c r="Z142" i="1"/>
  <c r="AD142" i="1" s="1"/>
  <c r="Z182" i="1"/>
  <c r="AD182" i="1" s="1"/>
  <c r="Z159" i="1"/>
  <c r="AD159" i="1" s="1"/>
  <c r="Z184" i="1"/>
  <c r="Z55" i="1"/>
  <c r="Z103" i="1"/>
  <c r="AD103" i="1" s="1"/>
  <c r="Z118" i="1"/>
  <c r="AD118" i="1" s="1"/>
  <c r="Z158" i="1"/>
  <c r="AD158" i="1" s="1"/>
  <c r="Z136" i="1"/>
  <c r="AD136" i="1" s="1"/>
  <c r="Z160" i="1"/>
  <c r="AD160" i="1" s="1"/>
  <c r="Z161" i="1"/>
  <c r="AD161" i="1" s="1"/>
  <c r="Z83" i="1"/>
  <c r="AD83" i="1" s="1"/>
  <c r="Z102" i="1"/>
  <c r="AD102" i="1" s="1"/>
  <c r="Z109" i="1"/>
  <c r="AD109" i="1" s="1"/>
  <c r="Z126" i="1"/>
  <c r="AD126" i="1" s="1"/>
  <c r="Z42" i="1"/>
  <c r="AD42" i="1" s="1"/>
  <c r="Z166" i="1"/>
  <c r="AD166" i="1" s="1"/>
  <c r="Z20" i="1"/>
  <c r="AD20" i="1" s="1"/>
  <c r="Z144" i="1"/>
  <c r="AD144" i="1" s="1"/>
  <c r="Z36" i="1"/>
  <c r="Z168" i="1"/>
  <c r="Z45" i="1"/>
  <c r="Z169" i="1"/>
  <c r="AD169" i="1" s="1"/>
  <c r="Z69" i="1"/>
  <c r="U180" i="1"/>
  <c r="AB180" i="1" s="1"/>
  <c r="Q180" i="1"/>
  <c r="U196" i="1"/>
  <c r="AB196" i="1" s="1"/>
  <c r="Q196" i="1"/>
  <c r="U15" i="1"/>
  <c r="AB15" i="1" s="1"/>
  <c r="Q15" i="1"/>
  <c r="U116" i="1"/>
  <c r="AB116" i="1" s="1"/>
  <c r="Q116" i="1"/>
  <c r="U79" i="1"/>
  <c r="AB79" i="1" s="1"/>
  <c r="Q79" i="1"/>
  <c r="U104" i="1"/>
  <c r="AB104" i="1" s="1"/>
  <c r="Q104" i="1"/>
  <c r="Q143" i="1"/>
  <c r="U143" i="1"/>
  <c r="AB143" i="1" s="1"/>
  <c r="U120" i="1"/>
  <c r="AB120" i="1" s="1"/>
  <c r="Q120" i="1"/>
  <c r="Q145" i="1"/>
  <c r="U145" i="1"/>
  <c r="AB145" i="1" s="1"/>
  <c r="U146" i="1"/>
  <c r="AB146" i="1" s="1"/>
  <c r="Q146" i="1"/>
  <c r="U178" i="1"/>
  <c r="AB178" i="1" s="1"/>
  <c r="Q178" i="1"/>
  <c r="Z179" i="1"/>
  <c r="AD179" i="1" s="1"/>
  <c r="Z19" i="1"/>
  <c r="Z21" i="1"/>
  <c r="Z201" i="1"/>
  <c r="AD201" i="1" s="1"/>
  <c r="Z88" i="1"/>
  <c r="AD88" i="1" s="1"/>
  <c r="Z30" i="1"/>
  <c r="AD30" i="1" s="1"/>
  <c r="Z52" i="1"/>
  <c r="Z34" i="1"/>
  <c r="AD34" i="1" s="1"/>
  <c r="Z78" i="1"/>
  <c r="AD78" i="1" s="1"/>
  <c r="Z135" i="1"/>
  <c r="AD135" i="1" s="1"/>
  <c r="Z137" i="1"/>
  <c r="AD137" i="1" s="1"/>
  <c r="Z138" i="1"/>
  <c r="AD138" i="1" s="1"/>
  <c r="U117" i="1"/>
  <c r="AB117" i="1" s="1"/>
  <c r="Q117" i="1"/>
  <c r="U84" i="1"/>
  <c r="AB84" i="1" s="1"/>
  <c r="Q84" i="1"/>
  <c r="Z10" i="1"/>
  <c r="AD10" i="1" s="1"/>
  <c r="Z57" i="1"/>
  <c r="AD57" i="1" s="1"/>
  <c r="Z35" i="1"/>
  <c r="AD35" i="1" s="1"/>
  <c r="Z60" i="1"/>
  <c r="Z85" i="1"/>
  <c r="AD85" i="1" s="1"/>
  <c r="Z12" i="1"/>
  <c r="AD12" i="1" s="1"/>
  <c r="Z28" i="1"/>
  <c r="Z37" i="1"/>
  <c r="AD37" i="1" s="1"/>
  <c r="Z9" i="1"/>
  <c r="Z163" i="1"/>
  <c r="AD163" i="1" s="1"/>
  <c r="Z25" i="1"/>
  <c r="AD25" i="1" s="1"/>
  <c r="Z156" i="1"/>
  <c r="AD156" i="1" s="1"/>
  <c r="Z41" i="1"/>
  <c r="AD41" i="1" s="1"/>
  <c r="Z173" i="1"/>
  <c r="AD173" i="1" s="1"/>
  <c r="Z89" i="1"/>
  <c r="AD89" i="1" s="1"/>
  <c r="Z66" i="1"/>
  <c r="AD66" i="1" s="1"/>
  <c r="Z190" i="1"/>
  <c r="AD190" i="1" s="1"/>
  <c r="Z92" i="1"/>
  <c r="AD92" i="1" s="1"/>
  <c r="Z123" i="1"/>
  <c r="AD123" i="1" s="1"/>
  <c r="Z86" i="1"/>
  <c r="AD86" i="1" s="1"/>
  <c r="Z31" i="1"/>
  <c r="AD31" i="1" s="1"/>
  <c r="Z133" i="1"/>
  <c r="AD133" i="1" s="1"/>
  <c r="Z18" i="1"/>
  <c r="AD18" i="1" s="1"/>
  <c r="Z149" i="1"/>
  <c r="AD149" i="1" s="1"/>
  <c r="Z65" i="1"/>
  <c r="Z189" i="1"/>
  <c r="AD189" i="1" s="1"/>
  <c r="Z43" i="1"/>
  <c r="Z167" i="1"/>
  <c r="AD167" i="1" s="1"/>
  <c r="Z59" i="1"/>
  <c r="AD59" i="1" s="1"/>
  <c r="Z191" i="1"/>
  <c r="AD191" i="1" s="1"/>
  <c r="Z68" i="1"/>
  <c r="Z192" i="1"/>
  <c r="AD192" i="1" s="1"/>
  <c r="Z93" i="1"/>
  <c r="AD93" i="1" s="1"/>
  <c r="Z73" i="1"/>
  <c r="AD73" i="1" s="1"/>
  <c r="Z23" i="1"/>
  <c r="Z124" i="1"/>
  <c r="AD124" i="1" s="1"/>
  <c r="Z62" i="1"/>
  <c r="AD62" i="1" s="1"/>
  <c r="Z141" i="1"/>
  <c r="AD141" i="1" s="1"/>
  <c r="Z26" i="1"/>
  <c r="Z157" i="1"/>
  <c r="AD157" i="1" s="1"/>
  <c r="Z197" i="1"/>
  <c r="AD197" i="1" s="1"/>
  <c r="Z51" i="1"/>
  <c r="AD51" i="1" s="1"/>
  <c r="Z175" i="1"/>
  <c r="AD175" i="1" s="1"/>
  <c r="Z67" i="1"/>
  <c r="AD67" i="1" s="1"/>
  <c r="Z199" i="1"/>
  <c r="AD199" i="1" s="1"/>
  <c r="Z76" i="1"/>
  <c r="AD76" i="1" s="1"/>
  <c r="Z101" i="1"/>
  <c r="AD101" i="1" s="1"/>
  <c r="U132" i="1"/>
  <c r="AB132" i="1" s="1"/>
  <c r="Q132" i="1"/>
  <c r="U50" i="1"/>
  <c r="AB50" i="1" s="1"/>
  <c r="Q50" i="1"/>
  <c r="U27" i="1"/>
  <c r="AB27" i="1" s="1"/>
  <c r="Q27" i="1"/>
  <c r="U44" i="1"/>
  <c r="AB44" i="1" s="1"/>
  <c r="Q44" i="1"/>
  <c r="U53" i="1"/>
  <c r="AB53" i="1" s="1"/>
  <c r="Q53" i="1"/>
  <c r="Q77" i="1"/>
  <c r="U77" i="1"/>
  <c r="AB77" i="1" s="1"/>
  <c r="U194" i="1"/>
  <c r="AB194" i="1" s="1"/>
  <c r="Q194" i="1"/>
  <c r="U148" i="1"/>
  <c r="AB148" i="1" s="1"/>
  <c r="Q148" i="1"/>
  <c r="U165" i="1"/>
  <c r="AB165" i="1" s="1"/>
  <c r="Q165" i="1"/>
  <c r="Q183" i="1"/>
  <c r="U183" i="1"/>
  <c r="AB183" i="1" s="1"/>
  <c r="U94" i="1"/>
  <c r="AB94" i="1" s="1"/>
  <c r="Q94" i="1"/>
  <c r="Z87" i="1"/>
  <c r="Z29" i="1"/>
  <c r="Z130" i="1"/>
  <c r="AD130" i="1" s="1"/>
  <c r="U75" i="1"/>
  <c r="AB75" i="1" s="1"/>
  <c r="Q75" i="1"/>
  <c r="Z56" i="1"/>
  <c r="Z187" i="1"/>
  <c r="AD187" i="1" s="1"/>
  <c r="Z80" i="1"/>
  <c r="AD80" i="1" s="1"/>
  <c r="Z119" i="1"/>
  <c r="AD119" i="1" s="1"/>
  <c r="Z98" i="1"/>
  <c r="AD98" i="1" s="1"/>
  <c r="Z113" i="1"/>
  <c r="AD113" i="1" s="1"/>
  <c r="Z122" i="1"/>
  <c r="AD122" i="1" s="1"/>
  <c r="Z154" i="1"/>
  <c r="AD154" i="1" s="1"/>
  <c r="Z70" i="1"/>
  <c r="AD70" i="1" s="1"/>
  <c r="Z32" i="1"/>
  <c r="AD32" i="1" s="1"/>
  <c r="Z164" i="1"/>
  <c r="AD164" i="1" s="1"/>
  <c r="Z49" i="1"/>
  <c r="AD49" i="1" s="1"/>
  <c r="Z181" i="1"/>
  <c r="AD181" i="1" s="1"/>
  <c r="Z97" i="1"/>
  <c r="AD97" i="1" s="1"/>
  <c r="Z74" i="1"/>
  <c r="AD74" i="1" s="1"/>
  <c r="Z198" i="1"/>
  <c r="AD198" i="1" s="1"/>
  <c r="Z91" i="1"/>
  <c r="AD91" i="1" s="1"/>
  <c r="Z100" i="1"/>
  <c r="AD100" i="1" s="1"/>
  <c r="Z131" i="1"/>
  <c r="AD131" i="1" s="1"/>
  <c r="Z39" i="1"/>
  <c r="AD39" i="1" s="1"/>
  <c r="Z150" i="1"/>
  <c r="AD150" i="1" s="1"/>
  <c r="Z54" i="1"/>
  <c r="Z24" i="1"/>
  <c r="AD24" i="1" s="1"/>
  <c r="Z127" i="1"/>
  <c r="AD127" i="1" s="1"/>
  <c r="Z162" i="1"/>
  <c r="AD162" i="1" s="1"/>
  <c r="U58" i="1"/>
  <c r="AB58" i="1" s="1"/>
  <c r="Q58" i="1"/>
  <c r="Z140" i="1"/>
  <c r="AD140" i="1" s="1"/>
  <c r="Z16" i="1"/>
  <c r="Z40" i="1"/>
  <c r="AD40" i="1" s="1"/>
  <c r="Z172" i="1"/>
  <c r="AD172" i="1" s="1"/>
  <c r="Z64" i="1"/>
  <c r="AD64" i="1" s="1"/>
  <c r="Z188" i="1"/>
  <c r="AD188" i="1" s="1"/>
  <c r="Z105" i="1"/>
  <c r="AD105" i="1" s="1"/>
  <c r="Z82" i="1"/>
  <c r="AD82" i="1" s="1"/>
  <c r="Z99" i="1"/>
  <c r="AD99" i="1" s="1"/>
  <c r="Z108" i="1"/>
  <c r="AD108" i="1" s="1"/>
  <c r="Z8" i="1"/>
  <c r="AD8" i="1" s="1"/>
  <c r="Z139" i="1"/>
  <c r="AD139" i="1" s="1"/>
  <c r="U48" i="1"/>
  <c r="AB48" i="1" s="1"/>
  <c r="Q48" i="1"/>
  <c r="U72" i="1"/>
  <c r="AB72" i="1" s="1"/>
  <c r="Q72" i="1"/>
  <c r="Q111" i="1"/>
  <c r="U111" i="1"/>
  <c r="AB111" i="1" s="1"/>
  <c r="U90" i="1"/>
  <c r="AB90" i="1" s="1"/>
  <c r="Q90" i="1"/>
  <c r="U107" i="1"/>
  <c r="AB107" i="1" s="1"/>
  <c r="Q107" i="1"/>
  <c r="U114" i="1"/>
  <c r="AB114" i="1" s="1"/>
  <c r="Q114" i="1"/>
  <c r="Q147" i="1"/>
  <c r="U147" i="1"/>
  <c r="AB147" i="1" s="1"/>
  <c r="U171" i="1"/>
  <c r="AB171" i="1" s="1"/>
  <c r="Q171" i="1"/>
  <c r="U11" i="1"/>
  <c r="AB11" i="1" s="1"/>
  <c r="Q11" i="1"/>
  <c r="U13" i="1"/>
  <c r="AB13" i="1" s="1"/>
  <c r="Q13" i="1"/>
  <c r="U22" i="1"/>
  <c r="AB22" i="1" s="1"/>
  <c r="Q22" i="1"/>
  <c r="U46" i="1"/>
  <c r="AB46" i="1" s="1"/>
  <c r="Q46" i="1"/>
  <c r="U186" i="1"/>
  <c r="AB186" i="1" s="1"/>
  <c r="Q186" i="1"/>
  <c r="AD72" i="1" l="1"/>
  <c r="AD11" i="1"/>
  <c r="AD75" i="1"/>
  <c r="AD120" i="1"/>
  <c r="AD116" i="1"/>
  <c r="AD171" i="1"/>
  <c r="AD147" i="1"/>
  <c r="AD46" i="1"/>
  <c r="AD148" i="1"/>
  <c r="AD33" i="1"/>
  <c r="Z46" i="1"/>
  <c r="Z11" i="1"/>
  <c r="Z114" i="1"/>
  <c r="AD114" i="1" s="1"/>
  <c r="Z72" i="1"/>
  <c r="Z94" i="1"/>
  <c r="AD94" i="1" s="1"/>
  <c r="Z50" i="1"/>
  <c r="AD50" i="1" s="1"/>
  <c r="Z146" i="1"/>
  <c r="AD146" i="1" s="1"/>
  <c r="Z104" i="1"/>
  <c r="AD104" i="1" s="1"/>
  <c r="Z180" i="1"/>
  <c r="AD180" i="1" s="1"/>
  <c r="Z155" i="1"/>
  <c r="AD155" i="1" s="1"/>
  <c r="Z81" i="1"/>
  <c r="AD81" i="1" s="1"/>
  <c r="Z176" i="1"/>
  <c r="AD176" i="1" s="1"/>
  <c r="Z145" i="1"/>
  <c r="AD145" i="1" s="1"/>
  <c r="Z22" i="1"/>
  <c r="AD22" i="1" s="1"/>
  <c r="Z107" i="1"/>
  <c r="AD107" i="1" s="1"/>
  <c r="Z48" i="1"/>
  <c r="AD48" i="1" s="1"/>
  <c r="Z165" i="1"/>
  <c r="AD165" i="1" s="1"/>
  <c r="Z53" i="1"/>
  <c r="AD53" i="1" s="1"/>
  <c r="Z79" i="1"/>
  <c r="AD79" i="1" s="1"/>
  <c r="Z33" i="1"/>
  <c r="Z151" i="1"/>
  <c r="AD151" i="1" s="1"/>
  <c r="Z115" i="1"/>
  <c r="AD115" i="1" s="1"/>
  <c r="Z174" i="1"/>
  <c r="AD174" i="1" s="1"/>
  <c r="Z77" i="1"/>
  <c r="AD77" i="1" s="1"/>
  <c r="Z13" i="1"/>
  <c r="AD13" i="1" s="1"/>
  <c r="Z171" i="1"/>
  <c r="Z90" i="1"/>
  <c r="AD90" i="1" s="1"/>
  <c r="Z148" i="1"/>
  <c r="Z44" i="1"/>
  <c r="AD44" i="1" s="1"/>
  <c r="Z132" i="1"/>
  <c r="AD132" i="1" s="1"/>
  <c r="Z84" i="1"/>
  <c r="AD84" i="1" s="1"/>
  <c r="Z120" i="1"/>
  <c r="Z116" i="1"/>
  <c r="Z17" i="1"/>
  <c r="AD17" i="1" s="1"/>
  <c r="Z147" i="1"/>
  <c r="Z111" i="1"/>
  <c r="AD111" i="1" s="1"/>
  <c r="Z183" i="1"/>
  <c r="AD183" i="1" s="1"/>
  <c r="Z143" i="1"/>
  <c r="AD143" i="1" s="1"/>
  <c r="Z186" i="1"/>
  <c r="AD186" i="1" s="1"/>
  <c r="Z58" i="1"/>
  <c r="AD58" i="1" s="1"/>
  <c r="Z75" i="1"/>
  <c r="Z194" i="1"/>
  <c r="AD194" i="1" s="1"/>
  <c r="Z27" i="1"/>
  <c r="AD27" i="1" s="1"/>
  <c r="Z117" i="1"/>
  <c r="AD117" i="1" s="1"/>
  <c r="Z178" i="1"/>
  <c r="AD178" i="1" s="1"/>
  <c r="Z15" i="1"/>
  <c r="AD15" i="1" s="1"/>
  <c r="Z196" i="1"/>
  <c r="AD196" i="1" s="1"/>
  <c r="Z177" i="1"/>
  <c r="AD177" i="1" s="1"/>
  <c r="Z134" i="1"/>
  <c r="AD134" i="1" s="1"/>
  <c r="Z202" i="1" l="1"/>
</calcChain>
</file>

<file path=xl/sharedStrings.xml><?xml version="1.0" encoding="utf-8"?>
<sst xmlns="http://schemas.openxmlformats.org/spreadsheetml/2006/main" count="4252" uniqueCount="337">
  <si>
    <t>AÑO</t>
  </si>
  <si>
    <t>*En rojo porque se llega al PVP sin DSCTO, dado el menor COSTO SAP el cliente tiene mayor margen MUP</t>
  </si>
  <si>
    <t>MES</t>
  </si>
  <si>
    <t>ZONA</t>
  </si>
  <si>
    <t>TERRITORIO</t>
  </si>
  <si>
    <t>CLIENTE</t>
  </si>
  <si>
    <t>CODIGO SOLICITANTE</t>
  </si>
  <si>
    <t>CODIGO DESTINATARIO</t>
  </si>
  <si>
    <t>SEGMENTO SOFTYS</t>
  </si>
  <si>
    <t>SUB SEGMENTO SOFTYS</t>
  </si>
  <si>
    <t>RUC   SUB-CLIENTE</t>
  </si>
  <si>
    <t>SUB-CLIENTE</t>
  </si>
  <si>
    <t>NOMBRE COMERCIAL / GRUPO EMPRESARIAL</t>
  </si>
  <si>
    <t>SECTOR</t>
  </si>
  <si>
    <t>COD UNI 2020</t>
  </si>
  <si>
    <t>DESCRIPCIÓN</t>
  </si>
  <si>
    <t>PC SAP FINAL</t>
  </si>
  <si>
    <t>DSCTO %</t>
  </si>
  <si>
    <t>PC SUBSIDIADO</t>
  </si>
  <si>
    <t>MUP</t>
  </si>
  <si>
    <t>PVP S/IGV</t>
  </si>
  <si>
    <t>DSCTO S/.</t>
  </si>
  <si>
    <t>DEST + RUC + SAP</t>
  </si>
  <si>
    <t>INICIO</t>
  </si>
  <si>
    <t>BULTOS ACORDADOS</t>
  </si>
  <si>
    <t>CANTIDAD BULTOS SOFTYS</t>
  </si>
  <si>
    <t>MONTO A RECONOCER S/IGV</t>
  </si>
  <si>
    <t>LIMA</t>
  </si>
  <si>
    <t>06 Sabanillas FDH</t>
  </si>
  <si>
    <t>12 Higiénicos FDH.</t>
  </si>
  <si>
    <t>PH Elite Excellence DH 23 mts x4x12</t>
  </si>
  <si>
    <t>PH Elite Jumbo Classic AHORRO UH 500 mts x1x4</t>
  </si>
  <si>
    <t>PH Elite Jumbo Excellence DH 250 mts x1x6</t>
  </si>
  <si>
    <t>PH Elite Jumbo Plus Blanco UH 550 mts x1x4</t>
  </si>
  <si>
    <t>13 Toallas FDH.</t>
  </si>
  <si>
    <t>PT Elite Interfoliado Plus Blanco DH ST 21.6x21 cm x18x200</t>
  </si>
  <si>
    <t>PT Elite Jumbo Classic Básica UH 200 mts x1x2</t>
  </si>
  <si>
    <t>PT Elite Jumbo Plus Blanca DH 30 mts x8x1</t>
  </si>
  <si>
    <t>14 Servilletas FDH</t>
  </si>
  <si>
    <t>SE Elite Inst. Doblada en 4 Plus UH 30x30 cm x24x100</t>
  </si>
  <si>
    <t>SE Elite Instit. Excellence UH 24x24 cm x24x100</t>
  </si>
  <si>
    <t>67 Paños FDH</t>
  </si>
  <si>
    <t>GASTRONOMÍA</t>
  </si>
  <si>
    <t>CASINOS</t>
  </si>
  <si>
    <t>INDUSTRIAS</t>
  </si>
  <si>
    <t>COMERCIALIZADORA</t>
  </si>
  <si>
    <t>PH Elite Institucional Classic DH 16.5 mts x10x2</t>
  </si>
  <si>
    <t>PT Elite Jumbo Classic Blanca UH 200 mts x1x2</t>
  </si>
  <si>
    <t>58 Jabones FDH</t>
  </si>
  <si>
    <t>Alcohol Elite Gel Multiflex 1000ml x6x1</t>
  </si>
  <si>
    <t>INMOBILIARIA</t>
  </si>
  <si>
    <t>Jabón Elite Espuma 800ml x6x1</t>
  </si>
  <si>
    <t>PT Elite Jumbo Plus Blanca UH 300 mts x1x2</t>
  </si>
  <si>
    <t>PT Elite Jumbo Plus Ecológica UH 300 mts x1x2</t>
  </si>
  <si>
    <t>PH Elite Jumbo Plus Ecológico UH 500 mts x1x4</t>
  </si>
  <si>
    <t>PT Elite Interfoliado Plus Ecológico UH ST 21.6x21 cm x18x250</t>
  </si>
  <si>
    <t>PT Elite Interfoliado Plus Blanco DH XL 21.6x25 cm x18x200</t>
  </si>
  <si>
    <t>Jabón Elite Glicerina Multiflex 1000ml x6x1</t>
  </si>
  <si>
    <t>OFICINAS</t>
  </si>
  <si>
    <t>AGROINDUSTRIAS</t>
  </si>
  <si>
    <t>LIMA 2</t>
  </si>
  <si>
    <t>TEXTILES</t>
  </si>
  <si>
    <t>PH Elite Excellence DH 65 mts x4x8</t>
  </si>
  <si>
    <t>LIMTEK SERVICIOS INTEGRALES SA</t>
  </si>
  <si>
    <t>CONSUMO MASIVO</t>
  </si>
  <si>
    <t>EMPRESAS DE LIMPIEZA</t>
  </si>
  <si>
    <t>PT Elite Jumbo Excellence DH x 200 mts x1x2</t>
  </si>
  <si>
    <t>SERVICIO FINANCIERO</t>
  </si>
  <si>
    <t>EDUCACIÓN</t>
  </si>
  <si>
    <t>MACCHER</t>
  </si>
  <si>
    <t>ASOCIACION CENTROS DE ESPARCIMIENTO DE OFICIALES DE LA BENEMERITA GUARDIA CIVIL DEL PERU</t>
  </si>
  <si>
    <t>ACENESPAR</t>
  </si>
  <si>
    <t>ALICORP SAA</t>
  </si>
  <si>
    <t>ALICORP</t>
  </si>
  <si>
    <t>INTRADEVCO INDUSTRIAL S.A.</t>
  </si>
  <si>
    <t>MASTERBREAD S.A.</t>
  </si>
  <si>
    <t>SERVICIOS LOGISTICOS AUTOMOTRICES S.A.(GRUPO ALICORP)</t>
  </si>
  <si>
    <t>DESARROLLO EDUCATIVO S.A.</t>
  </si>
  <si>
    <t>CERTUS</t>
  </si>
  <si>
    <t>INSTITUCIONES TOULOUSE LAUTREC DE EDUCACION SUPERIOR S.A.C.</t>
  </si>
  <si>
    <t>INVERSIONES EDUCA S.A.</t>
  </si>
  <si>
    <t>SALUD</t>
  </si>
  <si>
    <t>BRITISH AMERICAN HOSPITAL S.A.</t>
  </si>
  <si>
    <t>CLÍNICA ANGLOAMERICANA</t>
  </si>
  <si>
    <t>CULTURAL EDUCACIONAL WINDSOR DEL PERU S.A.C.</t>
  </si>
  <si>
    <t>COLEGIO PERUANO BRITÁNICO</t>
  </si>
  <si>
    <t>CREDITEX S.A.A.</t>
  </si>
  <si>
    <t>CREDITEX</t>
  </si>
  <si>
    <t>TEXGROUP S.A.</t>
  </si>
  <si>
    <t>INVERSIONES CENTENARIO S.A.A.</t>
  </si>
  <si>
    <t>GRUPO CENTENARIO</t>
  </si>
  <si>
    <t>INVERSIONES NUEVA METROPOLI S.A.</t>
  </si>
  <si>
    <t>AUTOMOTRIZ</t>
  </si>
  <si>
    <t>AUTOMOTORES GILDEMEISTER-PERU S.A.</t>
  </si>
  <si>
    <t>GRUPO GILDEMEISTER</t>
  </si>
  <si>
    <t>MAQUINARIA NACIONAL S.A. PERU</t>
  </si>
  <si>
    <t>PALMAS DEL ESPINO S.A.</t>
  </si>
  <si>
    <t>GRUPO PALMAS</t>
  </si>
  <si>
    <t>PALMAS DEL ORIENTE S.A</t>
  </si>
  <si>
    <t>PALMAS DEL SHANUSI S.A</t>
  </si>
  <si>
    <t>RETAIL</t>
  </si>
  <si>
    <t>MULTIMERCADOS ZONALES S.A.</t>
  </si>
  <si>
    <t>MINKA</t>
  </si>
  <si>
    <t>ASOCIACION EDUCACIONAL WILLIAMSON DEL PERU</t>
  </si>
  <si>
    <t>NEWTON COLLEGE</t>
  </si>
  <si>
    <t>COMERCIAL MONT S.A.C.</t>
  </si>
  <si>
    <t>PLATANITOS</t>
  </si>
  <si>
    <t>GAS</t>
  </si>
  <si>
    <t>SOLGAS AMAZONIA S.A.C</t>
  </si>
  <si>
    <t>SOLGAS</t>
  </si>
  <si>
    <t>SOLGAS S.A.</t>
  </si>
  <si>
    <t>A.W. FABER CASTELL PERUANA S.A.</t>
  </si>
  <si>
    <t>AGROINDUSTRIAS AIB S.A.</t>
  </si>
  <si>
    <t>BERRIES DE CHAO SAC</t>
  </si>
  <si>
    <t>BOLSA DE VALORES DE LIMA S.A.A.</t>
  </si>
  <si>
    <t>CLINICA JAVIER PRADO S A</t>
  </si>
  <si>
    <t>CLUB TENNIS LAS TERRAZAS MIRAFLORES</t>
  </si>
  <si>
    <t>COMPANIA MINERA ANTAMINA S.A</t>
  </si>
  <si>
    <t>COMPAÑIA MINERA ANTAPACCAY S.A.</t>
  </si>
  <si>
    <t>CONTACT CENTER FALABELLA SAC</t>
  </si>
  <si>
    <t>ACERO</t>
  </si>
  <si>
    <t>CORPORACION ACEROS AREQUIPA S.A.</t>
  </si>
  <si>
    <t>COUNTRY CLUB DE VILLA</t>
  </si>
  <si>
    <t>EMPRESA SIDERURGICA DEL PERU S.A.A.</t>
  </si>
  <si>
    <t>EULEN DEL PERU DE SERVICIOS COMPLEMENTARIOS S.A.</t>
  </si>
  <si>
    <t>GRUPO NORTE FACILITY PERU S.A.C.</t>
  </si>
  <si>
    <t>HORTIFRUT - PERÚ S.A.C.</t>
  </si>
  <si>
    <t>HORTIFRUT-TAL S.A.C.</t>
  </si>
  <si>
    <t>INDUSTRIAS DEL ESPINO S.A.</t>
  </si>
  <si>
    <t>INDUSTRIAS DEL TULUMAYO S.A.</t>
  </si>
  <si>
    <t>INDUSTRIAS NETTALCO S.A.</t>
  </si>
  <si>
    <t>INNOVA AMBIENTAL S.A.</t>
  </si>
  <si>
    <t>INVERSIONES FISA S.A.</t>
  </si>
  <si>
    <t>IQF DEL PERU S.A.</t>
  </si>
  <si>
    <t>J Y M VIRGEN DEL BUEN PASO S.A.C.</t>
  </si>
  <si>
    <t>MAQUINARIA</t>
  </si>
  <si>
    <t>KOMATSU-MITSUI MAQUINARIAS PERU S.A.</t>
  </si>
  <si>
    <t>LAIVE S A</t>
  </si>
  <si>
    <t>LIMA GAS S A</t>
  </si>
  <si>
    <t>PT Elite Jumbo Excellence DH x 80 mts x1x2</t>
  </si>
  <si>
    <t>TRANSPORTE</t>
  </si>
  <si>
    <t>MACHU PICCHU FOODS S.A.C.</t>
  </si>
  <si>
    <t>NEGOCIACIONES E INVERSIONES DORAL S.A.C.</t>
  </si>
  <si>
    <t>PLUS  PLUS COSMETICA S.A.</t>
  </si>
  <si>
    <t>REFINACIÓN</t>
  </si>
  <si>
    <t>REFINERIA LA PAMPILLA S.A.A</t>
  </si>
  <si>
    <t>SAN MIGUEL FRUITS PERU S.A.</t>
  </si>
  <si>
    <t>SEGURIDAD</t>
  </si>
  <si>
    <t>SECURITAS S.A.C.</t>
  </si>
  <si>
    <t>SERLIMUT S.A.C.</t>
  </si>
  <si>
    <t>SOUTHERN PERU COPPER CORPORATION SUCURSA L DEL PERU</t>
  </si>
  <si>
    <t>STARBRANDS PERU S.A.C.</t>
  </si>
  <si>
    <t>UNIVERSIDAD DE PIURA</t>
  </si>
  <si>
    <t>UNIVERSIDAD MARCELINO CHAMPAGNAT</t>
  </si>
  <si>
    <t>UNIVERSIDAD PERUANA CAYETANO HEREDIA</t>
  </si>
  <si>
    <t>CLINICAS</t>
  </si>
  <si>
    <t>UNIVERSIDADES</t>
  </si>
  <si>
    <t>PH Elite Jumbo Classic Ahorro UH 700 mts x1x4</t>
  </si>
  <si>
    <t>Maxwipe Azul 70 - 88 paños x6x1</t>
  </si>
  <si>
    <t>INSTITUTO NACIONAL DE ENFERMEDADES NEOPLÁSICAS</t>
  </si>
  <si>
    <t>20259829594</t>
  </si>
  <si>
    <t>SOLICITADO POR LA DT</t>
  </si>
  <si>
    <t>361571</t>
  </si>
  <si>
    <t>361444</t>
  </si>
  <si>
    <t>361377</t>
  </si>
  <si>
    <t>361540</t>
  </si>
  <si>
    <t>361531</t>
  </si>
  <si>
    <t>361532</t>
  </si>
  <si>
    <t>361429</t>
  </si>
  <si>
    <t>360442</t>
  </si>
  <si>
    <t>361424</t>
  </si>
  <si>
    <t>361445</t>
  </si>
  <si>
    <t>361085</t>
  </si>
  <si>
    <t>361535</t>
  </si>
  <si>
    <t>361570</t>
  </si>
  <si>
    <t>370042</t>
  </si>
  <si>
    <t>371439</t>
  </si>
  <si>
    <t>361537</t>
  </si>
  <si>
    <t>361533</t>
  </si>
  <si>
    <t>360374</t>
  </si>
  <si>
    <t>360484</t>
  </si>
  <si>
    <t>361530</t>
  </si>
  <si>
    <t>370039</t>
  </si>
  <si>
    <t>361421</t>
  </si>
  <si>
    <t>360975</t>
  </si>
  <si>
    <t>361568</t>
  </si>
  <si>
    <t>361360</t>
  </si>
  <si>
    <t>20140452107</t>
  </si>
  <si>
    <t>20100055237</t>
  </si>
  <si>
    <t>20417378911</t>
  </si>
  <si>
    <t>20557345931</t>
  </si>
  <si>
    <t>20552764804</t>
  </si>
  <si>
    <t>20603817185</t>
  </si>
  <si>
    <t>20520869655</t>
  </si>
  <si>
    <t>20544705688</t>
  </si>
  <si>
    <t>20107695584</t>
  </si>
  <si>
    <t>20107314378</t>
  </si>
  <si>
    <t>20133530003</t>
  </si>
  <si>
    <t>20264592497</t>
  </si>
  <si>
    <t>20101045995</t>
  </si>
  <si>
    <t>20387004301</t>
  </si>
  <si>
    <t>20506006024</t>
  </si>
  <si>
    <t>20503258901</t>
  </si>
  <si>
    <t>20104121374</t>
  </si>
  <si>
    <t>20450122395</t>
  </si>
  <si>
    <t>20450125904</t>
  </si>
  <si>
    <t>20421526258</t>
  </si>
  <si>
    <t>20136629591</t>
  </si>
  <si>
    <t>20101920721</t>
  </si>
  <si>
    <t>20352465331</t>
  </si>
  <si>
    <t>20100176450</t>
  </si>
  <si>
    <t>20100050359</t>
  </si>
  <si>
    <t>20104420282</t>
  </si>
  <si>
    <t>20602822207</t>
  </si>
  <si>
    <t>20100055661</t>
  </si>
  <si>
    <t>20100122368</t>
  </si>
  <si>
    <t>20162842031</t>
  </si>
  <si>
    <t>20330262428</t>
  </si>
  <si>
    <t>20114915026</t>
  </si>
  <si>
    <t>20545235138</t>
  </si>
  <si>
    <t>20370146994</t>
  </si>
  <si>
    <t>20148020028</t>
  </si>
  <si>
    <t>20402885549</t>
  </si>
  <si>
    <t>20504039120</t>
  </si>
  <si>
    <t>20565993390</t>
  </si>
  <si>
    <t>20602822533</t>
  </si>
  <si>
    <t>20559912353</t>
  </si>
  <si>
    <t>20163901197</t>
  </si>
  <si>
    <t>20600467035</t>
  </si>
  <si>
    <t>20100064571</t>
  </si>
  <si>
    <t>20302891452</t>
  </si>
  <si>
    <t>20202961518</t>
  </si>
  <si>
    <t>20100032709</t>
  </si>
  <si>
    <t>20601657172</t>
  </si>
  <si>
    <t>20302241598</t>
  </si>
  <si>
    <t>20100095450</t>
  </si>
  <si>
    <t>20100007348</t>
  </si>
  <si>
    <t>20519260485</t>
  </si>
  <si>
    <t>20523621212</t>
  </si>
  <si>
    <t>20500985322</t>
  </si>
  <si>
    <t>20531521987</t>
  </si>
  <si>
    <t>20335315759</t>
  </si>
  <si>
    <t>20136222725</t>
  </si>
  <si>
    <t>20117920144</t>
  </si>
  <si>
    <t>20340144938</t>
  </si>
  <si>
    <t>20100147514</t>
  </si>
  <si>
    <t>20536692399</t>
  </si>
  <si>
    <t>20172627421</t>
  </si>
  <si>
    <t>20111580996</t>
  </si>
  <si>
    <t>20110768151</t>
  </si>
  <si>
    <t>20514964778</t>
  </si>
  <si>
    <t>SERVICIOS</t>
  </si>
  <si>
    <t>COLEGIOS</t>
  </si>
  <si>
    <t>AGRO Y GANADERÍA</t>
  </si>
  <si>
    <t>10058</t>
  </si>
  <si>
    <t>MANUFACTURA</t>
  </si>
  <si>
    <t>(en blanco)</t>
  </si>
  <si>
    <t>COMERCIO</t>
  </si>
  <si>
    <t>CLUBES</t>
  </si>
  <si>
    <t>INSTITUTOS</t>
  </si>
  <si>
    <t>MINERÍA E HIDROCARBUROS</t>
  </si>
  <si>
    <t>MINERA</t>
  </si>
  <si>
    <t>TRANSPORTE Y ALMACENAMIENTO</t>
  </si>
  <si>
    <t>JABONES Y DETERGENTES</t>
  </si>
  <si>
    <t>20547566239</t>
  </si>
  <si>
    <t>DEPILZONE S.A.C.</t>
  </si>
  <si>
    <t>SABANILLA ELITE PLUS UH 100mX2 - 53cm</t>
  </si>
  <si>
    <t>361311</t>
  </si>
  <si>
    <t>LIMA EXPRESA S.A.C.</t>
  </si>
  <si>
    <t>PELUQUERIA</t>
  </si>
  <si>
    <t>PAÑO MULTIUSOS ELITE MAXWIPE 88 PAÑOS</t>
  </si>
  <si>
    <t>DIC</t>
  </si>
  <si>
    <t>CODIGO</t>
  </si>
  <si>
    <t>NÚMERO DE SERIE SUNAT DE LA FACTURA/BOLETA</t>
  </si>
  <si>
    <t>F001-24378/24394</t>
  </si>
  <si>
    <t>F001-24146/24357</t>
  </si>
  <si>
    <t>F001-24151/24202/24222/24223/24431/24439/24440/24487</t>
  </si>
  <si>
    <t>F001-24574</t>
  </si>
  <si>
    <t>JULIO</t>
  </si>
  <si>
    <t>PAGAR</t>
  </si>
  <si>
    <t>Codigo</t>
  </si>
  <si>
    <t>COD. MACC HER</t>
  </si>
  <si>
    <t>Sku</t>
  </si>
  <si>
    <t>PVP</t>
  </si>
  <si>
    <t>P Lista SAP</t>
  </si>
  <si>
    <t>P. Especial</t>
  </si>
  <si>
    <t>Dif</t>
  </si>
  <si>
    <t>Var</t>
  </si>
  <si>
    <t xml:space="preserve">Mup </t>
  </si>
  <si>
    <t>CANTIDAD</t>
  </si>
  <si>
    <t>IMPORTE</t>
  </si>
  <si>
    <t>TOTAL</t>
  </si>
  <si>
    <t>PH ELITE DH EXCELLENCE 12 X 4</t>
  </si>
  <si>
    <t>F001-24155/24250/24353/24393/24569</t>
  </si>
  <si>
    <t>F001-24215/24461</t>
  </si>
  <si>
    <t>F001-24295</t>
  </si>
  <si>
    <t>F001-24232</t>
  </si>
  <si>
    <t>F001-24360/24362/24551</t>
  </si>
  <si>
    <t>F001-24178</t>
  </si>
  <si>
    <t>F001-24181/24212/24359/24548</t>
  </si>
  <si>
    <t>F001-24244</t>
  </si>
  <si>
    <t>F001-24161/24162/24163/24164/24165/24166/24167/24168/24169/24182/24237/24242/24326</t>
  </si>
  <si>
    <t>F001-24260/24261/24366</t>
  </si>
  <si>
    <t>F001-24183/24185/24207/24269/24303/24364/24407/24408/24455/24486/24511/24554/24572</t>
  </si>
  <si>
    <t>F001-24116/24118/24473</t>
  </si>
  <si>
    <t>F001-24201/24214/24239/24275/24276</t>
  </si>
  <si>
    <t>F001-24252</t>
  </si>
  <si>
    <t>F001-24194/24195</t>
  </si>
  <si>
    <t>F001-24208/24217/24218/24346/24443/24523</t>
  </si>
  <si>
    <t>F001-24425</t>
  </si>
  <si>
    <t>F001-24110/24432</t>
  </si>
  <si>
    <t>F001-24210/24311</t>
  </si>
  <si>
    <t>F001-24301/24444/24467/24471/24481</t>
  </si>
  <si>
    <t>F001-24316/24317/24318/24319/24372/24406</t>
  </si>
  <si>
    <t>F001-24573</t>
  </si>
  <si>
    <t>F001-24228/24240/24241</t>
  </si>
  <si>
    <t>F001-24521/F002-1531/1532/1533/1534/1539</t>
  </si>
  <si>
    <t>F001-24153/24361/24528/24540/24580</t>
  </si>
  <si>
    <t>F001-24499</t>
  </si>
  <si>
    <t>F001-24209</t>
  </si>
  <si>
    <t>F001-24354</t>
  </si>
  <si>
    <t>F001-24502</t>
  </si>
  <si>
    <t>F001-24300</t>
  </si>
  <si>
    <t>F001-24524</t>
  </si>
  <si>
    <t>F001-24541</t>
  </si>
  <si>
    <t>F001-24156</t>
  </si>
  <si>
    <t>F001-24268</t>
  </si>
  <si>
    <t>F001-24155/24353/24569</t>
  </si>
  <si>
    <t>OBS. ESTE PRODUCTOS SIMPRE ESTUVO EN EL CUADRO DE SUBSIDIOS, PERO EN ESTE NO SE UBICA</t>
  </si>
  <si>
    <t>*Se pagará en función a las celdas llenadas por SAC</t>
  </si>
  <si>
    <t>SAC INSTITUCIONAL</t>
  </si>
  <si>
    <t>DIMENSIONES DE ERRORES</t>
  </si>
  <si>
    <t>STATUS</t>
  </si>
  <si>
    <t>DIFERENCIA AHORRO SOFTYS</t>
  </si>
  <si>
    <t>OBSERVACION</t>
  </si>
  <si>
    <t xml:space="preserve">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</si>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</sst>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 &quot;S/&quot;* #,##0.00_ ;_ &quot;S/&quot;* \-#,##0.00_ ;_ &quot;S/&quot;* &quot;-&quot;??_ ;_ @_ "/>
    <numFmt numFmtId="165" formatCode="_-* #,##0.00\ _€_-;\-* #,##0.00\ _€_-;_-* &quot;-&quot;??\ _€_-;_-@_-"/>
    <numFmt numFmtId="166" formatCode="_-* #,##0\ _€_-;\-* #,##0\ _€_-;_-* &quot;-&quot;??\ _€_-;_-@_-"/>
    <numFmt numFmtId="167" formatCode="_ &quot;S/&quot;\ * #,##0.00_ ;_ &quot;S/&quot;\ * \-#,##0.00_ ;_ &quot;S/&quot;\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DDEBF7"/>
      </patternFill>
    </fill>
    <fill>
      <patternFill patternType="solid">
        <fgColor rgb="FF00B0F0"/>
        <bgColor rgb="FFDDEBF7"/>
      </patternFill>
    </fill>
    <fill>
      <patternFill patternType="solid">
        <fgColor rgb="FF2F75B5"/>
        <bgColor rgb="FFDDEBF7"/>
      </patternFill>
    </fill>
    <fill>
      <patternFill patternType="solid">
        <fgColor rgb="FF92D050"/>
        <bgColor rgb="FFDDEBF7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164" fontId="1" fillId="0" borderId="0" applyFont="0" applyFill="0" applyBorder="0" applyAlignment="0" applyProtection="0"/>
    <xf numFmtId="0" fontId="12" fillId="0" borderId="0"/>
  </cellStyleXfs>
  <cellXfs count="9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65" fontId="2" fillId="0" borderId="0" xfId="1" applyFont="1" applyProtection="1"/>
    <xf numFmtId="10" fontId="2" fillId="0" borderId="0" xfId="2" applyNumberFormat="1" applyFont="1" applyProtection="1"/>
    <xf numFmtId="165" fontId="2" fillId="0" borderId="0" xfId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 vertical="top" wrapText="1"/>
      <protection locked="0"/>
    </xf>
    <xf numFmtId="10" fontId="2" fillId="2" borderId="0" xfId="2" applyNumberFormat="1" applyFont="1" applyFill="1" applyProtection="1"/>
    <xf numFmtId="165" fontId="2" fillId="2" borderId="0" xfId="1" applyFont="1" applyFill="1" applyProtection="1"/>
    <xf numFmtId="17" fontId="2" fillId="3" borderId="0" xfId="0" applyNumberFormat="1" applyFont="1" applyFill="1" applyAlignment="1" applyProtection="1">
      <alignment horizontal="center"/>
    </xf>
    <xf numFmtId="166" fontId="2" fillId="3" borderId="0" xfId="1" applyNumberFormat="1" applyFont="1" applyFill="1" applyAlignment="1" applyProtection="1">
      <alignment horizontal="center"/>
    </xf>
    <xf numFmtId="0" fontId="3" fillId="0" borderId="0" xfId="0" applyFont="1" applyProtection="1">
      <protection locked="0"/>
    </xf>
    <xf numFmtId="0" fontId="2" fillId="0" borderId="0" xfId="0" applyFont="1" applyFill="1" applyProtection="1"/>
    <xf numFmtId="0" fontId="6" fillId="0" borderId="0" xfId="0" applyFont="1"/>
    <xf numFmtId="10" fontId="4" fillId="0" borderId="0" xfId="2" applyNumberFormat="1" applyFont="1" applyFill="1" applyProtection="1"/>
    <xf numFmtId="165" fontId="4" fillId="0" borderId="0" xfId="1" applyFont="1" applyFill="1" applyProtection="1"/>
    <xf numFmtId="165" fontId="4" fillId="5" borderId="0" xfId="1" applyFont="1" applyFill="1" applyProtection="1">
      <protection locked="0"/>
    </xf>
    <xf numFmtId="165" fontId="4" fillId="5" borderId="0" xfId="1" applyFont="1" applyFill="1" applyProtection="1"/>
    <xf numFmtId="0" fontId="6" fillId="0" borderId="0" xfId="0" applyFont="1" applyFill="1"/>
    <xf numFmtId="0" fontId="5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165" fontId="2" fillId="0" borderId="0" xfId="1" applyFont="1" applyFill="1" applyProtection="1"/>
    <xf numFmtId="10" fontId="2" fillId="0" borderId="0" xfId="2" applyNumberFormat="1" applyFont="1" applyFill="1" applyProtection="1"/>
    <xf numFmtId="165" fontId="5" fillId="0" borderId="0" xfId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Protection="1"/>
    <xf numFmtId="0" fontId="2" fillId="6" borderId="0" xfId="0" applyFont="1" applyFill="1" applyProtection="1"/>
    <xf numFmtId="49" fontId="4" fillId="6" borderId="0" xfId="0" applyNumberFormat="1" applyFont="1" applyFill="1" applyAlignment="1" applyProtection="1">
      <alignment horizontal="center"/>
    </xf>
    <xf numFmtId="0" fontId="4" fillId="6" borderId="0" xfId="0" applyFont="1" applyFill="1" applyProtection="1"/>
    <xf numFmtId="0" fontId="5" fillId="7" borderId="0" xfId="0" applyFont="1" applyFill="1" applyAlignment="1" applyProtection="1">
      <alignment horizontal="center" vertical="top" wrapText="1"/>
    </xf>
    <xf numFmtId="165" fontId="5" fillId="7" borderId="0" xfId="1" applyFont="1" applyFill="1" applyAlignment="1" applyProtection="1">
      <alignment horizontal="center" vertical="top" wrapText="1"/>
    </xf>
    <xf numFmtId="10" fontId="5" fillId="7" borderId="0" xfId="2" applyNumberFormat="1" applyFont="1" applyFill="1" applyAlignment="1" applyProtection="1">
      <alignment horizontal="center" vertical="top" wrapText="1"/>
    </xf>
    <xf numFmtId="166" fontId="5" fillId="7" borderId="0" xfId="1" applyNumberFormat="1" applyFont="1" applyFill="1" applyAlignment="1" applyProtection="1">
      <alignment horizontal="center" vertical="top" wrapText="1"/>
    </xf>
    <xf numFmtId="165" fontId="5" fillId="7" borderId="0" xfId="1" applyFont="1" applyFill="1" applyAlignment="1" applyProtection="1">
      <alignment horizontal="center" vertical="top" wrapText="1"/>
      <protection locked="0"/>
    </xf>
    <xf numFmtId="0" fontId="5" fillId="8" borderId="0" xfId="0" applyFont="1" applyFill="1" applyProtection="1"/>
    <xf numFmtId="0" fontId="5" fillId="8" borderId="0" xfId="0" applyFont="1" applyFill="1" applyAlignment="1" applyProtection="1">
      <alignment horizontal="left"/>
    </xf>
    <xf numFmtId="165" fontId="2" fillId="0" borderId="0" xfId="1" applyFont="1" applyProtection="1"/>
    <xf numFmtId="10" fontId="2" fillId="2" borderId="0" xfId="2" applyNumberFormat="1" applyFont="1" applyFill="1" applyProtection="1"/>
    <xf numFmtId="165" fontId="2" fillId="2" borderId="0" xfId="1" applyFont="1" applyFill="1" applyProtection="1"/>
    <xf numFmtId="0" fontId="2" fillId="3" borderId="0" xfId="0" applyFont="1" applyFill="1" applyAlignment="1" applyProtection="1">
      <alignment horizontal="center"/>
    </xf>
    <xf numFmtId="17" fontId="2" fillId="3" borderId="0" xfId="0" applyNumberFormat="1" applyFont="1" applyFill="1" applyAlignment="1" applyProtection="1">
      <alignment horizontal="center"/>
    </xf>
    <xf numFmtId="166" fontId="2" fillId="3" borderId="0" xfId="1" applyNumberFormat="1" applyFont="1" applyFill="1" applyAlignment="1" applyProtection="1">
      <alignment horizontal="center"/>
    </xf>
    <xf numFmtId="0" fontId="6" fillId="0" borderId="0" xfId="0" applyFont="1"/>
    <xf numFmtId="10" fontId="4" fillId="0" borderId="0" xfId="2" applyNumberFormat="1" applyFont="1" applyFill="1" applyProtection="1"/>
    <xf numFmtId="165" fontId="4" fillId="0" borderId="0" xfId="1" applyFont="1" applyFill="1" applyProtection="1"/>
    <xf numFmtId="165" fontId="4" fillId="5" borderId="0" xfId="1" applyFont="1" applyFill="1" applyProtection="1">
      <protection locked="0"/>
    </xf>
    <xf numFmtId="165" fontId="4" fillId="5" borderId="0" xfId="1" applyFont="1" applyFill="1" applyProtection="1"/>
    <xf numFmtId="0" fontId="2" fillId="6" borderId="0" xfId="0" applyFont="1" applyFill="1" applyProtection="1"/>
    <xf numFmtId="0" fontId="2" fillId="6" borderId="0" xfId="0" applyFont="1" applyFill="1" applyAlignment="1" applyProtection="1">
      <alignment horizontal="center"/>
    </xf>
    <xf numFmtId="49" fontId="2" fillId="6" borderId="0" xfId="0" applyNumberFormat="1" applyFont="1" applyFill="1" applyAlignment="1" applyProtection="1">
      <alignment horizontal="center"/>
    </xf>
    <xf numFmtId="0" fontId="5" fillId="7" borderId="0" xfId="0" applyFont="1" applyFill="1" applyAlignment="1">
      <alignment horizontal="center" vertical="top" wrapText="1"/>
    </xf>
    <xf numFmtId="0" fontId="0" fillId="4" borderId="0" xfId="0" applyFill="1"/>
    <xf numFmtId="0" fontId="9" fillId="0" borderId="3" xfId="0" applyFont="1" applyBorder="1"/>
    <xf numFmtId="0" fontId="10" fillId="0" borderId="3" xfId="0" applyFont="1" applyBorder="1" applyAlignment="1">
      <alignment horizontal="left"/>
    </xf>
    <xf numFmtId="0" fontId="10" fillId="0" borderId="3" xfId="0" applyFont="1" applyBorder="1"/>
    <xf numFmtId="0" fontId="11" fillId="11" borderId="3" xfId="0" applyFont="1" applyFill="1" applyBorder="1" applyAlignment="1">
      <alignment horizontal="center" vertical="center" wrapText="1"/>
    </xf>
    <xf numFmtId="4" fontId="11" fillId="12" borderId="3" xfId="0" applyNumberFormat="1" applyFont="1" applyFill="1" applyBorder="1" applyAlignment="1">
      <alignment horizontal="center" vertical="center" wrapText="1"/>
    </xf>
    <xf numFmtId="2" fontId="11" fillId="12" borderId="3" xfId="0" applyNumberFormat="1" applyFont="1" applyFill="1" applyBorder="1" applyAlignment="1">
      <alignment horizontal="center" vertical="center" wrapText="1"/>
    </xf>
    <xf numFmtId="2" fontId="11" fillId="13" borderId="3" xfId="0" applyNumberFormat="1" applyFont="1" applyFill="1" applyBorder="1" applyAlignment="1">
      <alignment horizontal="center" vertical="center" wrapText="1"/>
    </xf>
    <xf numFmtId="9" fontId="11" fillId="12" borderId="3" xfId="2" applyFont="1" applyFill="1" applyBorder="1" applyAlignment="1">
      <alignment horizontal="center" vertical="center" wrapText="1"/>
    </xf>
    <xf numFmtId="9" fontId="11" fillId="12" borderId="3" xfId="2" applyFont="1" applyFill="1" applyBorder="1" applyAlignment="1" applyProtection="1">
      <alignment horizontal="center" vertical="center" wrapText="1"/>
      <protection locked="0"/>
    </xf>
    <xf numFmtId="0" fontId="11" fillId="14" borderId="3" xfId="0" applyFont="1" applyFill="1" applyBorder="1" applyAlignment="1" applyProtection="1">
      <alignment horizontal="center" vertical="center" wrapText="1"/>
      <protection locked="0"/>
    </xf>
    <xf numFmtId="0" fontId="5" fillId="15" borderId="4" xfId="0" applyFont="1" applyFill="1" applyBorder="1" applyAlignment="1">
      <alignment horizontal="center" vertical="top" wrapText="1"/>
    </xf>
    <xf numFmtId="0" fontId="11" fillId="16" borderId="3" xfId="0" applyFont="1" applyFill="1" applyBorder="1" applyAlignment="1" applyProtection="1">
      <alignment horizontal="center"/>
      <protection locked="0"/>
    </xf>
    <xf numFmtId="0" fontId="11" fillId="17" borderId="3" xfId="7" applyFont="1" applyFill="1" applyBorder="1" applyAlignment="1">
      <alignment horizontal="left"/>
    </xf>
    <xf numFmtId="0" fontId="4" fillId="16" borderId="3" xfId="0" applyFont="1" applyFill="1" applyBorder="1" applyAlignment="1" applyProtection="1">
      <alignment horizontal="left"/>
      <protection locked="0"/>
    </xf>
    <xf numFmtId="4" fontId="13" fillId="16" borderId="3" xfId="0" applyNumberFormat="1" applyFont="1" applyFill="1" applyBorder="1" applyAlignment="1">
      <alignment horizontal="center"/>
    </xf>
    <xf numFmtId="2" fontId="11" fillId="16" borderId="3" xfId="7" applyNumberFormat="1" applyFont="1" applyFill="1" applyBorder="1" applyAlignment="1">
      <alignment horizontal="center"/>
    </xf>
    <xf numFmtId="2" fontId="11" fillId="17" borderId="3" xfId="0" applyNumberFormat="1" applyFont="1" applyFill="1" applyBorder="1" applyAlignment="1">
      <alignment horizontal="center"/>
    </xf>
    <xf numFmtId="2" fontId="11" fillId="16" borderId="3" xfId="0" applyNumberFormat="1" applyFont="1" applyFill="1" applyBorder="1" applyAlignment="1">
      <alignment horizontal="center"/>
    </xf>
    <xf numFmtId="10" fontId="11" fillId="17" borderId="3" xfId="2" applyNumberFormat="1" applyFont="1" applyFill="1" applyBorder="1" applyAlignment="1" applyProtection="1">
      <alignment horizontal="center"/>
    </xf>
    <xf numFmtId="9" fontId="11" fillId="17" borderId="3" xfId="2" applyFont="1" applyFill="1" applyBorder="1" applyAlignment="1" applyProtection="1">
      <alignment horizontal="center"/>
    </xf>
    <xf numFmtId="0" fontId="11" fillId="17" borderId="3" xfId="0" applyFont="1" applyFill="1" applyBorder="1" applyAlignment="1" applyProtection="1">
      <alignment horizontal="center"/>
      <protection locked="0"/>
    </xf>
    <xf numFmtId="164" fontId="11" fillId="16" borderId="3" xfId="6" applyFont="1" applyFill="1" applyBorder="1" applyAlignment="1" applyProtection="1">
      <alignment horizontal="left"/>
    </xf>
    <xf numFmtId="0" fontId="2" fillId="4" borderId="5" xfId="0" applyFont="1" applyFill="1" applyBorder="1" applyAlignment="1">
      <alignment horizontal="center"/>
    </xf>
    <xf numFmtId="0" fontId="14" fillId="0" borderId="0" xfId="0" applyFont="1"/>
    <xf numFmtId="167" fontId="14" fillId="0" borderId="6" xfId="0" applyNumberFormat="1" applyFont="1" applyBorder="1"/>
    <xf numFmtId="0" fontId="15" fillId="0" borderId="0" xfId="0" applyFont="1"/>
    <xf numFmtId="165" fontId="5" fillId="7" borderId="1" xfId="1" applyFont="1" applyFill="1" applyBorder="1" applyAlignment="1" applyProtection="1">
      <alignment horizontal="center" vertical="top" wrapText="1"/>
      <protection locked="0"/>
    </xf>
    <xf numFmtId="165" fontId="5" fillId="7" borderId="2" xfId="1" applyFont="1" applyFill="1" applyBorder="1" applyAlignment="1" applyProtection="1">
      <alignment horizontal="center" vertical="top" wrapText="1"/>
      <protection locked="0"/>
    </xf>
    <xf numFmtId="2" fontId="10" fillId="9" borderId="3" xfId="0" applyNumberFormat="1" applyFont="1" applyFill="1" applyBorder="1" applyAlignment="1">
      <alignment horizontal="center" vertical="top"/>
    </xf>
    <xf numFmtId="0" fontId="10" fillId="10" borderId="3" xfId="0" applyFont="1" applyFill="1" applyBorder="1" applyAlignment="1">
      <alignment horizont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5" fillId="18" borderId="3" xfId="0" applyFont="1" applyFill="1" applyBorder="1" applyAlignment="1" applyProtection="1">
      <alignment horizontal="center" vertical="center"/>
      <protection locked="0"/>
    </xf>
    <xf numFmtId="0" fontId="4" fillId="0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165" fontId="4" fillId="2" borderId="3" xfId="1" applyFont="1" applyFill="1" applyBorder="1" applyAlignment="1" applyProtection="1">
      <alignment horizontal="center" vertical="top" wrapText="1"/>
      <protection locked="0"/>
    </xf>
    <xf numFmtId="2" fontId="4" fillId="2" borderId="3" xfId="1" applyNumberFormat="1" applyFont="1" applyFill="1" applyBorder="1" applyAlignment="1" applyProtection="1">
      <alignment horizontal="center" vertical="top" wrapText="1"/>
      <protection locked="0"/>
    </xf>
    <xf numFmtId="0" fontId="5" fillId="18" borderId="3" xfId="0" applyFont="1" applyFill="1" applyBorder="1" applyAlignment="1" applyProtection="1">
      <alignment horizontal="center" vertical="top" wrapText="1"/>
      <protection locked="0"/>
    </xf>
    <xf numFmtId="2" fontId="5" fillId="18" borderId="3" xfId="0" applyNumberFormat="1" applyFont="1" applyFill="1" applyBorder="1" applyAlignment="1" applyProtection="1">
      <alignment horizontal="center" vertical="top" wrapText="1"/>
      <protection locked="0"/>
    </xf>
    <xf numFmtId="2" fontId="5" fillId="19" borderId="3" xfId="0" applyNumberFormat="1" applyFont="1" applyFill="1" applyBorder="1" applyAlignment="1" applyProtection="1">
      <alignment horizontal="center" vertical="center" wrapText="1"/>
      <protection locked="0"/>
    </xf>
    <xf numFmtId="165" fontId="4" fillId="0" borderId="0" xfId="1" applyFont="1" applyAlignment="1" applyProtection="1">
      <alignment horizontal="center" vertical="center"/>
      <protection locked="0"/>
    </xf>
    <xf numFmtId="165" fontId="4" fillId="4" borderId="0" xfId="1" applyFont="1" applyFill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</cellXfs>
  <cellStyles count="8">
    <cellStyle name="Millares" xfId="1" builtinId="3"/>
    <cellStyle name="Millares 2" xfId="4"/>
    <cellStyle name="Millares 3" xfId="3"/>
    <cellStyle name="Moneda" xfId="6" builtinId="4"/>
    <cellStyle name="Normal" xfId="0" builtinId="0"/>
    <cellStyle name="Normal 2" xfId="5"/>
    <cellStyle name="Normal 3 2" xfId="7"/>
    <cellStyle name="Porcentaje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cion/Contabilidad/Gest%202016/Gest0616/02%20EERR_Division_Per&#250;_0616%20VERSION%20PROTISA%20PER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Estrategia/Ventas/Hist&#243;rico%202017%20-%202018%20-%202019%20ABR%20MENSU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inares/Desktop/Plan%20Dispensadores/Inversi&#243;n%20en%20Dispensadores%20Mayo%2020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dministracion\Contabilidad\Gest%202019\M06\EERR_Division_Pa&#237;s_061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resendez/Desktop/EERR_Division_Mex_0212%20hasta%20Ebdit%20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Resumen Ebdit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Sanitarios"/>
      <sheetName val="Ventas"/>
      <sheetName val="Ventas formato antiguo"/>
      <sheetName val="Hoja2"/>
      <sheetName val="Hoja3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1">
          <cell r="J11">
            <v>0</v>
          </cell>
        </row>
      </sheetData>
      <sheetData sheetId="27">
        <row r="11">
          <cell r="J11">
            <v>0</v>
          </cell>
        </row>
      </sheetData>
      <sheetData sheetId="28">
        <row r="5">
          <cell r="F5">
            <v>0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TA"/>
      <sheetName val="Hoja1"/>
      <sheetName val="Hoja3"/>
      <sheetName val="Hoja2"/>
      <sheetName val="Hoja4"/>
      <sheetName val="Hoja5"/>
      <sheetName val="DATA"/>
      <sheetName val="Hoja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dor Histórico"/>
      <sheetName val="VENTA"/>
      <sheetName val="ISSUE"/>
      <sheetName val="Hoja6"/>
      <sheetName val="Hoja1"/>
      <sheetName val="Hoja2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Hoja1"/>
      <sheetName val="Instrucciones"/>
      <sheetName val="TC"/>
      <sheetName val="Variaciones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Incontinencia"/>
      <sheetName val="Incontinencia_MI"/>
      <sheetName val="Pañal Adulto_MI"/>
      <sheetName val="Aposi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"/>
      <sheetName val="Jumbos_Exp_EERR"/>
      <sheetName val="Total_BCTMP"/>
      <sheetName val="BCTMP_MI"/>
      <sheetName val="BCTMP_Exp_Terc"/>
      <sheetName val="BCTMP_Exp_EERR"/>
      <sheetName val="EERR_Categoría_Tissue"/>
      <sheetName val="EERR_Segmento_Tissue"/>
      <sheetName val="EERR_Categoría_Tissue Bolivia"/>
      <sheetName val="EERR_Categoría_Sanitarios"/>
      <sheetName val="Ventas"/>
      <sheetName val="Ventas formato antiguo"/>
      <sheetName val="Hoja2"/>
    </sheetNames>
    <sheetDataSet>
      <sheetData sheetId="0"/>
      <sheetData sheetId="1"/>
      <sheetData sheetId="2"/>
      <sheetData sheetId="3"/>
      <sheetData sheetId="4"/>
      <sheetData sheetId="5">
        <row r="2">
          <cell r="T2">
            <v>1</v>
          </cell>
          <cell r="U2">
            <v>1</v>
          </cell>
          <cell r="V2">
            <v>1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</row>
        <row r="3"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1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Comentarios ER"/>
      <sheetName val="Variaciones"/>
      <sheetName val="Resumen Ebdit"/>
      <sheetName val="EERR_Consolidado"/>
      <sheetName val="Total_Tissue"/>
      <sheetName val="Total_Tissue_MI"/>
      <sheetName val="Tissue_Masivo_MI"/>
      <sheetName val="FDH_MI"/>
      <sheetName val="Tissue_Exp_Terc"/>
      <sheetName val="Tissue_Exp_EERR"/>
      <sheetName val="Total_Sanitarios"/>
      <sheetName val="Total_Sanitarios_MI"/>
      <sheetName val="Total_Pañales_Bebé"/>
      <sheetName val="Pañales_Bebé_MI"/>
      <sheetName val="Total_Pañales_Adulto"/>
      <sheetName val="Pañales_Adulto_MI"/>
      <sheetName val="Total_PSF"/>
      <sheetName val="PSF_MI"/>
      <sheetName val="Total_TH"/>
      <sheetName val="TH_MI"/>
      <sheetName val="Sanitarios_Exp_Terc"/>
      <sheetName val="Sanitarios_Exp_EERR"/>
      <sheetName val="Total_Jumbos"/>
      <sheetName val="Jumbos_MI"/>
      <sheetName val="Jumbos_Exp_Terceros"/>
      <sheetName val="Jumbos_Exp_EERR"/>
      <sheetName val="Total_BCTMP"/>
      <sheetName val="BCTMP_MI"/>
      <sheetName val="BCTMP_Exp_Terc"/>
      <sheetName val="BCTMP_Exp_EERR"/>
      <sheetName val="EERR_Segmento_Tissue"/>
      <sheetName val="EERR_Categoría_Sanitarios"/>
      <sheetName val="EERR_Categoría_Tissue"/>
      <sheetName val="Ventas"/>
      <sheetName val="GRAFIC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2"/>
  <sheetViews>
    <sheetView showGridLines="0" tabSelected="1" zoomScale="90" zoomScaleNormal="90" workbookViewId="0">
      <pane ySplit="5" topLeftCell="A6" activePane="bottomLeft" state="frozen"/>
      <selection pane="bottomLeft" activeCell="A6" sqref="A6"/>
    </sheetView>
  </sheetViews>
  <sheetFormatPr baseColWidth="10" defaultRowHeight="12" x14ac:dyDescent="0.2"/>
  <cols>
    <col min="1" max="1" width="1.140625" style="14" customWidth="1"/>
    <col min="2" max="2" width="13" style="1" customWidth="1"/>
    <col min="3" max="3" width="14.5703125" style="1" bestFit="1" customWidth="1"/>
    <col min="4" max="4" width="20.7109375" style="1" customWidth="1"/>
    <col min="5" max="5" width="15.42578125" style="2" bestFit="1" customWidth="1"/>
    <col min="6" max="6" width="15.28515625" style="2" bestFit="1" customWidth="1"/>
    <col min="7" max="7" width="15.28515625" style="2" customWidth="1"/>
    <col min="8" max="9" width="17.140625" style="2" customWidth="1"/>
    <col min="10" max="10" width="12.7109375" style="2" customWidth="1"/>
    <col min="11" max="11" width="33.42578125" style="1" customWidth="1"/>
    <col min="12" max="12" width="21.42578125" style="2" hidden="1" customWidth="1"/>
    <col min="13" max="13" width="14.7109375" style="1" hidden="1" customWidth="1"/>
    <col min="14" max="14" width="13.5703125" style="2" customWidth="1"/>
    <col min="15" max="15" width="46" style="1" customWidth="1"/>
    <col min="16" max="16" width="11.28515625" style="3" hidden="1" customWidth="1"/>
    <col min="17" max="17" width="11.28515625" style="4" hidden="1" customWidth="1"/>
    <col min="18" max="18" width="15.28515625" style="3" hidden="1" customWidth="1"/>
    <col min="19" max="19" width="11.28515625" style="4" hidden="1" customWidth="1"/>
    <col min="20" max="20" width="11.28515625" style="3" customWidth="1"/>
    <col min="21" max="21" width="9.85546875" style="3" hidden="1" customWidth="1"/>
    <col min="22" max="22" width="25.140625" style="2" hidden="1" customWidth="1"/>
    <col min="23" max="23" width="10.5703125" style="2" hidden="1" customWidth="1"/>
    <col min="24" max="24" width="15.5703125" style="2" hidden="1" customWidth="1"/>
    <col min="25" max="25" width="17.28515625" style="5" customWidth="1"/>
    <col min="26" max="26" width="19.5703125" style="3" customWidth="1"/>
    <col min="27" max="27" width="12.5703125" style="6" bestFit="1" customWidth="1"/>
    <col min="28" max="28" width="14.42578125" style="6" bestFit="1" customWidth="1"/>
    <col min="29" max="29" width="14.85546875" style="6" customWidth="1"/>
    <col min="30" max="30" width="13.28515625" style="6" bestFit="1" customWidth="1"/>
    <col min="31" max="31" width="11.5703125" style="6" bestFit="1" customWidth="1"/>
    <col min="32" max="16384" width="11.42578125" style="6"/>
  </cols>
  <sheetData>
    <row r="1" spans="1:31" x14ac:dyDescent="0.2">
      <c r="E1" s="1"/>
      <c r="AA1" s="83" t="s">
        <v>329</v>
      </c>
      <c r="AB1" s="83"/>
      <c r="AC1" s="83" t="s">
        <v>329</v>
      </c>
      <c r="AD1" s="83"/>
    </row>
    <row r="2" spans="1:31" x14ac:dyDescent="0.2">
      <c r="B2" s="35" t="s">
        <v>0</v>
      </c>
      <c r="C2" s="36">
        <v>2021</v>
      </c>
      <c r="E2" s="1"/>
      <c r="O2" s="26" t="s">
        <v>1</v>
      </c>
      <c r="AA2" s="84"/>
      <c r="AB2" s="84"/>
      <c r="AC2" s="84"/>
      <c r="AD2" s="84"/>
    </row>
    <row r="3" spans="1:31" x14ac:dyDescent="0.2">
      <c r="B3" s="35" t="s">
        <v>2</v>
      </c>
      <c r="C3" s="35" t="s">
        <v>271</v>
      </c>
      <c r="O3" s="26" t="s">
        <v>1</v>
      </c>
      <c r="Y3" s="79" t="s">
        <v>161</v>
      </c>
      <c r="Z3" s="80"/>
      <c r="AA3" s="85" t="s">
        <v>330</v>
      </c>
      <c r="AB3" s="85"/>
      <c r="AC3" s="86" t="s">
        <v>331</v>
      </c>
      <c r="AD3" s="86"/>
    </row>
    <row r="4" spans="1:31" s="25" customFormat="1" ht="3.75" customHeight="1" x14ac:dyDescent="0.2">
      <c r="A4" s="19"/>
      <c r="B4" s="20"/>
      <c r="C4" s="20"/>
      <c r="D4" s="13"/>
      <c r="E4" s="21"/>
      <c r="F4" s="21"/>
      <c r="G4" s="21"/>
      <c r="H4" s="21"/>
      <c r="I4" s="21"/>
      <c r="J4" s="21"/>
      <c r="K4" s="13"/>
      <c r="L4" s="21"/>
      <c r="M4" s="13"/>
      <c r="N4" s="21"/>
      <c r="O4" s="13"/>
      <c r="P4" s="22"/>
      <c r="Q4" s="23"/>
      <c r="R4" s="22"/>
      <c r="S4" s="23"/>
      <c r="T4" s="22"/>
      <c r="U4" s="22"/>
      <c r="V4" s="21"/>
      <c r="W4" s="21"/>
      <c r="X4" s="21"/>
      <c r="Y4" s="24"/>
      <c r="Z4" s="24"/>
      <c r="AA4" s="87"/>
      <c r="AB4" s="87"/>
      <c r="AC4" s="88"/>
      <c r="AD4" s="88"/>
    </row>
    <row r="5" spans="1:31" s="7" customFormat="1" ht="28.5" customHeight="1" x14ac:dyDescent="0.2">
      <c r="A5" s="14"/>
      <c r="B5" s="30" t="s">
        <v>3</v>
      </c>
      <c r="C5" s="30" t="s">
        <v>4</v>
      </c>
      <c r="D5" s="30" t="s">
        <v>5</v>
      </c>
      <c r="E5" s="30" t="s">
        <v>6</v>
      </c>
      <c r="F5" s="30" t="s">
        <v>7</v>
      </c>
      <c r="G5" s="30" t="s">
        <v>13</v>
      </c>
      <c r="H5" s="30" t="s">
        <v>8</v>
      </c>
      <c r="I5" s="30" t="s">
        <v>9</v>
      </c>
      <c r="J5" s="30" t="s">
        <v>10</v>
      </c>
      <c r="K5" s="30" t="s">
        <v>11</v>
      </c>
      <c r="L5" s="30" t="s">
        <v>12</v>
      </c>
      <c r="M5" s="30" t="s">
        <v>13</v>
      </c>
      <c r="N5" s="30" t="s">
        <v>14</v>
      </c>
      <c r="O5" s="30" t="s">
        <v>15</v>
      </c>
      <c r="P5" s="31" t="s">
        <v>16</v>
      </c>
      <c r="Q5" s="32" t="s">
        <v>17</v>
      </c>
      <c r="R5" s="31" t="s">
        <v>18</v>
      </c>
      <c r="S5" s="32" t="s">
        <v>19</v>
      </c>
      <c r="T5" s="31" t="s">
        <v>20</v>
      </c>
      <c r="U5" s="31" t="s">
        <v>21</v>
      </c>
      <c r="V5" s="30" t="s">
        <v>22</v>
      </c>
      <c r="W5" s="30" t="s">
        <v>23</v>
      </c>
      <c r="X5" s="33" t="s">
        <v>24</v>
      </c>
      <c r="Y5" s="34" t="s">
        <v>25</v>
      </c>
      <c r="Z5" s="31" t="s">
        <v>26</v>
      </c>
      <c r="AA5" s="89" t="s">
        <v>25</v>
      </c>
      <c r="AB5" s="90" t="s">
        <v>26</v>
      </c>
      <c r="AC5" s="91" t="s">
        <v>332</v>
      </c>
      <c r="AD5" s="92" t="s">
        <v>333</v>
      </c>
      <c r="AE5" s="93" t="s">
        <v>334</v>
      </c>
    </row>
    <row r="6" spans="1:31" s="12" customFormat="1" x14ac:dyDescent="0.2">
      <c r="A6" s="14"/>
      <c r="B6" s="27" t="s">
        <v>27</v>
      </c>
      <c r="C6" s="27" t="s">
        <v>60</v>
      </c>
      <c r="D6" s="27" t="s">
        <v>69</v>
      </c>
      <c r="E6" s="50" t="s">
        <v>254</v>
      </c>
      <c r="F6" s="50" t="s">
        <v>254</v>
      </c>
      <c r="G6" s="49" t="s">
        <v>251</v>
      </c>
      <c r="H6" s="49" t="s">
        <v>42</v>
      </c>
      <c r="I6" s="49" t="s">
        <v>258</v>
      </c>
      <c r="J6" s="50" t="s">
        <v>187</v>
      </c>
      <c r="K6" s="27" t="s">
        <v>70</v>
      </c>
      <c r="L6" s="49" t="s">
        <v>71</v>
      </c>
      <c r="M6" s="27" t="s">
        <v>29</v>
      </c>
      <c r="N6" s="28" t="s">
        <v>163</v>
      </c>
      <c r="O6" s="29" t="s">
        <v>30</v>
      </c>
      <c r="P6" s="37">
        <v>31.98</v>
      </c>
      <c r="Q6" s="8">
        <f t="shared" ref="Q6:Q37" si="0">IF(1-R6/P6&lt;0%,0,1-R6/P6)</f>
        <v>0.16373358348968103</v>
      </c>
      <c r="R6" s="9">
        <f t="shared" ref="R6:R37" si="1">+T6*(100%-S6)</f>
        <v>26.7438</v>
      </c>
      <c r="S6" s="15">
        <v>0.13</v>
      </c>
      <c r="T6" s="16">
        <v>30.740000000000002</v>
      </c>
      <c r="U6" s="9">
        <f t="shared" ref="U6:U37" si="2">+IF(P6-R6&lt;0,0,P6-R6)</f>
        <v>5.2362000000000002</v>
      </c>
      <c r="V6" s="40" t="str">
        <f t="shared" ref="V6:V37" si="3">+CONCATENATE(TRIM(F6),TRIM(J6),TRIM(N6))</f>
        <v>1005820140452107361444</v>
      </c>
      <c r="W6" s="10">
        <v>44531</v>
      </c>
      <c r="X6" s="11"/>
      <c r="Y6" s="17"/>
      <c r="Z6" s="18">
        <f t="shared" ref="Z6:Z37" si="4">IFERROR(U6*Y6,0)</f>
        <v>0</v>
      </c>
      <c r="AA6" s="94" t="s">
        <v>335</v>
      </c>
      <c r="AB6" s="95">
        <f>IFERROR(AA6*U6,0)</f>
        <v>0</v>
      </c>
      <c r="AC6" s="94"/>
      <c r="AD6" s="94">
        <f>IFERROR(Z6-AB6,0)</f>
        <v>0</v>
      </c>
      <c r="AE6" s="96"/>
    </row>
    <row r="7" spans="1:31" s="12" customFormat="1" x14ac:dyDescent="0.2">
      <c r="A7" s="43"/>
      <c r="B7" s="48" t="s">
        <v>27</v>
      </c>
      <c r="C7" s="48" t="s">
        <v>60</v>
      </c>
      <c r="D7" s="48" t="s">
        <v>69</v>
      </c>
      <c r="E7" s="50" t="s">
        <v>254</v>
      </c>
      <c r="F7" s="50" t="s">
        <v>254</v>
      </c>
      <c r="G7" s="49" t="s">
        <v>251</v>
      </c>
      <c r="H7" s="49" t="s">
        <v>42</v>
      </c>
      <c r="I7" s="49" t="s">
        <v>258</v>
      </c>
      <c r="J7" s="50" t="s">
        <v>187</v>
      </c>
      <c r="K7" s="48" t="s">
        <v>70</v>
      </c>
      <c r="L7" s="49" t="s">
        <v>71</v>
      </c>
      <c r="M7" s="48" t="s">
        <v>29</v>
      </c>
      <c r="N7" s="28" t="s">
        <v>162</v>
      </c>
      <c r="O7" s="29" t="s">
        <v>31</v>
      </c>
      <c r="P7" s="37">
        <v>25.86</v>
      </c>
      <c r="Q7" s="38">
        <f t="shared" si="0"/>
        <v>1.4121380404601425E-2</v>
      </c>
      <c r="R7" s="39">
        <f t="shared" si="1"/>
        <v>25.494821102737006</v>
      </c>
      <c r="S7" s="44">
        <v>0.15</v>
      </c>
      <c r="T7" s="45">
        <v>29.993907179690595</v>
      </c>
      <c r="U7" s="39">
        <f t="shared" si="2"/>
        <v>0.36517889726299302</v>
      </c>
      <c r="V7" s="40" t="str">
        <f t="shared" si="3"/>
        <v>1005820140452107361571</v>
      </c>
      <c r="W7" s="41">
        <v>44531</v>
      </c>
      <c r="X7" s="42"/>
      <c r="Y7" s="46"/>
      <c r="Z7" s="47">
        <f t="shared" si="4"/>
        <v>0</v>
      </c>
      <c r="AA7" s="94" t="s">
        <v>335</v>
      </c>
      <c r="AB7" s="95">
        <f t="shared" ref="AB7:AB70" si="5">IFERROR(AA7*U7,0)</f>
        <v>0</v>
      </c>
      <c r="AC7" s="94"/>
      <c r="AD7" s="94">
        <f t="shared" ref="AD7:AD70" si="6">IFERROR(Z7-AB7,0)</f>
        <v>0</v>
      </c>
      <c r="AE7" s="96"/>
    </row>
    <row r="8" spans="1:31" s="12" customFormat="1" x14ac:dyDescent="0.2">
      <c r="A8" s="43"/>
      <c r="B8" s="48" t="s">
        <v>27</v>
      </c>
      <c r="C8" s="48" t="s">
        <v>60</v>
      </c>
      <c r="D8" s="48" t="s">
        <v>69</v>
      </c>
      <c r="E8" s="50" t="s">
        <v>254</v>
      </c>
      <c r="F8" s="50" t="s">
        <v>254</v>
      </c>
      <c r="G8" s="49" t="s">
        <v>251</v>
      </c>
      <c r="H8" s="49" t="s">
        <v>42</v>
      </c>
      <c r="I8" s="49" t="s">
        <v>258</v>
      </c>
      <c r="J8" s="50" t="s">
        <v>187</v>
      </c>
      <c r="K8" s="48" t="s">
        <v>70</v>
      </c>
      <c r="L8" s="49" t="s">
        <v>71</v>
      </c>
      <c r="M8" s="48" t="s">
        <v>29</v>
      </c>
      <c r="N8" s="28" t="s">
        <v>162</v>
      </c>
      <c r="O8" s="29" t="s">
        <v>31</v>
      </c>
      <c r="P8" s="37">
        <v>25.86</v>
      </c>
      <c r="Q8" s="38">
        <f t="shared" si="0"/>
        <v>1.4121380404601425E-2</v>
      </c>
      <c r="R8" s="39">
        <f t="shared" si="1"/>
        <v>25.494821102737006</v>
      </c>
      <c r="S8" s="44">
        <v>0.15</v>
      </c>
      <c r="T8" s="45">
        <v>29.993907179690595</v>
      </c>
      <c r="U8" s="39">
        <f t="shared" si="2"/>
        <v>0.36517889726299302</v>
      </c>
      <c r="V8" s="40" t="str">
        <f t="shared" si="3"/>
        <v>1005820140452107361571</v>
      </c>
      <c r="W8" s="41">
        <v>44531</v>
      </c>
      <c r="X8" s="42"/>
      <c r="Y8" s="46"/>
      <c r="Z8" s="47">
        <f t="shared" si="4"/>
        <v>0</v>
      </c>
      <c r="AA8" s="94" t="s">
        <v>335</v>
      </c>
      <c r="AB8" s="95">
        <f t="shared" si="5"/>
        <v>0</v>
      </c>
      <c r="AC8" s="94"/>
      <c r="AD8" s="94">
        <f t="shared" si="6"/>
        <v>0</v>
      </c>
      <c r="AE8" s="96"/>
    </row>
    <row r="9" spans="1:31" s="12" customFormat="1" x14ac:dyDescent="0.2">
      <c r="A9" s="43"/>
      <c r="B9" s="48" t="s">
        <v>27</v>
      </c>
      <c r="C9" s="48" t="s">
        <v>60</v>
      </c>
      <c r="D9" s="48" t="s">
        <v>69</v>
      </c>
      <c r="E9" s="50" t="s">
        <v>254</v>
      </c>
      <c r="F9" s="50" t="s">
        <v>254</v>
      </c>
      <c r="G9" s="49" t="s">
        <v>251</v>
      </c>
      <c r="H9" s="49" t="s">
        <v>42</v>
      </c>
      <c r="I9" s="49" t="s">
        <v>258</v>
      </c>
      <c r="J9" s="50" t="s">
        <v>187</v>
      </c>
      <c r="K9" s="48" t="s">
        <v>70</v>
      </c>
      <c r="L9" s="49" t="s">
        <v>71</v>
      </c>
      <c r="M9" s="48" t="s">
        <v>34</v>
      </c>
      <c r="N9" s="28" t="s">
        <v>166</v>
      </c>
      <c r="O9" s="29" t="s">
        <v>35</v>
      </c>
      <c r="P9" s="37">
        <v>112.81</v>
      </c>
      <c r="Q9" s="38">
        <f t="shared" si="0"/>
        <v>0.23163841807909624</v>
      </c>
      <c r="R9" s="39">
        <f t="shared" si="1"/>
        <v>86.678870056497161</v>
      </c>
      <c r="S9" s="44">
        <v>0.15</v>
      </c>
      <c r="T9" s="45">
        <v>101.97514124293784</v>
      </c>
      <c r="U9" s="39">
        <f t="shared" si="2"/>
        <v>26.131129943502842</v>
      </c>
      <c r="V9" s="40" t="str">
        <f t="shared" si="3"/>
        <v>1005820140452107361531</v>
      </c>
      <c r="W9" s="41">
        <v>44531</v>
      </c>
      <c r="X9" s="42"/>
      <c r="Y9" s="46"/>
      <c r="Z9" s="47">
        <f t="shared" si="4"/>
        <v>0</v>
      </c>
      <c r="AA9" s="94" t="s">
        <v>335</v>
      </c>
      <c r="AB9" s="95">
        <f t="shared" si="5"/>
        <v>0</v>
      </c>
      <c r="AC9" s="94"/>
      <c r="AD9" s="94">
        <f t="shared" si="6"/>
        <v>0</v>
      </c>
      <c r="AE9" s="96"/>
    </row>
    <row r="10" spans="1:31" s="12" customFormat="1" x14ac:dyDescent="0.2">
      <c r="A10" s="43"/>
      <c r="B10" s="48" t="s">
        <v>27</v>
      </c>
      <c r="C10" s="48" t="s">
        <v>60</v>
      </c>
      <c r="D10" s="48" t="s">
        <v>69</v>
      </c>
      <c r="E10" s="50" t="s">
        <v>254</v>
      </c>
      <c r="F10" s="50" t="s">
        <v>254</v>
      </c>
      <c r="G10" s="49" t="s">
        <v>255</v>
      </c>
      <c r="H10" s="49" t="s">
        <v>44</v>
      </c>
      <c r="I10" s="49" t="s">
        <v>64</v>
      </c>
      <c r="J10" s="50" t="s">
        <v>188</v>
      </c>
      <c r="K10" s="48" t="s">
        <v>72</v>
      </c>
      <c r="L10" s="49" t="s">
        <v>73</v>
      </c>
      <c r="M10" s="48" t="s">
        <v>29</v>
      </c>
      <c r="N10" s="28" t="s">
        <v>165</v>
      </c>
      <c r="O10" s="29" t="s">
        <v>33</v>
      </c>
      <c r="P10" s="37">
        <v>50.39</v>
      </c>
      <c r="Q10" s="38">
        <f t="shared" si="0"/>
        <v>0.46763246675927772</v>
      </c>
      <c r="R10" s="39">
        <f t="shared" si="1"/>
        <v>26.825999999999997</v>
      </c>
      <c r="S10" s="44">
        <v>0.15</v>
      </c>
      <c r="T10" s="45">
        <v>31.56</v>
      </c>
      <c r="U10" s="39">
        <f t="shared" si="2"/>
        <v>23.564000000000004</v>
      </c>
      <c r="V10" s="40" t="str">
        <f t="shared" si="3"/>
        <v>1005820100055237361540</v>
      </c>
      <c r="W10" s="41">
        <v>44531</v>
      </c>
      <c r="X10" s="42"/>
      <c r="Y10" s="46">
        <v>414</v>
      </c>
      <c r="Z10" s="47">
        <f t="shared" si="4"/>
        <v>9755.496000000001</v>
      </c>
      <c r="AA10" s="94">
        <f>20+40+10+20+104+25+15+180</f>
        <v>414</v>
      </c>
      <c r="AB10" s="95">
        <f t="shared" si="5"/>
        <v>9755.496000000001</v>
      </c>
      <c r="AC10" s="94" t="s">
        <v>336</v>
      </c>
      <c r="AD10" s="94">
        <f t="shared" si="6"/>
        <v>0</v>
      </c>
      <c r="AE10" s="96"/>
    </row>
    <row r="11" spans="1:31" s="12" customFormat="1" x14ac:dyDescent="0.2">
      <c r="A11" s="43"/>
      <c r="B11" s="48" t="s">
        <v>27</v>
      </c>
      <c r="C11" s="48" t="s">
        <v>60</v>
      </c>
      <c r="D11" s="48" t="s">
        <v>69</v>
      </c>
      <c r="E11" s="50" t="s">
        <v>254</v>
      </c>
      <c r="F11" s="50" t="s">
        <v>254</v>
      </c>
      <c r="G11" s="49" t="s">
        <v>255</v>
      </c>
      <c r="H11" s="49" t="s">
        <v>44</v>
      </c>
      <c r="I11" s="49" t="s">
        <v>64</v>
      </c>
      <c r="J11" s="50" t="s">
        <v>188</v>
      </c>
      <c r="K11" s="48" t="s">
        <v>72</v>
      </c>
      <c r="L11" s="49" t="s">
        <v>73</v>
      </c>
      <c r="M11" s="48" t="s">
        <v>34</v>
      </c>
      <c r="N11" s="28" t="s">
        <v>173</v>
      </c>
      <c r="O11" s="29" t="s">
        <v>47</v>
      </c>
      <c r="P11" s="37">
        <v>41.42</v>
      </c>
      <c r="Q11" s="38">
        <f t="shared" si="0"/>
        <v>0.48738716760185419</v>
      </c>
      <c r="R11" s="39">
        <f t="shared" si="1"/>
        <v>21.232423517931199</v>
      </c>
      <c r="S11" s="44">
        <v>0.15</v>
      </c>
      <c r="T11" s="45">
        <v>24.97932178580141</v>
      </c>
      <c r="U11" s="39">
        <f t="shared" si="2"/>
        <v>20.187576482068803</v>
      </c>
      <c r="V11" s="40" t="str">
        <f t="shared" si="3"/>
        <v>1005820100055237361535</v>
      </c>
      <c r="W11" s="41">
        <v>44531</v>
      </c>
      <c r="X11" s="42"/>
      <c r="Y11" s="46">
        <v>1327</v>
      </c>
      <c r="Z11" s="47">
        <f t="shared" si="4"/>
        <v>26788.9139917053</v>
      </c>
      <c r="AA11" s="94">
        <f>40+86+40+40+447+55+45+574</f>
        <v>1327</v>
      </c>
      <c r="AB11" s="95">
        <f t="shared" si="5"/>
        <v>26788.9139917053</v>
      </c>
      <c r="AC11" s="94" t="s">
        <v>336</v>
      </c>
      <c r="AD11" s="94">
        <f t="shared" si="6"/>
        <v>0</v>
      </c>
      <c r="AE11" s="96"/>
    </row>
    <row r="12" spans="1:31" s="12" customFormat="1" x14ac:dyDescent="0.2">
      <c r="A12" s="43"/>
      <c r="B12" s="48" t="s">
        <v>27</v>
      </c>
      <c r="C12" s="48" t="s">
        <v>60</v>
      </c>
      <c r="D12" s="48" t="s">
        <v>69</v>
      </c>
      <c r="E12" s="50" t="s">
        <v>254</v>
      </c>
      <c r="F12" s="50" t="s">
        <v>254</v>
      </c>
      <c r="G12" s="49" t="s">
        <v>255</v>
      </c>
      <c r="H12" s="49" t="s">
        <v>44</v>
      </c>
      <c r="I12" s="49" t="s">
        <v>64</v>
      </c>
      <c r="J12" s="50" t="s">
        <v>189</v>
      </c>
      <c r="K12" s="48" t="s">
        <v>74</v>
      </c>
      <c r="L12" s="49" t="s">
        <v>73</v>
      </c>
      <c r="M12" s="48" t="s">
        <v>29</v>
      </c>
      <c r="N12" s="28" t="s">
        <v>165</v>
      </c>
      <c r="O12" s="29" t="s">
        <v>33</v>
      </c>
      <c r="P12" s="37">
        <v>50.39</v>
      </c>
      <c r="Q12" s="38">
        <f t="shared" si="0"/>
        <v>0.46763246675927772</v>
      </c>
      <c r="R12" s="39">
        <f t="shared" si="1"/>
        <v>26.825999999999997</v>
      </c>
      <c r="S12" s="44">
        <v>0.15</v>
      </c>
      <c r="T12" s="45">
        <v>31.56</v>
      </c>
      <c r="U12" s="39">
        <f t="shared" si="2"/>
        <v>23.564000000000004</v>
      </c>
      <c r="V12" s="40" t="str">
        <f t="shared" si="3"/>
        <v>1005820417378911361540</v>
      </c>
      <c r="W12" s="41">
        <v>44531</v>
      </c>
      <c r="X12" s="42"/>
      <c r="Y12" s="46">
        <v>86</v>
      </c>
      <c r="Z12" s="47">
        <f t="shared" si="4"/>
        <v>2026.5040000000004</v>
      </c>
      <c r="AA12" s="94">
        <f>60+20+6</f>
        <v>86</v>
      </c>
      <c r="AB12" s="95">
        <f t="shared" si="5"/>
        <v>2026.5040000000004</v>
      </c>
      <c r="AC12" s="94" t="s">
        <v>336</v>
      </c>
      <c r="AD12" s="94">
        <f t="shared" si="6"/>
        <v>0</v>
      </c>
      <c r="AE12" s="96"/>
    </row>
    <row r="13" spans="1:31" s="12" customFormat="1" x14ac:dyDescent="0.2">
      <c r="A13" s="43"/>
      <c r="B13" s="48" t="s">
        <v>27</v>
      </c>
      <c r="C13" s="48" t="s">
        <v>60</v>
      </c>
      <c r="D13" s="48" t="s">
        <v>69</v>
      </c>
      <c r="E13" s="50" t="s">
        <v>254</v>
      </c>
      <c r="F13" s="50" t="s">
        <v>254</v>
      </c>
      <c r="G13" s="49" t="s">
        <v>255</v>
      </c>
      <c r="H13" s="49" t="s">
        <v>44</v>
      </c>
      <c r="I13" s="49" t="s">
        <v>64</v>
      </c>
      <c r="J13" s="50" t="s">
        <v>189</v>
      </c>
      <c r="K13" s="48" t="s">
        <v>74</v>
      </c>
      <c r="L13" s="49" t="s">
        <v>73</v>
      </c>
      <c r="M13" s="48" t="s">
        <v>34</v>
      </c>
      <c r="N13" s="28" t="s">
        <v>173</v>
      </c>
      <c r="O13" s="29" t="s">
        <v>47</v>
      </c>
      <c r="P13" s="37">
        <v>41.42</v>
      </c>
      <c r="Q13" s="38">
        <f t="shared" si="0"/>
        <v>0.48738716760185419</v>
      </c>
      <c r="R13" s="39">
        <f t="shared" si="1"/>
        <v>21.232423517931199</v>
      </c>
      <c r="S13" s="44">
        <v>0.15</v>
      </c>
      <c r="T13" s="45">
        <v>24.97932178580141</v>
      </c>
      <c r="U13" s="39">
        <f t="shared" si="2"/>
        <v>20.187576482068803</v>
      </c>
      <c r="V13" s="40" t="str">
        <f t="shared" si="3"/>
        <v>1005820417378911361535</v>
      </c>
      <c r="W13" s="41">
        <v>44531</v>
      </c>
      <c r="X13" s="42"/>
      <c r="Y13" s="46">
        <v>6</v>
      </c>
      <c r="Z13" s="47">
        <f t="shared" si="4"/>
        <v>121.12545889241281</v>
      </c>
      <c r="AA13" s="94">
        <f>(6+6)/2</f>
        <v>6</v>
      </c>
      <c r="AB13" s="95">
        <f t="shared" si="5"/>
        <v>121.12545889241281</v>
      </c>
      <c r="AC13" s="94" t="s">
        <v>336</v>
      </c>
      <c r="AD13" s="94">
        <f t="shared" si="6"/>
        <v>0</v>
      </c>
      <c r="AE13" s="96"/>
    </row>
    <row r="14" spans="1:31" s="12" customFormat="1" x14ac:dyDescent="0.2">
      <c r="A14" s="43"/>
      <c r="B14" s="48" t="s">
        <v>27</v>
      </c>
      <c r="C14" s="48" t="s">
        <v>60</v>
      </c>
      <c r="D14" s="48" t="s">
        <v>69</v>
      </c>
      <c r="E14" s="50" t="s">
        <v>254</v>
      </c>
      <c r="F14" s="50" t="s">
        <v>254</v>
      </c>
      <c r="G14" s="49" t="s">
        <v>255</v>
      </c>
      <c r="H14" s="49" t="s">
        <v>44</v>
      </c>
      <c r="I14" s="49" t="s">
        <v>64</v>
      </c>
      <c r="J14" s="50" t="s">
        <v>190</v>
      </c>
      <c r="K14" s="48" t="s">
        <v>75</v>
      </c>
      <c r="L14" s="49" t="s">
        <v>73</v>
      </c>
      <c r="M14" s="48" t="s">
        <v>34</v>
      </c>
      <c r="N14" s="28" t="s">
        <v>173</v>
      </c>
      <c r="O14" s="29" t="s">
        <v>47</v>
      </c>
      <c r="P14" s="37">
        <v>41.42</v>
      </c>
      <c r="Q14" s="38">
        <f t="shared" si="0"/>
        <v>0.48738716760185419</v>
      </c>
      <c r="R14" s="39">
        <f t="shared" si="1"/>
        <v>21.232423517931199</v>
      </c>
      <c r="S14" s="44">
        <v>0.15</v>
      </c>
      <c r="T14" s="45">
        <v>24.97932178580141</v>
      </c>
      <c r="U14" s="39">
        <f t="shared" si="2"/>
        <v>20.187576482068803</v>
      </c>
      <c r="V14" s="40" t="str">
        <f t="shared" si="3"/>
        <v>1005820557345931361535</v>
      </c>
      <c r="W14" s="41">
        <v>44531</v>
      </c>
      <c r="X14" s="42"/>
      <c r="Y14" s="46"/>
      <c r="Z14" s="47">
        <f t="shared" si="4"/>
        <v>0</v>
      </c>
      <c r="AA14" s="94" t="s">
        <v>335</v>
      </c>
      <c r="AB14" s="95">
        <f t="shared" si="5"/>
        <v>0</v>
      </c>
      <c r="AC14" s="94"/>
      <c r="AD14" s="94">
        <f t="shared" si="6"/>
        <v>0</v>
      </c>
      <c r="AE14" s="96"/>
    </row>
    <row r="15" spans="1:31" s="12" customFormat="1" x14ac:dyDescent="0.2">
      <c r="A15" s="43"/>
      <c r="B15" s="48" t="s">
        <v>27</v>
      </c>
      <c r="C15" s="48" t="s">
        <v>60</v>
      </c>
      <c r="D15" s="48" t="s">
        <v>69</v>
      </c>
      <c r="E15" s="50" t="s">
        <v>254</v>
      </c>
      <c r="F15" s="50" t="s">
        <v>254</v>
      </c>
      <c r="G15" s="49" t="s">
        <v>255</v>
      </c>
      <c r="H15" s="49" t="s">
        <v>44</v>
      </c>
      <c r="I15" s="49" t="s">
        <v>64</v>
      </c>
      <c r="J15" s="50" t="s">
        <v>191</v>
      </c>
      <c r="K15" s="48" t="s">
        <v>76</v>
      </c>
      <c r="L15" s="49" t="s">
        <v>73</v>
      </c>
      <c r="M15" s="48" t="s">
        <v>29</v>
      </c>
      <c r="N15" s="28" t="s">
        <v>165</v>
      </c>
      <c r="O15" s="29" t="s">
        <v>33</v>
      </c>
      <c r="P15" s="37">
        <v>50.39</v>
      </c>
      <c r="Q15" s="38">
        <f t="shared" si="0"/>
        <v>0.32121452669180395</v>
      </c>
      <c r="R15" s="39">
        <f t="shared" si="1"/>
        <v>34.204000000000001</v>
      </c>
      <c r="S15" s="44">
        <v>0.15</v>
      </c>
      <c r="T15" s="45">
        <v>40.24</v>
      </c>
      <c r="U15" s="39">
        <f t="shared" si="2"/>
        <v>16.186</v>
      </c>
      <c r="V15" s="40" t="str">
        <f t="shared" si="3"/>
        <v>1005820552764804361540</v>
      </c>
      <c r="W15" s="41">
        <v>44531</v>
      </c>
      <c r="X15" s="42"/>
      <c r="Y15" s="46">
        <v>24</v>
      </c>
      <c r="Z15" s="47">
        <f t="shared" si="4"/>
        <v>388.464</v>
      </c>
      <c r="AA15" s="94">
        <f>96/4</f>
        <v>24</v>
      </c>
      <c r="AB15" s="95">
        <f t="shared" si="5"/>
        <v>388.464</v>
      </c>
      <c r="AC15" s="94" t="s">
        <v>336</v>
      </c>
      <c r="AD15" s="94">
        <f t="shared" si="6"/>
        <v>0</v>
      </c>
      <c r="AE15" s="96"/>
    </row>
    <row r="16" spans="1:31" s="12" customFormat="1" x14ac:dyDescent="0.2">
      <c r="A16" s="43"/>
      <c r="B16" s="48" t="s">
        <v>27</v>
      </c>
      <c r="C16" s="48" t="s">
        <v>60</v>
      </c>
      <c r="D16" s="48" t="s">
        <v>69</v>
      </c>
      <c r="E16" s="50" t="s">
        <v>254</v>
      </c>
      <c r="F16" s="50" t="s">
        <v>254</v>
      </c>
      <c r="G16" s="49" t="s">
        <v>255</v>
      </c>
      <c r="H16" s="49" t="s">
        <v>44</v>
      </c>
      <c r="I16" s="49" t="s">
        <v>64</v>
      </c>
      <c r="J16" s="50" t="s">
        <v>191</v>
      </c>
      <c r="K16" s="48" t="s">
        <v>76</v>
      </c>
      <c r="L16" s="49" t="s">
        <v>73</v>
      </c>
      <c r="M16" s="48" t="s">
        <v>34</v>
      </c>
      <c r="N16" s="28" t="s">
        <v>166</v>
      </c>
      <c r="O16" s="29" t="s">
        <v>35</v>
      </c>
      <c r="P16" s="37">
        <v>112.81</v>
      </c>
      <c r="Q16" s="38">
        <f t="shared" si="0"/>
        <v>0.35786924939467313</v>
      </c>
      <c r="R16" s="39">
        <f t="shared" si="1"/>
        <v>72.438769975786926</v>
      </c>
      <c r="S16" s="44">
        <v>0.15</v>
      </c>
      <c r="T16" s="45">
        <v>85.222082324455215</v>
      </c>
      <c r="U16" s="39">
        <f t="shared" si="2"/>
        <v>40.371230024213077</v>
      </c>
      <c r="V16" s="40" t="str">
        <f t="shared" si="3"/>
        <v>1005820552764804361531</v>
      </c>
      <c r="W16" s="41">
        <v>44531</v>
      </c>
      <c r="X16" s="42"/>
      <c r="Y16" s="46">
        <v>12</v>
      </c>
      <c r="Z16" s="47">
        <f t="shared" si="4"/>
        <v>484.45476029055692</v>
      </c>
      <c r="AA16" s="94">
        <f>216/18</f>
        <v>12</v>
      </c>
      <c r="AB16" s="95">
        <f t="shared" si="5"/>
        <v>484.45476029055692</v>
      </c>
      <c r="AC16" s="94" t="s">
        <v>336</v>
      </c>
      <c r="AD16" s="94">
        <f t="shared" si="6"/>
        <v>0</v>
      </c>
      <c r="AE16" s="96"/>
    </row>
    <row r="17" spans="1:31" s="12" customFormat="1" x14ac:dyDescent="0.2">
      <c r="A17" s="14"/>
      <c r="B17" s="48" t="s">
        <v>27</v>
      </c>
      <c r="C17" s="48" t="s">
        <v>60</v>
      </c>
      <c r="D17" s="48" t="s">
        <v>69</v>
      </c>
      <c r="E17" s="50" t="s">
        <v>254</v>
      </c>
      <c r="F17" s="50" t="s">
        <v>254</v>
      </c>
      <c r="G17" s="49" t="s">
        <v>251</v>
      </c>
      <c r="H17" s="49" t="s">
        <v>68</v>
      </c>
      <c r="I17" s="49" t="s">
        <v>259</v>
      </c>
      <c r="J17" s="50" t="s">
        <v>192</v>
      </c>
      <c r="K17" s="48" t="s">
        <v>77</v>
      </c>
      <c r="L17" s="49" t="s">
        <v>78</v>
      </c>
      <c r="M17" s="48" t="s">
        <v>29</v>
      </c>
      <c r="N17" s="28" t="s">
        <v>162</v>
      </c>
      <c r="O17" s="29" t="s">
        <v>31</v>
      </c>
      <c r="P17" s="37">
        <v>25.86</v>
      </c>
      <c r="Q17" s="38">
        <f t="shared" si="0"/>
        <v>0.15708052360174529</v>
      </c>
      <c r="R17" s="39">
        <f t="shared" si="1"/>
        <v>21.797897659658865</v>
      </c>
      <c r="S17" s="44">
        <v>0.15</v>
      </c>
      <c r="T17" s="45">
        <v>25.644585481951605</v>
      </c>
      <c r="U17" s="39">
        <f t="shared" si="2"/>
        <v>4.0621023403411343</v>
      </c>
      <c r="V17" s="40" t="str">
        <f t="shared" si="3"/>
        <v>1005820603817185361571</v>
      </c>
      <c r="W17" s="41">
        <v>44531</v>
      </c>
      <c r="X17" s="42"/>
      <c r="Y17" s="46"/>
      <c r="Z17" s="47">
        <f t="shared" si="4"/>
        <v>0</v>
      </c>
      <c r="AA17" s="94" t="s">
        <v>335</v>
      </c>
      <c r="AB17" s="95">
        <f t="shared" si="5"/>
        <v>0</v>
      </c>
      <c r="AC17" s="94"/>
      <c r="AD17" s="94">
        <f t="shared" si="6"/>
        <v>0</v>
      </c>
      <c r="AE17" s="96"/>
    </row>
    <row r="18" spans="1:31" s="12" customFormat="1" x14ac:dyDescent="0.2">
      <c r="A18" s="14"/>
      <c r="B18" s="48" t="s">
        <v>27</v>
      </c>
      <c r="C18" s="48" t="s">
        <v>60</v>
      </c>
      <c r="D18" s="48" t="s">
        <v>69</v>
      </c>
      <c r="E18" s="50" t="s">
        <v>254</v>
      </c>
      <c r="F18" s="50" t="s">
        <v>254</v>
      </c>
      <c r="G18" s="49" t="s">
        <v>251</v>
      </c>
      <c r="H18" s="49" t="s">
        <v>68</v>
      </c>
      <c r="I18" s="49" t="s">
        <v>259</v>
      </c>
      <c r="J18" s="50" t="s">
        <v>192</v>
      </c>
      <c r="K18" s="48" t="s">
        <v>77</v>
      </c>
      <c r="L18" s="49" t="s">
        <v>78</v>
      </c>
      <c r="M18" s="48" t="s">
        <v>29</v>
      </c>
      <c r="N18" s="28" t="s">
        <v>162</v>
      </c>
      <c r="O18" s="29" t="s">
        <v>31</v>
      </c>
      <c r="P18" s="37">
        <v>25.86</v>
      </c>
      <c r="Q18" s="38">
        <f t="shared" si="0"/>
        <v>0.15708052360174529</v>
      </c>
      <c r="R18" s="39">
        <f t="shared" si="1"/>
        <v>21.797897659658865</v>
      </c>
      <c r="S18" s="44">
        <v>0.15</v>
      </c>
      <c r="T18" s="45">
        <v>25.644585481951605</v>
      </c>
      <c r="U18" s="39">
        <f t="shared" si="2"/>
        <v>4.0621023403411343</v>
      </c>
      <c r="V18" s="40" t="str">
        <f t="shared" si="3"/>
        <v>1005820603817185361571</v>
      </c>
      <c r="W18" s="41">
        <v>44531</v>
      </c>
      <c r="X18" s="42"/>
      <c r="Y18" s="46"/>
      <c r="Z18" s="47">
        <f t="shared" si="4"/>
        <v>0</v>
      </c>
      <c r="AA18" s="94" t="s">
        <v>335</v>
      </c>
      <c r="AB18" s="95">
        <f t="shared" si="5"/>
        <v>0</v>
      </c>
      <c r="AC18" s="94"/>
      <c r="AD18" s="94">
        <f t="shared" si="6"/>
        <v>0</v>
      </c>
      <c r="AE18" s="96"/>
    </row>
    <row r="19" spans="1:31" s="12" customFormat="1" x14ac:dyDescent="0.2">
      <c r="A19" s="14"/>
      <c r="B19" s="48" t="s">
        <v>27</v>
      </c>
      <c r="C19" s="48" t="s">
        <v>60</v>
      </c>
      <c r="D19" s="48" t="s">
        <v>69</v>
      </c>
      <c r="E19" s="50" t="s">
        <v>254</v>
      </c>
      <c r="F19" s="50" t="s">
        <v>254</v>
      </c>
      <c r="G19" s="49" t="s">
        <v>251</v>
      </c>
      <c r="H19" s="49" t="s">
        <v>68</v>
      </c>
      <c r="I19" s="49" t="s">
        <v>259</v>
      </c>
      <c r="J19" s="50" t="s">
        <v>192</v>
      </c>
      <c r="K19" s="48" t="s">
        <v>77</v>
      </c>
      <c r="L19" s="49" t="s">
        <v>78</v>
      </c>
      <c r="M19" s="48" t="s">
        <v>34</v>
      </c>
      <c r="N19" s="28" t="s">
        <v>173</v>
      </c>
      <c r="O19" s="29" t="s">
        <v>47</v>
      </c>
      <c r="P19" s="37">
        <v>41.42</v>
      </c>
      <c r="Q19" s="38">
        <f t="shared" si="0"/>
        <v>0.53466699194925593</v>
      </c>
      <c r="R19" s="39">
        <f t="shared" si="1"/>
        <v>19.27409319346182</v>
      </c>
      <c r="S19" s="44">
        <v>0.15</v>
      </c>
      <c r="T19" s="45">
        <v>22.675403757013907</v>
      </c>
      <c r="U19" s="39">
        <f t="shared" si="2"/>
        <v>22.145906806538182</v>
      </c>
      <c r="V19" s="40" t="str">
        <f t="shared" si="3"/>
        <v>1005820603817185361535</v>
      </c>
      <c r="W19" s="41">
        <v>44531</v>
      </c>
      <c r="X19" s="42"/>
      <c r="Y19" s="46"/>
      <c r="Z19" s="47">
        <f t="shared" si="4"/>
        <v>0</v>
      </c>
      <c r="AA19" s="94" t="s">
        <v>335</v>
      </c>
      <c r="AB19" s="95">
        <f t="shared" si="5"/>
        <v>0</v>
      </c>
      <c r="AC19" s="94"/>
      <c r="AD19" s="94">
        <f t="shared" si="6"/>
        <v>0</v>
      </c>
      <c r="AE19" s="96"/>
    </row>
    <row r="20" spans="1:31" s="12" customFormat="1" x14ac:dyDescent="0.2">
      <c r="A20" s="14"/>
      <c r="B20" s="48" t="s">
        <v>27</v>
      </c>
      <c r="C20" s="48" t="s">
        <v>60</v>
      </c>
      <c r="D20" s="48" t="s">
        <v>69</v>
      </c>
      <c r="E20" s="50" t="s">
        <v>254</v>
      </c>
      <c r="F20" s="50" t="s">
        <v>254</v>
      </c>
      <c r="G20" s="49" t="s">
        <v>251</v>
      </c>
      <c r="H20" s="49" t="s">
        <v>68</v>
      </c>
      <c r="I20" s="49" t="s">
        <v>259</v>
      </c>
      <c r="J20" s="50" t="s">
        <v>193</v>
      </c>
      <c r="K20" s="48" t="s">
        <v>79</v>
      </c>
      <c r="L20" s="49" t="s">
        <v>78</v>
      </c>
      <c r="M20" s="48" t="s">
        <v>29</v>
      </c>
      <c r="N20" s="28" t="s">
        <v>162</v>
      </c>
      <c r="O20" s="29" t="s">
        <v>31</v>
      </c>
      <c r="P20" s="37">
        <v>25.86</v>
      </c>
      <c r="Q20" s="38">
        <f t="shared" si="0"/>
        <v>0.15708052360174529</v>
      </c>
      <c r="R20" s="39">
        <f t="shared" si="1"/>
        <v>21.797897659658865</v>
      </c>
      <c r="S20" s="44">
        <v>0.15</v>
      </c>
      <c r="T20" s="45">
        <v>25.644585481951605</v>
      </c>
      <c r="U20" s="39">
        <f t="shared" si="2"/>
        <v>4.0621023403411343</v>
      </c>
      <c r="V20" s="40" t="str">
        <f t="shared" si="3"/>
        <v>1005820520869655361571</v>
      </c>
      <c r="W20" s="41">
        <v>44531</v>
      </c>
      <c r="X20" s="42"/>
      <c r="Y20" s="46"/>
      <c r="Z20" s="47">
        <f t="shared" si="4"/>
        <v>0</v>
      </c>
      <c r="AA20" s="94" t="s">
        <v>335</v>
      </c>
      <c r="AB20" s="95">
        <f t="shared" si="5"/>
        <v>0</v>
      </c>
      <c r="AC20" s="94"/>
      <c r="AD20" s="94">
        <f t="shared" si="6"/>
        <v>0</v>
      </c>
      <c r="AE20" s="96"/>
    </row>
    <row r="21" spans="1:31" s="12" customFormat="1" x14ac:dyDescent="0.2">
      <c r="A21" s="14"/>
      <c r="B21" s="48" t="s">
        <v>27</v>
      </c>
      <c r="C21" s="48" t="s">
        <v>60</v>
      </c>
      <c r="D21" s="48" t="s">
        <v>69</v>
      </c>
      <c r="E21" s="50" t="s">
        <v>254</v>
      </c>
      <c r="F21" s="50" t="s">
        <v>254</v>
      </c>
      <c r="G21" s="49" t="s">
        <v>251</v>
      </c>
      <c r="H21" s="49" t="s">
        <v>68</v>
      </c>
      <c r="I21" s="49" t="s">
        <v>259</v>
      </c>
      <c r="J21" s="50" t="s">
        <v>193</v>
      </c>
      <c r="K21" s="48" t="s">
        <v>79</v>
      </c>
      <c r="L21" s="49" t="s">
        <v>78</v>
      </c>
      <c r="M21" s="48" t="s">
        <v>29</v>
      </c>
      <c r="N21" s="28" t="s">
        <v>162</v>
      </c>
      <c r="O21" s="29" t="s">
        <v>31</v>
      </c>
      <c r="P21" s="37">
        <v>25.86</v>
      </c>
      <c r="Q21" s="38">
        <f t="shared" si="0"/>
        <v>0.15708052360174529</v>
      </c>
      <c r="R21" s="39">
        <f t="shared" si="1"/>
        <v>21.797897659658865</v>
      </c>
      <c r="S21" s="44">
        <v>0.15</v>
      </c>
      <c r="T21" s="45">
        <v>25.644585481951605</v>
      </c>
      <c r="U21" s="39">
        <f t="shared" si="2"/>
        <v>4.0621023403411343</v>
      </c>
      <c r="V21" s="40" t="str">
        <f t="shared" si="3"/>
        <v>1005820520869655361571</v>
      </c>
      <c r="W21" s="41">
        <v>44531</v>
      </c>
      <c r="X21" s="42"/>
      <c r="Y21" s="46"/>
      <c r="Z21" s="47">
        <f t="shared" si="4"/>
        <v>0</v>
      </c>
      <c r="AA21" s="94" t="s">
        <v>335</v>
      </c>
      <c r="AB21" s="95">
        <f t="shared" si="5"/>
        <v>0</v>
      </c>
      <c r="AC21" s="94"/>
      <c r="AD21" s="94">
        <f t="shared" si="6"/>
        <v>0</v>
      </c>
      <c r="AE21" s="96"/>
    </row>
    <row r="22" spans="1:31" s="12" customFormat="1" x14ac:dyDescent="0.2">
      <c r="A22" s="14"/>
      <c r="B22" s="48" t="s">
        <v>27</v>
      </c>
      <c r="C22" s="48" t="s">
        <v>60</v>
      </c>
      <c r="D22" s="48" t="s">
        <v>69</v>
      </c>
      <c r="E22" s="50" t="s">
        <v>254</v>
      </c>
      <c r="F22" s="50" t="s">
        <v>254</v>
      </c>
      <c r="G22" s="49" t="s">
        <v>251</v>
      </c>
      <c r="H22" s="49" t="s">
        <v>68</v>
      </c>
      <c r="I22" s="49" t="s">
        <v>259</v>
      </c>
      <c r="J22" s="50" t="s">
        <v>193</v>
      </c>
      <c r="K22" s="48" t="s">
        <v>79</v>
      </c>
      <c r="L22" s="49" t="s">
        <v>78</v>
      </c>
      <c r="M22" s="48" t="s">
        <v>34</v>
      </c>
      <c r="N22" s="28" t="s">
        <v>173</v>
      </c>
      <c r="O22" s="29" t="s">
        <v>47</v>
      </c>
      <c r="P22" s="37">
        <v>41.42</v>
      </c>
      <c r="Q22" s="38">
        <f t="shared" si="0"/>
        <v>0.53466699194925593</v>
      </c>
      <c r="R22" s="39">
        <f t="shared" si="1"/>
        <v>19.27409319346182</v>
      </c>
      <c r="S22" s="44">
        <v>0.15</v>
      </c>
      <c r="T22" s="45">
        <v>22.675403757013907</v>
      </c>
      <c r="U22" s="39">
        <f t="shared" si="2"/>
        <v>22.145906806538182</v>
      </c>
      <c r="V22" s="40" t="str">
        <f t="shared" si="3"/>
        <v>1005820520869655361535</v>
      </c>
      <c r="W22" s="41">
        <v>44531</v>
      </c>
      <c r="X22" s="42"/>
      <c r="Y22" s="46"/>
      <c r="Z22" s="47">
        <f t="shared" si="4"/>
        <v>0</v>
      </c>
      <c r="AA22" s="94" t="s">
        <v>335</v>
      </c>
      <c r="AB22" s="95">
        <f t="shared" si="5"/>
        <v>0</v>
      </c>
      <c r="AC22" s="94"/>
      <c r="AD22" s="94">
        <f t="shared" si="6"/>
        <v>0</v>
      </c>
      <c r="AE22" s="96"/>
    </row>
    <row r="23" spans="1:31" s="12" customFormat="1" x14ac:dyDescent="0.2">
      <c r="A23" s="14"/>
      <c r="B23" s="48" t="s">
        <v>27</v>
      </c>
      <c r="C23" s="48" t="s">
        <v>60</v>
      </c>
      <c r="D23" s="48" t="s">
        <v>69</v>
      </c>
      <c r="E23" s="50" t="s">
        <v>254</v>
      </c>
      <c r="F23" s="50" t="s">
        <v>254</v>
      </c>
      <c r="G23" s="49" t="s">
        <v>251</v>
      </c>
      <c r="H23" s="49" t="s">
        <v>68</v>
      </c>
      <c r="I23" s="49" t="s">
        <v>259</v>
      </c>
      <c r="J23" s="50" t="s">
        <v>194</v>
      </c>
      <c r="K23" s="48" t="s">
        <v>80</v>
      </c>
      <c r="L23" s="49" t="s">
        <v>78</v>
      </c>
      <c r="M23" s="48" t="s">
        <v>29</v>
      </c>
      <c r="N23" s="28" t="s">
        <v>162</v>
      </c>
      <c r="O23" s="29" t="s">
        <v>31</v>
      </c>
      <c r="P23" s="37">
        <v>25.86</v>
      </c>
      <c r="Q23" s="38">
        <f t="shared" si="0"/>
        <v>0.16382387941293142</v>
      </c>
      <c r="R23" s="39">
        <f t="shared" si="1"/>
        <v>21.623514478381594</v>
      </c>
      <c r="S23" s="44">
        <v>0.15</v>
      </c>
      <c r="T23" s="45">
        <v>25.439428798095992</v>
      </c>
      <c r="U23" s="39">
        <f t="shared" si="2"/>
        <v>4.2364855216184054</v>
      </c>
      <c r="V23" s="40" t="str">
        <f t="shared" si="3"/>
        <v>1005820544705688361571</v>
      </c>
      <c r="W23" s="41">
        <v>44531</v>
      </c>
      <c r="X23" s="42"/>
      <c r="Y23" s="46"/>
      <c r="Z23" s="47">
        <f t="shared" si="4"/>
        <v>0</v>
      </c>
      <c r="AA23" s="94" t="s">
        <v>335</v>
      </c>
      <c r="AB23" s="95">
        <f t="shared" si="5"/>
        <v>0</v>
      </c>
      <c r="AC23" s="94"/>
      <c r="AD23" s="94">
        <f t="shared" si="6"/>
        <v>0</v>
      </c>
      <c r="AE23" s="96"/>
    </row>
    <row r="24" spans="1:31" s="12" customFormat="1" x14ac:dyDescent="0.2">
      <c r="A24" s="14"/>
      <c r="B24" s="48" t="s">
        <v>27</v>
      </c>
      <c r="C24" s="48" t="s">
        <v>60</v>
      </c>
      <c r="D24" s="48" t="s">
        <v>69</v>
      </c>
      <c r="E24" s="50" t="s">
        <v>254</v>
      </c>
      <c r="F24" s="50" t="s">
        <v>254</v>
      </c>
      <c r="G24" s="49" t="s">
        <v>251</v>
      </c>
      <c r="H24" s="49" t="s">
        <v>68</v>
      </c>
      <c r="I24" s="49" t="s">
        <v>259</v>
      </c>
      <c r="J24" s="50" t="s">
        <v>194</v>
      </c>
      <c r="K24" s="48" t="s">
        <v>80</v>
      </c>
      <c r="L24" s="49" t="s">
        <v>78</v>
      </c>
      <c r="M24" s="48" t="s">
        <v>29</v>
      </c>
      <c r="N24" s="28" t="s">
        <v>162</v>
      </c>
      <c r="O24" s="29" t="s">
        <v>31</v>
      </c>
      <c r="P24" s="37">
        <v>25.86</v>
      </c>
      <c r="Q24" s="38">
        <f t="shared" si="0"/>
        <v>0.16382387941293142</v>
      </c>
      <c r="R24" s="39">
        <f t="shared" si="1"/>
        <v>21.623514478381594</v>
      </c>
      <c r="S24" s="44">
        <v>0.15</v>
      </c>
      <c r="T24" s="45">
        <v>25.439428798095992</v>
      </c>
      <c r="U24" s="39">
        <f t="shared" si="2"/>
        <v>4.2364855216184054</v>
      </c>
      <c r="V24" s="40" t="str">
        <f t="shared" si="3"/>
        <v>1005820544705688361571</v>
      </c>
      <c r="W24" s="41">
        <v>44531</v>
      </c>
      <c r="X24" s="42"/>
      <c r="Y24" s="46"/>
      <c r="Z24" s="47">
        <f t="shared" si="4"/>
        <v>0</v>
      </c>
      <c r="AA24" s="94" t="s">
        <v>335</v>
      </c>
      <c r="AB24" s="95">
        <f t="shared" si="5"/>
        <v>0</v>
      </c>
      <c r="AC24" s="94"/>
      <c r="AD24" s="94">
        <f t="shared" si="6"/>
        <v>0</v>
      </c>
      <c r="AE24" s="96"/>
    </row>
    <row r="25" spans="1:31" s="12" customFormat="1" x14ac:dyDescent="0.2">
      <c r="A25" s="14"/>
      <c r="B25" s="48" t="s">
        <v>27</v>
      </c>
      <c r="C25" s="48" t="s">
        <v>60</v>
      </c>
      <c r="D25" s="48" t="s">
        <v>69</v>
      </c>
      <c r="E25" s="50" t="s">
        <v>254</v>
      </c>
      <c r="F25" s="50" t="s">
        <v>254</v>
      </c>
      <c r="G25" s="49" t="s">
        <v>251</v>
      </c>
      <c r="H25" s="49" t="s">
        <v>68</v>
      </c>
      <c r="I25" s="49" t="s">
        <v>259</v>
      </c>
      <c r="J25" s="50" t="s">
        <v>194</v>
      </c>
      <c r="K25" s="48" t="s">
        <v>80</v>
      </c>
      <c r="L25" s="49" t="s">
        <v>78</v>
      </c>
      <c r="M25" s="48" t="s">
        <v>34</v>
      </c>
      <c r="N25" s="28" t="s">
        <v>173</v>
      </c>
      <c r="O25" s="29" t="s">
        <v>47</v>
      </c>
      <c r="P25" s="37">
        <v>41.42</v>
      </c>
      <c r="Q25" s="38">
        <f t="shared" si="0"/>
        <v>0.53466699194925593</v>
      </c>
      <c r="R25" s="39">
        <f t="shared" si="1"/>
        <v>19.27409319346182</v>
      </c>
      <c r="S25" s="44">
        <v>0.15</v>
      </c>
      <c r="T25" s="45">
        <v>22.675403757013907</v>
      </c>
      <c r="U25" s="39">
        <f t="shared" si="2"/>
        <v>22.145906806538182</v>
      </c>
      <c r="V25" s="40" t="str">
        <f t="shared" si="3"/>
        <v>1005820544705688361535</v>
      </c>
      <c r="W25" s="41">
        <v>44531</v>
      </c>
      <c r="X25" s="42"/>
      <c r="Y25" s="46"/>
      <c r="Z25" s="47">
        <f t="shared" si="4"/>
        <v>0</v>
      </c>
      <c r="AA25" s="94" t="s">
        <v>335</v>
      </c>
      <c r="AB25" s="95">
        <f>IFERROR(AA25*U25,0)</f>
        <v>0</v>
      </c>
      <c r="AC25" s="94"/>
      <c r="AD25" s="94">
        <f t="shared" si="6"/>
        <v>0</v>
      </c>
      <c r="AE25" s="96"/>
    </row>
    <row r="26" spans="1:31" s="12" customFormat="1" x14ac:dyDescent="0.2">
      <c r="A26" s="14"/>
      <c r="B26" s="48" t="s">
        <v>27</v>
      </c>
      <c r="C26" s="48" t="s">
        <v>60</v>
      </c>
      <c r="D26" s="48" t="s">
        <v>69</v>
      </c>
      <c r="E26" s="50" t="s">
        <v>254</v>
      </c>
      <c r="F26" s="50" t="s">
        <v>254</v>
      </c>
      <c r="G26" s="49" t="s">
        <v>251</v>
      </c>
      <c r="H26" s="49" t="s">
        <v>81</v>
      </c>
      <c r="I26" s="49" t="s">
        <v>155</v>
      </c>
      <c r="J26" s="50" t="s">
        <v>195</v>
      </c>
      <c r="K26" s="48" t="s">
        <v>82</v>
      </c>
      <c r="L26" s="49" t="s">
        <v>83</v>
      </c>
      <c r="M26" s="48" t="s">
        <v>28</v>
      </c>
      <c r="N26" s="28" t="s">
        <v>267</v>
      </c>
      <c r="O26" s="29" t="s">
        <v>266</v>
      </c>
      <c r="P26" s="37">
        <v>54.03</v>
      </c>
      <c r="Q26" s="38">
        <f t="shared" si="0"/>
        <v>0.21477547978386435</v>
      </c>
      <c r="R26" s="39">
        <f t="shared" si="1"/>
        <v>42.425680827277809</v>
      </c>
      <c r="S26" s="44">
        <v>0.15</v>
      </c>
      <c r="T26" s="45">
        <v>49.912565679150362</v>
      </c>
      <c r="U26" s="39">
        <f t="shared" si="2"/>
        <v>11.604319172722192</v>
      </c>
      <c r="V26" s="40" t="str">
        <f t="shared" si="3"/>
        <v>1005820107695584361311</v>
      </c>
      <c r="W26" s="41">
        <v>44531</v>
      </c>
      <c r="X26" s="42"/>
      <c r="Y26" s="46">
        <v>90</v>
      </c>
      <c r="Z26" s="47">
        <f t="shared" si="4"/>
        <v>1044.3887255449972</v>
      </c>
      <c r="AA26" s="94">
        <f>40+25+25</f>
        <v>90</v>
      </c>
      <c r="AB26" s="95">
        <f>IFERROR(AA26*U26,0)</f>
        <v>1044.3887255449972</v>
      </c>
      <c r="AC26" s="94" t="s">
        <v>336</v>
      </c>
      <c r="AD26" s="94">
        <f t="shared" si="6"/>
        <v>0</v>
      </c>
      <c r="AE26" s="96"/>
    </row>
    <row r="27" spans="1:31" s="12" customFormat="1" x14ac:dyDescent="0.2">
      <c r="A27" s="14"/>
      <c r="B27" s="48" t="s">
        <v>27</v>
      </c>
      <c r="C27" s="48" t="s">
        <v>60</v>
      </c>
      <c r="D27" s="48" t="s">
        <v>69</v>
      </c>
      <c r="E27" s="50" t="s">
        <v>254</v>
      </c>
      <c r="F27" s="50" t="s">
        <v>254</v>
      </c>
      <c r="G27" s="49" t="s">
        <v>251</v>
      </c>
      <c r="H27" s="49" t="s">
        <v>81</v>
      </c>
      <c r="I27" s="49" t="s">
        <v>155</v>
      </c>
      <c r="J27" s="50" t="s">
        <v>195</v>
      </c>
      <c r="K27" s="48" t="s">
        <v>82</v>
      </c>
      <c r="L27" s="49" t="s">
        <v>83</v>
      </c>
      <c r="M27" s="48" t="s">
        <v>34</v>
      </c>
      <c r="N27" s="28" t="s">
        <v>167</v>
      </c>
      <c r="O27" s="29" t="s">
        <v>36</v>
      </c>
      <c r="P27" s="37">
        <v>26.44</v>
      </c>
      <c r="Q27" s="38">
        <f t="shared" si="0"/>
        <v>3.4551231135821925E-2</v>
      </c>
      <c r="R27" s="39">
        <f t="shared" si="1"/>
        <v>25.526465448768871</v>
      </c>
      <c r="S27" s="44">
        <v>0.15</v>
      </c>
      <c r="T27" s="45">
        <v>30.031135822081026</v>
      </c>
      <c r="U27" s="39">
        <f t="shared" si="2"/>
        <v>0.91353455123113037</v>
      </c>
      <c r="V27" s="40" t="str">
        <f t="shared" si="3"/>
        <v>1005820107695584361532</v>
      </c>
      <c r="W27" s="41">
        <v>44531</v>
      </c>
      <c r="X27" s="42"/>
      <c r="Y27" s="46">
        <v>400</v>
      </c>
      <c r="Z27" s="47">
        <f t="shared" si="4"/>
        <v>365.41382049245215</v>
      </c>
      <c r="AA27" s="94">
        <f>(440+300+60)/2</f>
        <v>400</v>
      </c>
      <c r="AB27" s="95">
        <f t="shared" si="5"/>
        <v>365.41382049245215</v>
      </c>
      <c r="AC27" s="94" t="s">
        <v>336</v>
      </c>
      <c r="AD27" s="94">
        <f t="shared" si="6"/>
        <v>0</v>
      </c>
      <c r="AE27" s="96"/>
    </row>
    <row r="28" spans="1:31" s="12" customFormat="1" x14ac:dyDescent="0.2">
      <c r="A28" s="14"/>
      <c r="B28" s="48" t="s">
        <v>27</v>
      </c>
      <c r="C28" s="48" t="s">
        <v>60</v>
      </c>
      <c r="D28" s="48" t="s">
        <v>69</v>
      </c>
      <c r="E28" s="50" t="s">
        <v>254</v>
      </c>
      <c r="F28" s="50" t="s">
        <v>254</v>
      </c>
      <c r="G28" s="49" t="s">
        <v>251</v>
      </c>
      <c r="H28" s="49" t="s">
        <v>68</v>
      </c>
      <c r="I28" s="49" t="s">
        <v>252</v>
      </c>
      <c r="J28" s="50" t="s">
        <v>196</v>
      </c>
      <c r="K28" s="48" t="s">
        <v>84</v>
      </c>
      <c r="L28" s="49" t="s">
        <v>85</v>
      </c>
      <c r="M28" s="48" t="s">
        <v>29</v>
      </c>
      <c r="N28" s="28" t="s">
        <v>165</v>
      </c>
      <c r="O28" s="29" t="s">
        <v>33</v>
      </c>
      <c r="P28" s="37">
        <v>50.39</v>
      </c>
      <c r="Q28" s="38">
        <f t="shared" si="0"/>
        <v>0.16332605675729317</v>
      </c>
      <c r="R28" s="39">
        <f t="shared" si="1"/>
        <v>42.16</v>
      </c>
      <c r="S28" s="44">
        <v>0.15</v>
      </c>
      <c r="T28" s="45">
        <v>49.599999999999994</v>
      </c>
      <c r="U28" s="39">
        <f t="shared" si="2"/>
        <v>8.230000000000004</v>
      </c>
      <c r="V28" s="40" t="str">
        <f t="shared" si="3"/>
        <v>1005820107314378361540</v>
      </c>
      <c r="W28" s="41">
        <v>44531</v>
      </c>
      <c r="X28" s="42"/>
      <c r="Y28" s="46"/>
      <c r="Z28" s="47">
        <f t="shared" si="4"/>
        <v>0</v>
      </c>
      <c r="AA28" s="94" t="s">
        <v>335</v>
      </c>
      <c r="AB28" s="95">
        <f t="shared" si="5"/>
        <v>0</v>
      </c>
      <c r="AC28" s="94"/>
      <c r="AD28" s="94">
        <f t="shared" si="6"/>
        <v>0</v>
      </c>
      <c r="AE28" s="96"/>
    </row>
    <row r="29" spans="1:31" s="12" customFormat="1" x14ac:dyDescent="0.2">
      <c r="A29" s="14"/>
      <c r="B29" s="48" t="s">
        <v>27</v>
      </c>
      <c r="C29" s="48" t="s">
        <v>60</v>
      </c>
      <c r="D29" s="48" t="s">
        <v>69</v>
      </c>
      <c r="E29" s="50" t="s">
        <v>254</v>
      </c>
      <c r="F29" s="50" t="s">
        <v>254</v>
      </c>
      <c r="G29" s="49" t="s">
        <v>251</v>
      </c>
      <c r="H29" s="49" t="s">
        <v>68</v>
      </c>
      <c r="I29" s="49" t="s">
        <v>252</v>
      </c>
      <c r="J29" s="50" t="s">
        <v>196</v>
      </c>
      <c r="K29" s="48" t="s">
        <v>84</v>
      </c>
      <c r="L29" s="49" t="s">
        <v>85</v>
      </c>
      <c r="M29" s="48" t="s">
        <v>34</v>
      </c>
      <c r="N29" s="28" t="s">
        <v>178</v>
      </c>
      <c r="O29" s="29" t="s">
        <v>53</v>
      </c>
      <c r="P29" s="37">
        <v>70.59</v>
      </c>
      <c r="Q29" s="38">
        <f t="shared" si="0"/>
        <v>0.1812545061283346</v>
      </c>
      <c r="R29" s="39">
        <f t="shared" si="1"/>
        <v>57.795244412400862</v>
      </c>
      <c r="S29" s="44">
        <v>0.15</v>
      </c>
      <c r="T29" s="45">
        <v>67.99440519105984</v>
      </c>
      <c r="U29" s="39">
        <f t="shared" si="2"/>
        <v>12.794755587599141</v>
      </c>
      <c r="V29" s="40" t="str">
        <f t="shared" si="3"/>
        <v>1005820107314378361533</v>
      </c>
      <c r="W29" s="41">
        <v>44531</v>
      </c>
      <c r="X29" s="42"/>
      <c r="Y29" s="46"/>
      <c r="Z29" s="47">
        <f t="shared" si="4"/>
        <v>0</v>
      </c>
      <c r="AA29" s="94" t="s">
        <v>335</v>
      </c>
      <c r="AB29" s="95">
        <f t="shared" si="5"/>
        <v>0</v>
      </c>
      <c r="AC29" s="94"/>
      <c r="AD29" s="94">
        <f t="shared" si="6"/>
        <v>0</v>
      </c>
      <c r="AE29" s="96"/>
    </row>
    <row r="30" spans="1:31" s="12" customFormat="1" x14ac:dyDescent="0.2">
      <c r="A30" s="14"/>
      <c r="B30" s="48" t="s">
        <v>27</v>
      </c>
      <c r="C30" s="48" t="s">
        <v>60</v>
      </c>
      <c r="D30" s="48" t="s">
        <v>69</v>
      </c>
      <c r="E30" s="50" t="s">
        <v>254</v>
      </c>
      <c r="F30" s="50" t="s">
        <v>254</v>
      </c>
      <c r="G30" s="49" t="s">
        <v>253</v>
      </c>
      <c r="H30" s="49" t="s">
        <v>44</v>
      </c>
      <c r="I30" s="49" t="s">
        <v>59</v>
      </c>
      <c r="J30" s="50" t="s">
        <v>197</v>
      </c>
      <c r="K30" s="48" t="s">
        <v>86</v>
      </c>
      <c r="L30" s="49" t="s">
        <v>87</v>
      </c>
      <c r="M30" s="48" t="s">
        <v>29</v>
      </c>
      <c r="N30" s="28" t="s">
        <v>172</v>
      </c>
      <c r="O30" s="29" t="s">
        <v>46</v>
      </c>
      <c r="P30" s="37">
        <v>11.89</v>
      </c>
      <c r="Q30" s="38">
        <f t="shared" si="0"/>
        <v>0.17432784041630522</v>
      </c>
      <c r="R30" s="39">
        <f t="shared" si="1"/>
        <v>9.8172419774501307</v>
      </c>
      <c r="S30" s="44">
        <v>0.15</v>
      </c>
      <c r="T30" s="45">
        <v>11.549696444058977</v>
      </c>
      <c r="U30" s="39">
        <f t="shared" si="2"/>
        <v>2.0727580225498698</v>
      </c>
      <c r="V30" s="40" t="str">
        <f t="shared" si="3"/>
        <v>1005820133530003361085</v>
      </c>
      <c r="W30" s="41">
        <v>44531</v>
      </c>
      <c r="X30" s="42"/>
      <c r="Y30" s="46">
        <v>198</v>
      </c>
      <c r="Z30" s="47">
        <f t="shared" si="4"/>
        <v>410.40608846487424</v>
      </c>
      <c r="AA30" s="94">
        <f>64+30+40+64</f>
        <v>198</v>
      </c>
      <c r="AB30" s="95">
        <f t="shared" si="5"/>
        <v>410.40608846487424</v>
      </c>
      <c r="AC30" s="94" t="s">
        <v>336</v>
      </c>
      <c r="AD30" s="94">
        <f t="shared" si="6"/>
        <v>0</v>
      </c>
      <c r="AE30" s="96"/>
    </row>
    <row r="31" spans="1:31" s="12" customFormat="1" x14ac:dyDescent="0.2">
      <c r="A31" s="14"/>
      <c r="B31" s="48" t="s">
        <v>27</v>
      </c>
      <c r="C31" s="48" t="s">
        <v>60</v>
      </c>
      <c r="D31" s="48" t="s">
        <v>69</v>
      </c>
      <c r="E31" s="50" t="s">
        <v>254</v>
      </c>
      <c r="F31" s="50" t="s">
        <v>254</v>
      </c>
      <c r="G31" s="49" t="s">
        <v>253</v>
      </c>
      <c r="H31" s="49" t="s">
        <v>44</v>
      </c>
      <c r="I31" s="49" t="s">
        <v>59</v>
      </c>
      <c r="J31" s="50" t="s">
        <v>197</v>
      </c>
      <c r="K31" s="48" t="s">
        <v>86</v>
      </c>
      <c r="L31" s="49" t="s">
        <v>87</v>
      </c>
      <c r="M31" s="48" t="s">
        <v>29</v>
      </c>
      <c r="N31" s="28" t="s">
        <v>162</v>
      </c>
      <c r="O31" s="29" t="s">
        <v>31</v>
      </c>
      <c r="P31" s="37">
        <v>25.86</v>
      </c>
      <c r="Q31" s="38">
        <f t="shared" si="0"/>
        <v>1.9833399444665334E-3</v>
      </c>
      <c r="R31" s="39">
        <f t="shared" si="1"/>
        <v>25.808710829036094</v>
      </c>
      <c r="S31" s="44">
        <v>0.15</v>
      </c>
      <c r="T31" s="45">
        <v>30.363189210630701</v>
      </c>
      <c r="U31" s="39">
        <f t="shared" si="2"/>
        <v>5.1289170963904951E-2</v>
      </c>
      <c r="V31" s="40" t="str">
        <f t="shared" si="3"/>
        <v>1005820133530003361571</v>
      </c>
      <c r="W31" s="41">
        <v>44531</v>
      </c>
      <c r="X31" s="42"/>
      <c r="Y31" s="46">
        <v>18.75</v>
      </c>
      <c r="Z31" s="47">
        <f t="shared" si="4"/>
        <v>0.96167195557321783</v>
      </c>
      <c r="AA31" s="94">
        <f>75/4</f>
        <v>18.75</v>
      </c>
      <c r="AB31" s="95">
        <f t="shared" si="5"/>
        <v>0.96167195557321783</v>
      </c>
      <c r="AC31" s="94" t="s">
        <v>336</v>
      </c>
      <c r="AD31" s="94">
        <f t="shared" si="6"/>
        <v>0</v>
      </c>
      <c r="AE31" s="96"/>
    </row>
    <row r="32" spans="1:31" s="12" customFormat="1" x14ac:dyDescent="0.2">
      <c r="A32" s="14"/>
      <c r="B32" s="48" t="s">
        <v>27</v>
      </c>
      <c r="C32" s="48" t="s">
        <v>60</v>
      </c>
      <c r="D32" s="48" t="s">
        <v>69</v>
      </c>
      <c r="E32" s="50" t="s">
        <v>254</v>
      </c>
      <c r="F32" s="50" t="s">
        <v>254</v>
      </c>
      <c r="G32" s="49" t="s">
        <v>253</v>
      </c>
      <c r="H32" s="49" t="s">
        <v>44</v>
      </c>
      <c r="I32" s="49" t="s">
        <v>59</v>
      </c>
      <c r="J32" s="50" t="s">
        <v>197</v>
      </c>
      <c r="K32" s="48" t="s">
        <v>86</v>
      </c>
      <c r="L32" s="49" t="s">
        <v>87</v>
      </c>
      <c r="M32" s="48" t="s">
        <v>29</v>
      </c>
      <c r="N32" s="28" t="s">
        <v>162</v>
      </c>
      <c r="O32" s="29" t="s">
        <v>31</v>
      </c>
      <c r="P32" s="37">
        <v>25.86</v>
      </c>
      <c r="Q32" s="38">
        <f t="shared" si="0"/>
        <v>1.9833399444665334E-3</v>
      </c>
      <c r="R32" s="39">
        <f t="shared" si="1"/>
        <v>25.808710829036094</v>
      </c>
      <c r="S32" s="44">
        <v>0.15</v>
      </c>
      <c r="T32" s="45">
        <v>30.363189210630701</v>
      </c>
      <c r="U32" s="39">
        <f t="shared" si="2"/>
        <v>5.1289170963904951E-2</v>
      </c>
      <c r="V32" s="40" t="str">
        <f t="shared" si="3"/>
        <v>1005820133530003361571</v>
      </c>
      <c r="W32" s="41">
        <v>44531</v>
      </c>
      <c r="X32" s="42"/>
      <c r="Y32" s="46"/>
      <c r="Z32" s="47">
        <f t="shared" si="4"/>
        <v>0</v>
      </c>
      <c r="AA32" s="94" t="s">
        <v>335</v>
      </c>
      <c r="AB32" s="95">
        <f t="shared" si="5"/>
        <v>0</v>
      </c>
      <c r="AC32" s="94"/>
      <c r="AD32" s="94">
        <f t="shared" si="6"/>
        <v>0</v>
      </c>
      <c r="AE32" s="96"/>
    </row>
    <row r="33" spans="1:31" s="12" customFormat="1" x14ac:dyDescent="0.2">
      <c r="A33" s="14"/>
      <c r="B33" s="48" t="s">
        <v>27</v>
      </c>
      <c r="C33" s="48" t="s">
        <v>60</v>
      </c>
      <c r="D33" s="48" t="s">
        <v>69</v>
      </c>
      <c r="E33" s="50" t="s">
        <v>254</v>
      </c>
      <c r="F33" s="50" t="s">
        <v>254</v>
      </c>
      <c r="G33" s="49" t="s">
        <v>253</v>
      </c>
      <c r="H33" s="49" t="s">
        <v>44</v>
      </c>
      <c r="I33" s="49" t="s">
        <v>59</v>
      </c>
      <c r="J33" s="50" t="s">
        <v>197</v>
      </c>
      <c r="K33" s="48" t="s">
        <v>86</v>
      </c>
      <c r="L33" s="49" t="s">
        <v>87</v>
      </c>
      <c r="M33" s="48" t="s">
        <v>34</v>
      </c>
      <c r="N33" s="28" t="s">
        <v>180</v>
      </c>
      <c r="O33" s="29" t="s">
        <v>55</v>
      </c>
      <c r="P33" s="37">
        <v>119.29</v>
      </c>
      <c r="Q33" s="38">
        <f t="shared" si="0"/>
        <v>0.14622085110244076</v>
      </c>
      <c r="R33" s="39">
        <f t="shared" si="1"/>
        <v>101.84731467198985</v>
      </c>
      <c r="S33" s="44">
        <v>0.15</v>
      </c>
      <c r="T33" s="45">
        <v>119.820370202341</v>
      </c>
      <c r="U33" s="39">
        <f t="shared" si="2"/>
        <v>17.442685328010157</v>
      </c>
      <c r="V33" s="40" t="str">
        <f t="shared" si="3"/>
        <v>1005820133530003360484</v>
      </c>
      <c r="W33" s="41">
        <v>44531</v>
      </c>
      <c r="X33" s="42"/>
      <c r="Y33" s="46">
        <v>12</v>
      </c>
      <c r="Z33" s="47">
        <f t="shared" si="4"/>
        <v>209.31222393612188</v>
      </c>
      <c r="AA33" s="94">
        <f>216/18</f>
        <v>12</v>
      </c>
      <c r="AB33" s="95">
        <f t="shared" si="5"/>
        <v>209.31222393612188</v>
      </c>
      <c r="AC33" s="94" t="s">
        <v>336</v>
      </c>
      <c r="AD33" s="94">
        <f t="shared" si="6"/>
        <v>0</v>
      </c>
      <c r="AE33" s="96"/>
    </row>
    <row r="34" spans="1:31" s="12" customFormat="1" x14ac:dyDescent="0.2">
      <c r="A34" s="14"/>
      <c r="B34" s="48" t="s">
        <v>27</v>
      </c>
      <c r="C34" s="48" t="s">
        <v>60</v>
      </c>
      <c r="D34" s="48" t="s">
        <v>69</v>
      </c>
      <c r="E34" s="50" t="s">
        <v>254</v>
      </c>
      <c r="F34" s="50" t="s">
        <v>254</v>
      </c>
      <c r="G34" s="49" t="s">
        <v>253</v>
      </c>
      <c r="H34" s="49" t="s">
        <v>44</v>
      </c>
      <c r="I34" s="49" t="s">
        <v>59</v>
      </c>
      <c r="J34" s="50" t="s">
        <v>198</v>
      </c>
      <c r="K34" s="48" t="s">
        <v>88</v>
      </c>
      <c r="L34" s="49" t="s">
        <v>87</v>
      </c>
      <c r="M34" s="48" t="s">
        <v>29</v>
      </c>
      <c r="N34" s="28" t="s">
        <v>162</v>
      </c>
      <c r="O34" s="29" t="s">
        <v>31</v>
      </c>
      <c r="P34" s="37">
        <v>25.86</v>
      </c>
      <c r="Q34" s="38">
        <f t="shared" si="0"/>
        <v>1.9833399444665334E-3</v>
      </c>
      <c r="R34" s="39">
        <f t="shared" si="1"/>
        <v>25.808710829036094</v>
      </c>
      <c r="S34" s="44">
        <v>0.15</v>
      </c>
      <c r="T34" s="45">
        <v>30.363189210630701</v>
      </c>
      <c r="U34" s="39">
        <f t="shared" si="2"/>
        <v>5.1289170963904951E-2</v>
      </c>
      <c r="V34" s="40" t="str">
        <f t="shared" si="3"/>
        <v>1005820264592497361571</v>
      </c>
      <c r="W34" s="41">
        <v>44531</v>
      </c>
      <c r="X34" s="42"/>
      <c r="Y34" s="46"/>
      <c r="Z34" s="47">
        <f t="shared" si="4"/>
        <v>0</v>
      </c>
      <c r="AA34" s="94" t="s">
        <v>335</v>
      </c>
      <c r="AB34" s="95">
        <f t="shared" si="5"/>
        <v>0</v>
      </c>
      <c r="AC34" s="94"/>
      <c r="AD34" s="94">
        <f t="shared" si="6"/>
        <v>0</v>
      </c>
      <c r="AE34" s="96"/>
    </row>
    <row r="35" spans="1:31" s="12" customFormat="1" x14ac:dyDescent="0.2">
      <c r="A35" s="14"/>
      <c r="B35" s="48" t="s">
        <v>27</v>
      </c>
      <c r="C35" s="48" t="s">
        <v>60</v>
      </c>
      <c r="D35" s="48" t="s">
        <v>69</v>
      </c>
      <c r="E35" s="50" t="s">
        <v>254</v>
      </c>
      <c r="F35" s="50" t="s">
        <v>254</v>
      </c>
      <c r="G35" s="49" t="s">
        <v>253</v>
      </c>
      <c r="H35" s="49" t="s">
        <v>44</v>
      </c>
      <c r="I35" s="49" t="s">
        <v>59</v>
      </c>
      <c r="J35" s="50" t="s">
        <v>198</v>
      </c>
      <c r="K35" s="48" t="s">
        <v>88</v>
      </c>
      <c r="L35" s="49" t="s">
        <v>87</v>
      </c>
      <c r="M35" s="48" t="s">
        <v>29</v>
      </c>
      <c r="N35" s="28" t="s">
        <v>162</v>
      </c>
      <c r="O35" s="29" t="s">
        <v>31</v>
      </c>
      <c r="P35" s="37">
        <v>25.86</v>
      </c>
      <c r="Q35" s="38">
        <f t="shared" si="0"/>
        <v>1.9833399444665334E-3</v>
      </c>
      <c r="R35" s="39">
        <f t="shared" si="1"/>
        <v>25.808710829036094</v>
      </c>
      <c r="S35" s="44">
        <v>0.15</v>
      </c>
      <c r="T35" s="45">
        <v>30.363189210630701</v>
      </c>
      <c r="U35" s="39">
        <f t="shared" si="2"/>
        <v>5.1289170963904951E-2</v>
      </c>
      <c r="V35" s="40" t="str">
        <f t="shared" si="3"/>
        <v>1005820264592497361571</v>
      </c>
      <c r="W35" s="41">
        <v>44531</v>
      </c>
      <c r="X35" s="42"/>
      <c r="Y35" s="46"/>
      <c r="Z35" s="47">
        <f t="shared" si="4"/>
        <v>0</v>
      </c>
      <c r="AA35" s="94" t="s">
        <v>335</v>
      </c>
      <c r="AB35" s="95">
        <f t="shared" si="5"/>
        <v>0</v>
      </c>
      <c r="AC35" s="94"/>
      <c r="AD35" s="94">
        <f t="shared" si="6"/>
        <v>0</v>
      </c>
      <c r="AE35" s="96"/>
    </row>
    <row r="36" spans="1:31" s="12" customFormat="1" x14ac:dyDescent="0.2">
      <c r="A36" s="14"/>
      <c r="B36" s="48" t="s">
        <v>27</v>
      </c>
      <c r="C36" s="48" t="s">
        <v>60</v>
      </c>
      <c r="D36" s="48" t="s">
        <v>69</v>
      </c>
      <c r="E36" s="50" t="s">
        <v>254</v>
      </c>
      <c r="F36" s="50" t="s">
        <v>254</v>
      </c>
      <c r="G36" s="49" t="s">
        <v>253</v>
      </c>
      <c r="H36" s="49" t="s">
        <v>44</v>
      </c>
      <c r="I36" s="49" t="s">
        <v>59</v>
      </c>
      <c r="J36" s="50" t="s">
        <v>198</v>
      </c>
      <c r="K36" s="48" t="s">
        <v>88</v>
      </c>
      <c r="L36" s="49" t="s">
        <v>87</v>
      </c>
      <c r="M36" s="48" t="s">
        <v>34</v>
      </c>
      <c r="N36" s="28" t="s">
        <v>180</v>
      </c>
      <c r="O36" s="29" t="s">
        <v>55</v>
      </c>
      <c r="P36" s="37">
        <v>119.29</v>
      </c>
      <c r="Q36" s="38">
        <f t="shared" si="0"/>
        <v>0.14622085110244076</v>
      </c>
      <c r="R36" s="39">
        <f t="shared" si="1"/>
        <v>101.84731467198985</v>
      </c>
      <c r="S36" s="44">
        <v>0.15</v>
      </c>
      <c r="T36" s="45">
        <v>119.820370202341</v>
      </c>
      <c r="U36" s="39">
        <f t="shared" si="2"/>
        <v>17.442685328010157</v>
      </c>
      <c r="V36" s="40" t="str">
        <f t="shared" si="3"/>
        <v>1005820264592497360484</v>
      </c>
      <c r="W36" s="41">
        <v>44531</v>
      </c>
      <c r="X36" s="42"/>
      <c r="Y36" s="46">
        <v>4</v>
      </c>
      <c r="Z36" s="47">
        <f t="shared" si="4"/>
        <v>69.770741312040627</v>
      </c>
      <c r="AA36" s="94">
        <f>72/18</f>
        <v>4</v>
      </c>
      <c r="AB36" s="95">
        <f t="shared" si="5"/>
        <v>69.770741312040627</v>
      </c>
      <c r="AC36" s="94" t="s">
        <v>336</v>
      </c>
      <c r="AD36" s="94">
        <f t="shared" si="6"/>
        <v>0</v>
      </c>
      <c r="AE36" s="96"/>
    </row>
    <row r="37" spans="1:31" s="12" customFormat="1" x14ac:dyDescent="0.2">
      <c r="A37" s="14"/>
      <c r="B37" s="48" t="s">
        <v>27</v>
      </c>
      <c r="C37" s="48" t="s">
        <v>60</v>
      </c>
      <c r="D37" s="48" t="s">
        <v>69</v>
      </c>
      <c r="E37" s="50" t="s">
        <v>254</v>
      </c>
      <c r="F37" s="50" t="s">
        <v>254</v>
      </c>
      <c r="G37" s="49" t="s">
        <v>251</v>
      </c>
      <c r="H37" s="49" t="s">
        <v>58</v>
      </c>
      <c r="I37" s="49" t="s">
        <v>50</v>
      </c>
      <c r="J37" s="50" t="s">
        <v>199</v>
      </c>
      <c r="K37" s="48" t="s">
        <v>89</v>
      </c>
      <c r="L37" s="49" t="s">
        <v>90</v>
      </c>
      <c r="M37" s="48" t="s">
        <v>29</v>
      </c>
      <c r="N37" s="28" t="s">
        <v>162</v>
      </c>
      <c r="O37" s="29" t="s">
        <v>31</v>
      </c>
      <c r="P37" s="37">
        <v>25.86</v>
      </c>
      <c r="Q37" s="38">
        <f t="shared" si="0"/>
        <v>0.17056723522411743</v>
      </c>
      <c r="R37" s="39">
        <f t="shared" si="1"/>
        <v>21.449131297104323</v>
      </c>
      <c r="S37" s="44">
        <v>0.15</v>
      </c>
      <c r="T37" s="45">
        <v>25.23427211424038</v>
      </c>
      <c r="U37" s="39">
        <f t="shared" si="2"/>
        <v>4.4108687028956766</v>
      </c>
      <c r="V37" s="40" t="str">
        <f t="shared" si="3"/>
        <v>1005820101045995361571</v>
      </c>
      <c r="W37" s="41">
        <v>44531</v>
      </c>
      <c r="X37" s="42"/>
      <c r="Y37" s="46">
        <v>37.5</v>
      </c>
      <c r="Z37" s="47">
        <f t="shared" si="4"/>
        <v>165.40757635858787</v>
      </c>
      <c r="AA37" s="94">
        <f>150/4</f>
        <v>37.5</v>
      </c>
      <c r="AB37" s="95">
        <f t="shared" si="5"/>
        <v>165.40757635858787</v>
      </c>
      <c r="AC37" s="94" t="s">
        <v>336</v>
      </c>
      <c r="AD37" s="94">
        <f t="shared" si="6"/>
        <v>0</v>
      </c>
      <c r="AE37" s="96"/>
    </row>
    <row r="38" spans="1:31" s="12" customFormat="1" x14ac:dyDescent="0.2">
      <c r="A38" s="14"/>
      <c r="B38" s="48" t="s">
        <v>27</v>
      </c>
      <c r="C38" s="48" t="s">
        <v>60</v>
      </c>
      <c r="D38" s="48" t="s">
        <v>69</v>
      </c>
      <c r="E38" s="50" t="s">
        <v>254</v>
      </c>
      <c r="F38" s="50" t="s">
        <v>254</v>
      </c>
      <c r="G38" s="49" t="s">
        <v>251</v>
      </c>
      <c r="H38" s="49" t="s">
        <v>58</v>
      </c>
      <c r="I38" s="49" t="s">
        <v>50</v>
      </c>
      <c r="J38" s="50" t="s">
        <v>199</v>
      </c>
      <c r="K38" s="48" t="s">
        <v>89</v>
      </c>
      <c r="L38" s="49" t="s">
        <v>90</v>
      </c>
      <c r="M38" s="48" t="s">
        <v>29</v>
      </c>
      <c r="N38" s="28" t="s">
        <v>162</v>
      </c>
      <c r="O38" s="29" t="s">
        <v>31</v>
      </c>
      <c r="P38" s="37">
        <v>25.86</v>
      </c>
      <c r="Q38" s="38">
        <f t="shared" ref="Q38:Q69" si="7">IF(1-R38/P38&lt;0%,0,1-R38/P38)</f>
        <v>0.17056723522411743</v>
      </c>
      <c r="R38" s="39">
        <f t="shared" ref="R38:R69" si="8">+T38*(100%-S38)</f>
        <v>21.449131297104323</v>
      </c>
      <c r="S38" s="44">
        <v>0.15</v>
      </c>
      <c r="T38" s="45">
        <v>25.23427211424038</v>
      </c>
      <c r="U38" s="39">
        <f t="shared" ref="U38:U69" si="9">+IF(P38-R38&lt;0,0,P38-R38)</f>
        <v>4.4108687028956766</v>
      </c>
      <c r="V38" s="40" t="str">
        <f t="shared" ref="V38:V69" si="10">+CONCATENATE(TRIM(F38),TRIM(J38),TRIM(N38))</f>
        <v>1005820101045995361571</v>
      </c>
      <c r="W38" s="41">
        <v>44531</v>
      </c>
      <c r="X38" s="42"/>
      <c r="Y38" s="46"/>
      <c r="Z38" s="47">
        <f t="shared" ref="Z38:Z69" si="11">IFERROR(U38*Y38,0)</f>
        <v>0</v>
      </c>
      <c r="AA38" s="94" t="s">
        <v>335</v>
      </c>
      <c r="AB38" s="95">
        <f t="shared" si="5"/>
        <v>0</v>
      </c>
      <c r="AC38" s="94"/>
      <c r="AD38" s="94">
        <f t="shared" si="6"/>
        <v>0</v>
      </c>
      <c r="AE38" s="96"/>
    </row>
    <row r="39" spans="1:31" s="12" customFormat="1" x14ac:dyDescent="0.2">
      <c r="A39" s="14"/>
      <c r="B39" s="48" t="s">
        <v>27</v>
      </c>
      <c r="C39" s="48" t="s">
        <v>60</v>
      </c>
      <c r="D39" s="48" t="s">
        <v>69</v>
      </c>
      <c r="E39" s="50" t="s">
        <v>254</v>
      </c>
      <c r="F39" s="50" t="s">
        <v>254</v>
      </c>
      <c r="G39" s="49" t="s">
        <v>251</v>
      </c>
      <c r="H39" s="49" t="s">
        <v>58</v>
      </c>
      <c r="I39" s="49" t="s">
        <v>50</v>
      </c>
      <c r="J39" s="50" t="s">
        <v>199</v>
      </c>
      <c r="K39" s="48" t="s">
        <v>89</v>
      </c>
      <c r="L39" s="49" t="s">
        <v>90</v>
      </c>
      <c r="M39" s="48" t="s">
        <v>34</v>
      </c>
      <c r="N39" s="28" t="s">
        <v>166</v>
      </c>
      <c r="O39" s="29" t="s">
        <v>35</v>
      </c>
      <c r="P39" s="37">
        <v>112.81</v>
      </c>
      <c r="Q39" s="38">
        <f t="shared" si="7"/>
        <v>0.38256658595641657</v>
      </c>
      <c r="R39" s="39">
        <f t="shared" si="8"/>
        <v>69.652663438256653</v>
      </c>
      <c r="S39" s="44">
        <v>0.15</v>
      </c>
      <c r="T39" s="45">
        <v>81.944309927360777</v>
      </c>
      <c r="U39" s="39">
        <f t="shared" si="9"/>
        <v>43.15733656174335</v>
      </c>
      <c r="V39" s="40" t="str">
        <f t="shared" si="10"/>
        <v>1005820101045995361531</v>
      </c>
      <c r="W39" s="41">
        <v>44531</v>
      </c>
      <c r="X39" s="42"/>
      <c r="Y39" s="46">
        <v>13.89</v>
      </c>
      <c r="Z39" s="47">
        <f t="shared" si="11"/>
        <v>599.45540484261517</v>
      </c>
      <c r="AA39" s="94">
        <v>13.89</v>
      </c>
      <c r="AB39" s="95">
        <f t="shared" si="5"/>
        <v>599.45540484261517</v>
      </c>
      <c r="AC39" s="94" t="s">
        <v>336</v>
      </c>
      <c r="AD39" s="94">
        <f t="shared" si="6"/>
        <v>0</v>
      </c>
      <c r="AE39" s="96"/>
    </row>
    <row r="40" spans="1:31" s="12" customFormat="1" x14ac:dyDescent="0.2">
      <c r="A40" s="14"/>
      <c r="B40" s="48" t="s">
        <v>27</v>
      </c>
      <c r="C40" s="48" t="s">
        <v>60</v>
      </c>
      <c r="D40" s="48" t="s">
        <v>69</v>
      </c>
      <c r="E40" s="50" t="s">
        <v>254</v>
      </c>
      <c r="F40" s="50" t="s">
        <v>254</v>
      </c>
      <c r="G40" s="49" t="s">
        <v>251</v>
      </c>
      <c r="H40" s="49" t="s">
        <v>58</v>
      </c>
      <c r="I40" s="49" t="s">
        <v>50</v>
      </c>
      <c r="J40" s="50" t="s">
        <v>199</v>
      </c>
      <c r="K40" s="48" t="s">
        <v>89</v>
      </c>
      <c r="L40" s="49" t="s">
        <v>90</v>
      </c>
      <c r="M40" s="48" t="s">
        <v>34</v>
      </c>
      <c r="N40" s="28" t="s">
        <v>167</v>
      </c>
      <c r="O40" s="29" t="s">
        <v>36</v>
      </c>
      <c r="P40" s="37">
        <v>26.44</v>
      </c>
      <c r="Q40" s="38">
        <f t="shared" si="7"/>
        <v>0.20941223193010328</v>
      </c>
      <c r="R40" s="39">
        <f t="shared" si="8"/>
        <v>20.903140587768071</v>
      </c>
      <c r="S40" s="44">
        <v>0.15</v>
      </c>
      <c r="T40" s="45">
        <v>24.591930103256555</v>
      </c>
      <c r="U40" s="39">
        <f t="shared" si="9"/>
        <v>5.5368594122319301</v>
      </c>
      <c r="V40" s="40" t="str">
        <f t="shared" si="10"/>
        <v>1005820101045995361532</v>
      </c>
      <c r="W40" s="41">
        <v>44531</v>
      </c>
      <c r="X40" s="42"/>
      <c r="Y40" s="46"/>
      <c r="Z40" s="47">
        <f t="shared" si="11"/>
        <v>0</v>
      </c>
      <c r="AA40" s="94" t="s">
        <v>335</v>
      </c>
      <c r="AB40" s="95">
        <f t="shared" si="5"/>
        <v>0</v>
      </c>
      <c r="AC40" s="94"/>
      <c r="AD40" s="94">
        <f t="shared" si="6"/>
        <v>0</v>
      </c>
      <c r="AE40" s="96"/>
    </row>
    <row r="41" spans="1:31" s="12" customFormat="1" x14ac:dyDescent="0.2">
      <c r="A41" s="14"/>
      <c r="B41" s="48" t="s">
        <v>27</v>
      </c>
      <c r="C41" s="48" t="s">
        <v>60</v>
      </c>
      <c r="D41" s="48" t="s">
        <v>69</v>
      </c>
      <c r="E41" s="50" t="s">
        <v>254</v>
      </c>
      <c r="F41" s="50" t="s">
        <v>254</v>
      </c>
      <c r="G41" s="49" t="s">
        <v>251</v>
      </c>
      <c r="H41" s="49" t="s">
        <v>58</v>
      </c>
      <c r="I41" s="49" t="s">
        <v>50</v>
      </c>
      <c r="J41" s="50" t="s">
        <v>199</v>
      </c>
      <c r="K41" s="48" t="s">
        <v>89</v>
      </c>
      <c r="L41" s="49" t="s">
        <v>90</v>
      </c>
      <c r="M41" s="48" t="s">
        <v>38</v>
      </c>
      <c r="N41" s="28" t="s">
        <v>169</v>
      </c>
      <c r="O41" s="29" t="s">
        <v>39</v>
      </c>
      <c r="P41" s="37">
        <v>44.95</v>
      </c>
      <c r="Q41" s="38">
        <f t="shared" si="7"/>
        <v>0.21996662958843161</v>
      </c>
      <c r="R41" s="39">
        <f t="shared" si="8"/>
        <v>35.0625</v>
      </c>
      <c r="S41" s="44">
        <v>0.15</v>
      </c>
      <c r="T41" s="45">
        <v>41.25</v>
      </c>
      <c r="U41" s="39">
        <f t="shared" si="9"/>
        <v>9.8875000000000028</v>
      </c>
      <c r="V41" s="40" t="str">
        <f t="shared" si="10"/>
        <v>1005820101045995360442</v>
      </c>
      <c r="W41" s="41">
        <v>44531</v>
      </c>
      <c r="X41" s="42"/>
      <c r="Y41" s="46"/>
      <c r="Z41" s="47">
        <f t="shared" si="11"/>
        <v>0</v>
      </c>
      <c r="AA41" s="94" t="s">
        <v>335</v>
      </c>
      <c r="AB41" s="95">
        <f t="shared" si="5"/>
        <v>0</v>
      </c>
      <c r="AC41" s="94"/>
      <c r="AD41" s="94">
        <f t="shared" si="6"/>
        <v>0</v>
      </c>
      <c r="AE41" s="96"/>
    </row>
    <row r="42" spans="1:31" x14ac:dyDescent="0.2">
      <c r="B42" s="48" t="s">
        <v>27</v>
      </c>
      <c r="C42" s="48" t="s">
        <v>60</v>
      </c>
      <c r="D42" s="48" t="s">
        <v>69</v>
      </c>
      <c r="E42" s="50" t="s">
        <v>254</v>
      </c>
      <c r="F42" s="50" t="s">
        <v>254</v>
      </c>
      <c r="G42" s="49" t="s">
        <v>251</v>
      </c>
      <c r="H42" s="49" t="s">
        <v>58</v>
      </c>
      <c r="I42" s="49" t="s">
        <v>50</v>
      </c>
      <c r="J42" s="50" t="s">
        <v>200</v>
      </c>
      <c r="K42" s="48" t="s">
        <v>91</v>
      </c>
      <c r="L42" s="49" t="s">
        <v>90</v>
      </c>
      <c r="M42" s="48" t="s">
        <v>29</v>
      </c>
      <c r="N42" s="28" t="s">
        <v>162</v>
      </c>
      <c r="O42" s="29" t="s">
        <v>31</v>
      </c>
      <c r="P42" s="37">
        <v>25.86</v>
      </c>
      <c r="Q42" s="38">
        <f t="shared" si="7"/>
        <v>0.17056723522411743</v>
      </c>
      <c r="R42" s="39">
        <f t="shared" si="8"/>
        <v>21.449131297104323</v>
      </c>
      <c r="S42" s="44">
        <v>0.15</v>
      </c>
      <c r="T42" s="45">
        <v>25.23427211424038</v>
      </c>
      <c r="U42" s="39">
        <f t="shared" si="9"/>
        <v>4.4108687028956766</v>
      </c>
      <c r="V42" s="40" t="str">
        <f t="shared" si="10"/>
        <v>1005820387004301361571</v>
      </c>
      <c r="W42" s="41">
        <v>44531</v>
      </c>
      <c r="X42" s="42"/>
      <c r="Y42" s="46">
        <v>33</v>
      </c>
      <c r="Z42" s="47">
        <f t="shared" si="11"/>
        <v>145.55866719555732</v>
      </c>
      <c r="AA42" s="94">
        <f>132/4</f>
        <v>33</v>
      </c>
      <c r="AB42" s="95">
        <f t="shared" si="5"/>
        <v>145.55866719555732</v>
      </c>
      <c r="AC42" s="94" t="s">
        <v>336</v>
      </c>
      <c r="AD42" s="94">
        <f t="shared" si="6"/>
        <v>0</v>
      </c>
      <c r="AE42" s="96"/>
    </row>
    <row r="43" spans="1:31" x14ac:dyDescent="0.2">
      <c r="B43" s="48" t="s">
        <v>27</v>
      </c>
      <c r="C43" s="48" t="s">
        <v>60</v>
      </c>
      <c r="D43" s="48" t="s">
        <v>69</v>
      </c>
      <c r="E43" s="50" t="s">
        <v>254</v>
      </c>
      <c r="F43" s="50" t="s">
        <v>254</v>
      </c>
      <c r="G43" s="49" t="s">
        <v>251</v>
      </c>
      <c r="H43" s="49" t="s">
        <v>58</v>
      </c>
      <c r="I43" s="49" t="s">
        <v>50</v>
      </c>
      <c r="J43" s="50" t="s">
        <v>200</v>
      </c>
      <c r="K43" s="48" t="s">
        <v>91</v>
      </c>
      <c r="L43" s="49" t="s">
        <v>90</v>
      </c>
      <c r="M43" s="48" t="s">
        <v>29</v>
      </c>
      <c r="N43" s="28" t="s">
        <v>162</v>
      </c>
      <c r="O43" s="29" t="s">
        <v>31</v>
      </c>
      <c r="P43" s="37">
        <v>25.86</v>
      </c>
      <c r="Q43" s="38">
        <f t="shared" si="7"/>
        <v>0.17056723522411743</v>
      </c>
      <c r="R43" s="39">
        <f t="shared" si="8"/>
        <v>21.449131297104323</v>
      </c>
      <c r="S43" s="44">
        <v>0.15</v>
      </c>
      <c r="T43" s="45">
        <v>25.23427211424038</v>
      </c>
      <c r="U43" s="39">
        <f t="shared" si="9"/>
        <v>4.4108687028956766</v>
      </c>
      <c r="V43" s="40" t="str">
        <f t="shared" si="10"/>
        <v>1005820387004301361571</v>
      </c>
      <c r="W43" s="41">
        <v>44531</v>
      </c>
      <c r="X43" s="42"/>
      <c r="Y43" s="46"/>
      <c r="Z43" s="47">
        <f t="shared" si="11"/>
        <v>0</v>
      </c>
      <c r="AA43" s="94" t="s">
        <v>335</v>
      </c>
      <c r="AB43" s="95">
        <f t="shared" si="5"/>
        <v>0</v>
      </c>
      <c r="AC43" s="94"/>
      <c r="AD43" s="94">
        <f t="shared" si="6"/>
        <v>0</v>
      </c>
      <c r="AE43" s="96"/>
    </row>
    <row r="44" spans="1:31" x14ac:dyDescent="0.2">
      <c r="B44" s="48" t="s">
        <v>27</v>
      </c>
      <c r="C44" s="48" t="s">
        <v>60</v>
      </c>
      <c r="D44" s="48" t="s">
        <v>69</v>
      </c>
      <c r="E44" s="50" t="s">
        <v>254</v>
      </c>
      <c r="F44" s="50" t="s">
        <v>254</v>
      </c>
      <c r="G44" s="49" t="s">
        <v>251</v>
      </c>
      <c r="H44" s="49" t="s">
        <v>58</v>
      </c>
      <c r="I44" s="49" t="s">
        <v>50</v>
      </c>
      <c r="J44" s="50" t="s">
        <v>200</v>
      </c>
      <c r="K44" s="48" t="s">
        <v>91</v>
      </c>
      <c r="L44" s="49" t="s">
        <v>90</v>
      </c>
      <c r="M44" s="48" t="s">
        <v>34</v>
      </c>
      <c r="N44" s="28" t="s">
        <v>166</v>
      </c>
      <c r="O44" s="29" t="s">
        <v>35</v>
      </c>
      <c r="P44" s="37">
        <v>112.81</v>
      </c>
      <c r="Q44" s="38">
        <f t="shared" si="7"/>
        <v>0.30847457627118657</v>
      </c>
      <c r="R44" s="39">
        <f t="shared" si="8"/>
        <v>78.010983050847443</v>
      </c>
      <c r="S44" s="44">
        <v>0.15</v>
      </c>
      <c r="T44" s="45">
        <v>91.777627118644048</v>
      </c>
      <c r="U44" s="39">
        <f t="shared" si="9"/>
        <v>34.799016949152559</v>
      </c>
      <c r="V44" s="40" t="str">
        <f t="shared" si="10"/>
        <v>1005820387004301361531</v>
      </c>
      <c r="W44" s="41">
        <v>44531</v>
      </c>
      <c r="X44" s="42"/>
      <c r="Y44" s="46"/>
      <c r="Z44" s="47">
        <f t="shared" si="11"/>
        <v>0</v>
      </c>
      <c r="AA44" s="94" t="s">
        <v>335</v>
      </c>
      <c r="AB44" s="95">
        <f t="shared" si="5"/>
        <v>0</v>
      </c>
      <c r="AC44" s="94"/>
      <c r="AD44" s="94">
        <f t="shared" si="6"/>
        <v>0</v>
      </c>
      <c r="AE44" s="96"/>
    </row>
    <row r="45" spans="1:31" x14ac:dyDescent="0.2">
      <c r="B45" s="48" t="s">
        <v>27</v>
      </c>
      <c r="C45" s="48" t="s">
        <v>60</v>
      </c>
      <c r="D45" s="48" t="s">
        <v>69</v>
      </c>
      <c r="E45" s="50" t="s">
        <v>254</v>
      </c>
      <c r="F45" s="50" t="s">
        <v>254</v>
      </c>
      <c r="G45" s="49" t="s">
        <v>251</v>
      </c>
      <c r="H45" s="49" t="s">
        <v>58</v>
      </c>
      <c r="I45" s="49" t="s">
        <v>50</v>
      </c>
      <c r="J45" s="50" t="s">
        <v>200</v>
      </c>
      <c r="K45" s="48" t="s">
        <v>91</v>
      </c>
      <c r="L45" s="49" t="s">
        <v>90</v>
      </c>
      <c r="M45" s="48" t="s">
        <v>34</v>
      </c>
      <c r="N45" s="28" t="s">
        <v>167</v>
      </c>
      <c r="O45" s="29" t="s">
        <v>36</v>
      </c>
      <c r="P45" s="37">
        <v>26.44</v>
      </c>
      <c r="Q45" s="38">
        <f t="shared" si="7"/>
        <v>0.20941223193010328</v>
      </c>
      <c r="R45" s="39">
        <f t="shared" si="8"/>
        <v>20.903140587768071</v>
      </c>
      <c r="S45" s="44">
        <v>0.15</v>
      </c>
      <c r="T45" s="45">
        <v>24.591930103256555</v>
      </c>
      <c r="U45" s="39">
        <f t="shared" si="9"/>
        <v>5.5368594122319301</v>
      </c>
      <c r="V45" s="40" t="str">
        <f t="shared" si="10"/>
        <v>1005820387004301361532</v>
      </c>
      <c r="W45" s="41">
        <v>44531</v>
      </c>
      <c r="X45" s="42"/>
      <c r="Y45" s="46">
        <v>64</v>
      </c>
      <c r="Z45" s="47">
        <f t="shared" si="11"/>
        <v>354.35900238284353</v>
      </c>
      <c r="AA45" s="94">
        <f>128/2</f>
        <v>64</v>
      </c>
      <c r="AB45" s="95">
        <f t="shared" si="5"/>
        <v>354.35900238284353</v>
      </c>
      <c r="AC45" s="94" t="s">
        <v>336</v>
      </c>
      <c r="AD45" s="94">
        <f t="shared" si="6"/>
        <v>0</v>
      </c>
      <c r="AE45" s="96"/>
    </row>
    <row r="46" spans="1:31" x14ac:dyDescent="0.2">
      <c r="B46" s="48" t="s">
        <v>27</v>
      </c>
      <c r="C46" s="48" t="s">
        <v>60</v>
      </c>
      <c r="D46" s="48" t="s">
        <v>69</v>
      </c>
      <c r="E46" s="50" t="s">
        <v>254</v>
      </c>
      <c r="F46" s="50" t="s">
        <v>254</v>
      </c>
      <c r="G46" s="49" t="s">
        <v>251</v>
      </c>
      <c r="H46" s="49" t="s">
        <v>58</v>
      </c>
      <c r="I46" s="49" t="s">
        <v>50</v>
      </c>
      <c r="J46" s="50" t="s">
        <v>200</v>
      </c>
      <c r="K46" s="48" t="s">
        <v>91</v>
      </c>
      <c r="L46" s="49" t="s">
        <v>90</v>
      </c>
      <c r="M46" s="48" t="s">
        <v>48</v>
      </c>
      <c r="N46" s="28" t="s">
        <v>182</v>
      </c>
      <c r="O46" s="29" t="s">
        <v>57</v>
      </c>
      <c r="P46" s="37">
        <v>97.25</v>
      </c>
      <c r="Q46" s="38">
        <f t="shared" si="7"/>
        <v>0.292609020151402</v>
      </c>
      <c r="R46" s="39">
        <f t="shared" si="8"/>
        <v>68.793772790276151</v>
      </c>
      <c r="S46" s="44">
        <v>0.13</v>
      </c>
      <c r="T46" s="45">
        <v>79.07330205778868</v>
      </c>
      <c r="U46" s="39">
        <f t="shared" si="9"/>
        <v>28.456227209723849</v>
      </c>
      <c r="V46" s="40" t="str">
        <f t="shared" si="10"/>
        <v>1005820387004301370039</v>
      </c>
      <c r="W46" s="41">
        <v>44531</v>
      </c>
      <c r="X46" s="42"/>
      <c r="Y46" s="46"/>
      <c r="Z46" s="47">
        <f t="shared" si="11"/>
        <v>0</v>
      </c>
      <c r="AA46" s="94" t="s">
        <v>335</v>
      </c>
      <c r="AB46" s="95">
        <f t="shared" si="5"/>
        <v>0</v>
      </c>
      <c r="AC46" s="94"/>
      <c r="AD46" s="94">
        <f t="shared" si="6"/>
        <v>0</v>
      </c>
      <c r="AE46" s="96"/>
    </row>
    <row r="47" spans="1:31" x14ac:dyDescent="0.2">
      <c r="B47" s="48" t="s">
        <v>27</v>
      </c>
      <c r="C47" s="48" t="s">
        <v>60</v>
      </c>
      <c r="D47" s="48" t="s">
        <v>69</v>
      </c>
      <c r="E47" s="50" t="s">
        <v>254</v>
      </c>
      <c r="F47" s="50" t="s">
        <v>254</v>
      </c>
      <c r="G47" s="49" t="s">
        <v>257</v>
      </c>
      <c r="H47" s="49" t="s">
        <v>44</v>
      </c>
      <c r="I47" s="49" t="s">
        <v>92</v>
      </c>
      <c r="J47" s="50" t="s">
        <v>201</v>
      </c>
      <c r="K47" s="48" t="s">
        <v>93</v>
      </c>
      <c r="L47" s="49" t="s">
        <v>94</v>
      </c>
      <c r="M47" s="48" t="s">
        <v>29</v>
      </c>
      <c r="N47" s="28" t="s">
        <v>183</v>
      </c>
      <c r="O47" s="29" t="s">
        <v>62</v>
      </c>
      <c r="P47" s="37">
        <v>54.46</v>
      </c>
      <c r="Q47" s="38">
        <f t="shared" si="7"/>
        <v>0</v>
      </c>
      <c r="R47" s="39">
        <f t="shared" si="8"/>
        <v>54.460000000000008</v>
      </c>
      <c r="S47" s="44">
        <v>0.15</v>
      </c>
      <c r="T47" s="45">
        <v>64.070588235294125</v>
      </c>
      <c r="U47" s="39">
        <f t="shared" si="9"/>
        <v>0</v>
      </c>
      <c r="V47" s="40" t="str">
        <f t="shared" si="10"/>
        <v>1005820506006024361421</v>
      </c>
      <c r="W47" s="41">
        <v>44531</v>
      </c>
      <c r="X47" s="42"/>
      <c r="Y47" s="46"/>
      <c r="Z47" s="47">
        <f t="shared" si="11"/>
        <v>0</v>
      </c>
      <c r="AA47" s="94" t="s">
        <v>335</v>
      </c>
      <c r="AB47" s="95">
        <f t="shared" si="5"/>
        <v>0</v>
      </c>
      <c r="AC47" s="94"/>
      <c r="AD47" s="94">
        <f t="shared" si="6"/>
        <v>0</v>
      </c>
      <c r="AE47" s="96"/>
    </row>
    <row r="48" spans="1:31" x14ac:dyDescent="0.2">
      <c r="B48" s="48" t="s">
        <v>27</v>
      </c>
      <c r="C48" s="48" t="s">
        <v>60</v>
      </c>
      <c r="D48" s="48" t="s">
        <v>69</v>
      </c>
      <c r="E48" s="50" t="s">
        <v>254</v>
      </c>
      <c r="F48" s="50" t="s">
        <v>254</v>
      </c>
      <c r="G48" s="49" t="s">
        <v>257</v>
      </c>
      <c r="H48" s="49" t="s">
        <v>44</v>
      </c>
      <c r="I48" s="49" t="s">
        <v>92</v>
      </c>
      <c r="J48" s="50" t="s">
        <v>201</v>
      </c>
      <c r="K48" s="48" t="s">
        <v>93</v>
      </c>
      <c r="L48" s="49" t="s">
        <v>94</v>
      </c>
      <c r="M48" s="48" t="s">
        <v>29</v>
      </c>
      <c r="N48" s="28" t="s">
        <v>162</v>
      </c>
      <c r="O48" s="29" t="s">
        <v>31</v>
      </c>
      <c r="P48" s="37">
        <v>25.86</v>
      </c>
      <c r="Q48" s="38">
        <f t="shared" si="7"/>
        <v>4.2443474811582838E-2</v>
      </c>
      <c r="R48" s="39">
        <f t="shared" si="8"/>
        <v>24.762411741372468</v>
      </c>
      <c r="S48" s="44">
        <v>0.15</v>
      </c>
      <c r="T48" s="45">
        <v>29.132249107497021</v>
      </c>
      <c r="U48" s="39">
        <f t="shared" si="9"/>
        <v>1.0975882586275318</v>
      </c>
      <c r="V48" s="40" t="str">
        <f t="shared" si="10"/>
        <v>1005820506006024361571</v>
      </c>
      <c r="W48" s="41">
        <v>44531</v>
      </c>
      <c r="X48" s="42"/>
      <c r="Y48" s="46">
        <v>26</v>
      </c>
      <c r="Z48" s="47">
        <f t="shared" si="11"/>
        <v>28.537294724315828</v>
      </c>
      <c r="AA48" s="94">
        <f>104/4</f>
        <v>26</v>
      </c>
      <c r="AB48" s="95">
        <f t="shared" si="5"/>
        <v>28.537294724315828</v>
      </c>
      <c r="AC48" s="94" t="s">
        <v>336</v>
      </c>
      <c r="AD48" s="94">
        <f t="shared" si="6"/>
        <v>0</v>
      </c>
      <c r="AE48" s="96"/>
    </row>
    <row r="49" spans="2:31" x14ac:dyDescent="0.2">
      <c r="B49" s="48" t="s">
        <v>27</v>
      </c>
      <c r="C49" s="48" t="s">
        <v>60</v>
      </c>
      <c r="D49" s="48" t="s">
        <v>69</v>
      </c>
      <c r="E49" s="50" t="s">
        <v>254</v>
      </c>
      <c r="F49" s="50" t="s">
        <v>254</v>
      </c>
      <c r="G49" s="49" t="s">
        <v>257</v>
      </c>
      <c r="H49" s="49" t="s">
        <v>44</v>
      </c>
      <c r="I49" s="49" t="s">
        <v>92</v>
      </c>
      <c r="J49" s="50" t="s">
        <v>201</v>
      </c>
      <c r="K49" s="48" t="s">
        <v>93</v>
      </c>
      <c r="L49" s="49" t="s">
        <v>94</v>
      </c>
      <c r="M49" s="48" t="s">
        <v>29</v>
      </c>
      <c r="N49" s="28" t="s">
        <v>162</v>
      </c>
      <c r="O49" s="29" t="s">
        <v>31</v>
      </c>
      <c r="P49" s="37">
        <v>25.86</v>
      </c>
      <c r="Q49" s="38">
        <f t="shared" si="7"/>
        <v>4.2443474811582838E-2</v>
      </c>
      <c r="R49" s="39">
        <f t="shared" si="8"/>
        <v>24.762411741372468</v>
      </c>
      <c r="S49" s="44">
        <v>0.15</v>
      </c>
      <c r="T49" s="45">
        <v>29.132249107497021</v>
      </c>
      <c r="U49" s="39">
        <f t="shared" si="9"/>
        <v>1.0975882586275318</v>
      </c>
      <c r="V49" s="40" t="str">
        <f t="shared" si="10"/>
        <v>1005820506006024361571</v>
      </c>
      <c r="W49" s="41">
        <v>44531</v>
      </c>
      <c r="X49" s="42"/>
      <c r="Y49" s="46"/>
      <c r="Z49" s="47">
        <f t="shared" si="11"/>
        <v>0</v>
      </c>
      <c r="AA49" s="94" t="s">
        <v>335</v>
      </c>
      <c r="AB49" s="95">
        <f t="shared" si="5"/>
        <v>0</v>
      </c>
      <c r="AC49" s="94"/>
      <c r="AD49" s="94">
        <f t="shared" si="6"/>
        <v>0</v>
      </c>
      <c r="AE49" s="96"/>
    </row>
    <row r="50" spans="2:31" x14ac:dyDescent="0.2">
      <c r="B50" s="48" t="s">
        <v>27</v>
      </c>
      <c r="C50" s="48" t="s">
        <v>60</v>
      </c>
      <c r="D50" s="48" t="s">
        <v>69</v>
      </c>
      <c r="E50" s="50" t="s">
        <v>254</v>
      </c>
      <c r="F50" s="50" t="s">
        <v>254</v>
      </c>
      <c r="G50" s="49" t="s">
        <v>257</v>
      </c>
      <c r="H50" s="49" t="s">
        <v>44</v>
      </c>
      <c r="I50" s="49" t="s">
        <v>92</v>
      </c>
      <c r="J50" s="50" t="s">
        <v>201</v>
      </c>
      <c r="K50" s="48" t="s">
        <v>93</v>
      </c>
      <c r="L50" s="49" t="s">
        <v>94</v>
      </c>
      <c r="M50" s="48" t="s">
        <v>34</v>
      </c>
      <c r="N50" s="28" t="s">
        <v>173</v>
      </c>
      <c r="O50" s="29" t="s">
        <v>47</v>
      </c>
      <c r="P50" s="37">
        <v>41.42</v>
      </c>
      <c r="Q50" s="38">
        <f t="shared" si="7"/>
        <v>0.45669675530617226</v>
      </c>
      <c r="R50" s="39">
        <f t="shared" si="8"/>
        <v>22.503620395218345</v>
      </c>
      <c r="S50" s="44">
        <v>0.15</v>
      </c>
      <c r="T50" s="45">
        <v>26.474847523786288</v>
      </c>
      <c r="U50" s="39">
        <f t="shared" si="9"/>
        <v>18.916379604781657</v>
      </c>
      <c r="V50" s="40" t="str">
        <f t="shared" si="10"/>
        <v>1005820506006024361535</v>
      </c>
      <c r="W50" s="41">
        <v>44531</v>
      </c>
      <c r="X50" s="42"/>
      <c r="Y50" s="46"/>
      <c r="Z50" s="47">
        <f t="shared" si="11"/>
        <v>0</v>
      </c>
      <c r="AA50" s="94" t="s">
        <v>335</v>
      </c>
      <c r="AB50" s="95">
        <f t="shared" si="5"/>
        <v>0</v>
      </c>
      <c r="AC50" s="94"/>
      <c r="AD50" s="94">
        <f t="shared" si="6"/>
        <v>0</v>
      </c>
      <c r="AE50" s="96"/>
    </row>
    <row r="51" spans="2:31" x14ac:dyDescent="0.2">
      <c r="B51" s="48" t="s">
        <v>27</v>
      </c>
      <c r="C51" s="48" t="s">
        <v>60</v>
      </c>
      <c r="D51" s="48" t="s">
        <v>69</v>
      </c>
      <c r="E51" s="50" t="s">
        <v>254</v>
      </c>
      <c r="F51" s="50" t="s">
        <v>254</v>
      </c>
      <c r="G51" s="49" t="s">
        <v>257</v>
      </c>
      <c r="H51" s="49" t="s">
        <v>44</v>
      </c>
      <c r="I51" s="49" t="s">
        <v>92</v>
      </c>
      <c r="J51" s="50" t="s">
        <v>202</v>
      </c>
      <c r="K51" s="48" t="s">
        <v>95</v>
      </c>
      <c r="L51" s="49" t="s">
        <v>94</v>
      </c>
      <c r="M51" s="48" t="s">
        <v>29</v>
      </c>
      <c r="N51" s="28" t="s">
        <v>183</v>
      </c>
      <c r="O51" s="29" t="s">
        <v>62</v>
      </c>
      <c r="P51" s="37">
        <v>54.46</v>
      </c>
      <c r="Q51" s="38">
        <f t="shared" si="7"/>
        <v>0</v>
      </c>
      <c r="R51" s="39">
        <f t="shared" si="8"/>
        <v>54.460000000000008</v>
      </c>
      <c r="S51" s="44">
        <v>0.15</v>
      </c>
      <c r="T51" s="45">
        <v>64.070588235294125</v>
      </c>
      <c r="U51" s="39">
        <f t="shared" si="9"/>
        <v>0</v>
      </c>
      <c r="V51" s="40" t="str">
        <f t="shared" si="10"/>
        <v>1005820503258901361421</v>
      </c>
      <c r="W51" s="41">
        <v>44531</v>
      </c>
      <c r="X51" s="42"/>
      <c r="Y51" s="46"/>
      <c r="Z51" s="47">
        <f t="shared" si="11"/>
        <v>0</v>
      </c>
      <c r="AA51" s="94" t="s">
        <v>335</v>
      </c>
      <c r="AB51" s="95">
        <f t="shared" si="5"/>
        <v>0</v>
      </c>
      <c r="AC51" s="94"/>
      <c r="AD51" s="94">
        <f t="shared" si="6"/>
        <v>0</v>
      </c>
      <c r="AE51" s="96"/>
    </row>
    <row r="52" spans="2:31" x14ac:dyDescent="0.2">
      <c r="B52" s="48" t="s">
        <v>27</v>
      </c>
      <c r="C52" s="48" t="s">
        <v>60</v>
      </c>
      <c r="D52" s="48" t="s">
        <v>69</v>
      </c>
      <c r="E52" s="50" t="s">
        <v>254</v>
      </c>
      <c r="F52" s="50" t="s">
        <v>254</v>
      </c>
      <c r="G52" s="49" t="s">
        <v>257</v>
      </c>
      <c r="H52" s="49" t="s">
        <v>44</v>
      </c>
      <c r="I52" s="49" t="s">
        <v>92</v>
      </c>
      <c r="J52" s="50" t="s">
        <v>202</v>
      </c>
      <c r="K52" s="48" t="s">
        <v>95</v>
      </c>
      <c r="L52" s="49" t="s">
        <v>94</v>
      </c>
      <c r="M52" s="48" t="s">
        <v>29</v>
      </c>
      <c r="N52" s="28" t="s">
        <v>162</v>
      </c>
      <c r="O52" s="29" t="s">
        <v>31</v>
      </c>
      <c r="P52" s="37">
        <v>25.86</v>
      </c>
      <c r="Q52" s="38">
        <f t="shared" si="7"/>
        <v>4.2443474811582838E-2</v>
      </c>
      <c r="R52" s="39">
        <f t="shared" si="8"/>
        <v>24.762411741372468</v>
      </c>
      <c r="S52" s="44">
        <v>0.15</v>
      </c>
      <c r="T52" s="45">
        <v>29.132249107497021</v>
      </c>
      <c r="U52" s="39">
        <f t="shared" si="9"/>
        <v>1.0975882586275318</v>
      </c>
      <c r="V52" s="40" t="str">
        <f t="shared" si="10"/>
        <v>1005820503258901361571</v>
      </c>
      <c r="W52" s="41">
        <v>44531</v>
      </c>
      <c r="X52" s="42"/>
      <c r="Y52" s="46">
        <v>40.75</v>
      </c>
      <c r="Z52" s="47">
        <f t="shared" si="11"/>
        <v>44.726721539071924</v>
      </c>
      <c r="AA52" s="94">
        <f>163/4</f>
        <v>40.75</v>
      </c>
      <c r="AB52" s="95">
        <f t="shared" si="5"/>
        <v>44.726721539071924</v>
      </c>
      <c r="AC52" s="94" t="s">
        <v>336</v>
      </c>
      <c r="AD52" s="94">
        <f t="shared" si="6"/>
        <v>0</v>
      </c>
      <c r="AE52" s="96"/>
    </row>
    <row r="53" spans="2:31" x14ac:dyDescent="0.2">
      <c r="B53" s="48" t="s">
        <v>27</v>
      </c>
      <c r="C53" s="48" t="s">
        <v>60</v>
      </c>
      <c r="D53" s="48" t="s">
        <v>69</v>
      </c>
      <c r="E53" s="50" t="s">
        <v>254</v>
      </c>
      <c r="F53" s="50" t="s">
        <v>254</v>
      </c>
      <c r="G53" s="49" t="s">
        <v>257</v>
      </c>
      <c r="H53" s="49" t="s">
        <v>44</v>
      </c>
      <c r="I53" s="49" t="s">
        <v>92</v>
      </c>
      <c r="J53" s="50" t="s">
        <v>202</v>
      </c>
      <c r="K53" s="48" t="s">
        <v>95</v>
      </c>
      <c r="L53" s="49" t="s">
        <v>94</v>
      </c>
      <c r="M53" s="48" t="s">
        <v>29</v>
      </c>
      <c r="N53" s="28" t="s">
        <v>162</v>
      </c>
      <c r="O53" s="29" t="s">
        <v>31</v>
      </c>
      <c r="P53" s="37">
        <v>25.86</v>
      </c>
      <c r="Q53" s="38">
        <f t="shared" si="7"/>
        <v>4.2443474811582838E-2</v>
      </c>
      <c r="R53" s="39">
        <f t="shared" si="8"/>
        <v>24.762411741372468</v>
      </c>
      <c r="S53" s="44">
        <v>0.15</v>
      </c>
      <c r="T53" s="45">
        <v>29.132249107497021</v>
      </c>
      <c r="U53" s="39">
        <f t="shared" si="9"/>
        <v>1.0975882586275318</v>
      </c>
      <c r="V53" s="40" t="str">
        <f t="shared" si="10"/>
        <v>1005820503258901361571</v>
      </c>
      <c r="W53" s="41">
        <v>44531</v>
      </c>
      <c r="X53" s="42"/>
      <c r="Y53" s="46"/>
      <c r="Z53" s="47">
        <f t="shared" si="11"/>
        <v>0</v>
      </c>
      <c r="AA53" s="94" t="s">
        <v>335</v>
      </c>
      <c r="AB53" s="95">
        <f t="shared" si="5"/>
        <v>0</v>
      </c>
      <c r="AC53" s="94"/>
      <c r="AD53" s="94">
        <f t="shared" si="6"/>
        <v>0</v>
      </c>
      <c r="AE53" s="96"/>
    </row>
    <row r="54" spans="2:31" x14ac:dyDescent="0.2">
      <c r="B54" s="48" t="s">
        <v>27</v>
      </c>
      <c r="C54" s="48" t="s">
        <v>60</v>
      </c>
      <c r="D54" s="48" t="s">
        <v>69</v>
      </c>
      <c r="E54" s="50" t="s">
        <v>254</v>
      </c>
      <c r="F54" s="50" t="s">
        <v>254</v>
      </c>
      <c r="G54" s="49" t="s">
        <v>257</v>
      </c>
      <c r="H54" s="49" t="s">
        <v>44</v>
      </c>
      <c r="I54" s="49" t="s">
        <v>92</v>
      </c>
      <c r="J54" s="50" t="s">
        <v>202</v>
      </c>
      <c r="K54" s="48" t="s">
        <v>95</v>
      </c>
      <c r="L54" s="49" t="s">
        <v>94</v>
      </c>
      <c r="M54" s="48" t="s">
        <v>34</v>
      </c>
      <c r="N54" s="28" t="s">
        <v>173</v>
      </c>
      <c r="O54" s="29" t="s">
        <v>47</v>
      </c>
      <c r="P54" s="37">
        <v>41.42</v>
      </c>
      <c r="Q54" s="38">
        <f t="shared" si="7"/>
        <v>0.45669675530617226</v>
      </c>
      <c r="R54" s="39">
        <f t="shared" si="8"/>
        <v>22.503620395218345</v>
      </c>
      <c r="S54" s="44">
        <v>0.15</v>
      </c>
      <c r="T54" s="45">
        <v>26.474847523786288</v>
      </c>
      <c r="U54" s="39">
        <f t="shared" si="9"/>
        <v>18.916379604781657</v>
      </c>
      <c r="V54" s="40" t="str">
        <f t="shared" si="10"/>
        <v>1005820503258901361535</v>
      </c>
      <c r="W54" s="41">
        <v>44531</v>
      </c>
      <c r="X54" s="42"/>
      <c r="Y54" s="46">
        <v>142.5</v>
      </c>
      <c r="Z54" s="47">
        <f t="shared" si="11"/>
        <v>2695.5840936813861</v>
      </c>
      <c r="AA54" s="94">
        <f>285/2</f>
        <v>142.5</v>
      </c>
      <c r="AB54" s="95">
        <f t="shared" si="5"/>
        <v>2695.5840936813861</v>
      </c>
      <c r="AC54" s="94" t="s">
        <v>336</v>
      </c>
      <c r="AD54" s="94">
        <f t="shared" si="6"/>
        <v>0</v>
      </c>
      <c r="AE54" s="96"/>
    </row>
    <row r="55" spans="2:31" x14ac:dyDescent="0.2">
      <c r="B55" s="48" t="s">
        <v>27</v>
      </c>
      <c r="C55" s="48" t="s">
        <v>60</v>
      </c>
      <c r="D55" s="48" t="s">
        <v>69</v>
      </c>
      <c r="E55" s="50" t="s">
        <v>254</v>
      </c>
      <c r="F55" s="50" t="s">
        <v>254</v>
      </c>
      <c r="G55" s="49" t="s">
        <v>253</v>
      </c>
      <c r="H55" s="49" t="s">
        <v>44</v>
      </c>
      <c r="I55" s="49" t="s">
        <v>59</v>
      </c>
      <c r="J55" s="50" t="s">
        <v>203</v>
      </c>
      <c r="K55" s="48" t="s">
        <v>96</v>
      </c>
      <c r="L55" s="49" t="s">
        <v>97</v>
      </c>
      <c r="M55" s="48" t="s">
        <v>29</v>
      </c>
      <c r="N55" s="28" t="s">
        <v>183</v>
      </c>
      <c r="O55" s="29" t="s">
        <v>62</v>
      </c>
      <c r="P55" s="37">
        <v>54.46</v>
      </c>
      <c r="Q55" s="38">
        <f t="shared" si="7"/>
        <v>0</v>
      </c>
      <c r="R55" s="39">
        <f t="shared" si="8"/>
        <v>54.460000000000008</v>
      </c>
      <c r="S55" s="44">
        <v>0.15</v>
      </c>
      <c r="T55" s="45">
        <v>64.070588235294125</v>
      </c>
      <c r="U55" s="39">
        <f t="shared" si="9"/>
        <v>0</v>
      </c>
      <c r="V55" s="40" t="str">
        <f t="shared" si="10"/>
        <v>1005820104121374361421</v>
      </c>
      <c r="W55" s="41">
        <v>44531</v>
      </c>
      <c r="X55" s="42"/>
      <c r="Y55" s="46"/>
      <c r="Z55" s="47">
        <f t="shared" si="11"/>
        <v>0</v>
      </c>
      <c r="AA55" s="94" t="s">
        <v>335</v>
      </c>
      <c r="AB55" s="95">
        <f t="shared" si="5"/>
        <v>0</v>
      </c>
      <c r="AC55" s="94"/>
      <c r="AD55" s="94">
        <f t="shared" si="6"/>
        <v>0</v>
      </c>
      <c r="AE55" s="96"/>
    </row>
    <row r="56" spans="2:31" x14ac:dyDescent="0.2">
      <c r="B56" s="48" t="s">
        <v>27</v>
      </c>
      <c r="C56" s="48" t="s">
        <v>60</v>
      </c>
      <c r="D56" s="48" t="s">
        <v>69</v>
      </c>
      <c r="E56" s="50" t="s">
        <v>254</v>
      </c>
      <c r="F56" s="50" t="s">
        <v>254</v>
      </c>
      <c r="G56" s="49" t="s">
        <v>253</v>
      </c>
      <c r="H56" s="49" t="s">
        <v>44</v>
      </c>
      <c r="I56" s="49" t="s">
        <v>59</v>
      </c>
      <c r="J56" s="50" t="s">
        <v>203</v>
      </c>
      <c r="K56" s="48" t="s">
        <v>96</v>
      </c>
      <c r="L56" s="49" t="s">
        <v>97</v>
      </c>
      <c r="M56" s="48" t="s">
        <v>29</v>
      </c>
      <c r="N56" s="28" t="s">
        <v>172</v>
      </c>
      <c r="O56" s="29" t="s">
        <v>46</v>
      </c>
      <c r="P56" s="37">
        <v>11.89</v>
      </c>
      <c r="Q56" s="38">
        <f t="shared" si="7"/>
        <v>6.3009540329574842E-2</v>
      </c>
      <c r="R56" s="39">
        <f t="shared" si="8"/>
        <v>11.140816565481355</v>
      </c>
      <c r="S56" s="44">
        <v>0.15</v>
      </c>
      <c r="T56" s="45">
        <v>13.106843018213359</v>
      </c>
      <c r="U56" s="39">
        <f t="shared" si="9"/>
        <v>0.74918343451864544</v>
      </c>
      <c r="V56" s="40" t="str">
        <f t="shared" si="10"/>
        <v>1005820104121374361085</v>
      </c>
      <c r="W56" s="41">
        <v>44531</v>
      </c>
      <c r="X56" s="42"/>
      <c r="Y56" s="46"/>
      <c r="Z56" s="47">
        <f t="shared" si="11"/>
        <v>0</v>
      </c>
      <c r="AA56" s="94" t="s">
        <v>335</v>
      </c>
      <c r="AB56" s="95">
        <f t="shared" si="5"/>
        <v>0</v>
      </c>
      <c r="AC56" s="94"/>
      <c r="AD56" s="94">
        <f t="shared" si="6"/>
        <v>0</v>
      </c>
      <c r="AE56" s="96"/>
    </row>
    <row r="57" spans="2:31" x14ac:dyDescent="0.2">
      <c r="B57" s="48" t="s">
        <v>27</v>
      </c>
      <c r="C57" s="48" t="s">
        <v>60</v>
      </c>
      <c r="D57" s="48" t="s">
        <v>69</v>
      </c>
      <c r="E57" s="50" t="s">
        <v>254</v>
      </c>
      <c r="F57" s="50" t="s">
        <v>254</v>
      </c>
      <c r="G57" s="49" t="s">
        <v>253</v>
      </c>
      <c r="H57" s="49" t="s">
        <v>44</v>
      </c>
      <c r="I57" s="49" t="s">
        <v>59</v>
      </c>
      <c r="J57" s="50" t="s">
        <v>204</v>
      </c>
      <c r="K57" s="48" t="s">
        <v>98</v>
      </c>
      <c r="L57" s="49" t="s">
        <v>97</v>
      </c>
      <c r="M57" s="48" t="s">
        <v>29</v>
      </c>
      <c r="N57" s="28" t="s">
        <v>172</v>
      </c>
      <c r="O57" s="29" t="s">
        <v>46</v>
      </c>
      <c r="P57" s="37">
        <v>11.89</v>
      </c>
      <c r="Q57" s="38">
        <f t="shared" si="7"/>
        <v>6.3009540329574842E-2</v>
      </c>
      <c r="R57" s="39">
        <f t="shared" si="8"/>
        <v>11.140816565481355</v>
      </c>
      <c r="S57" s="44">
        <v>0.15</v>
      </c>
      <c r="T57" s="45">
        <v>13.106843018213359</v>
      </c>
      <c r="U57" s="39">
        <f t="shared" si="9"/>
        <v>0.74918343451864544</v>
      </c>
      <c r="V57" s="40" t="str">
        <f t="shared" si="10"/>
        <v>1005820450122395361085</v>
      </c>
      <c r="W57" s="41">
        <v>44531</v>
      </c>
      <c r="X57" s="42"/>
      <c r="Y57" s="46"/>
      <c r="Z57" s="47">
        <f t="shared" si="11"/>
        <v>0</v>
      </c>
      <c r="AA57" s="94" t="s">
        <v>335</v>
      </c>
      <c r="AB57" s="95">
        <f t="shared" si="5"/>
        <v>0</v>
      </c>
      <c r="AC57" s="94"/>
      <c r="AD57" s="94">
        <f t="shared" si="6"/>
        <v>0</v>
      </c>
      <c r="AE57" s="96"/>
    </row>
    <row r="58" spans="2:31" x14ac:dyDescent="0.2">
      <c r="B58" s="48" t="s">
        <v>27</v>
      </c>
      <c r="C58" s="48" t="s">
        <v>60</v>
      </c>
      <c r="D58" s="48" t="s">
        <v>69</v>
      </c>
      <c r="E58" s="50" t="s">
        <v>254</v>
      </c>
      <c r="F58" s="50" t="s">
        <v>254</v>
      </c>
      <c r="G58" s="49" t="s">
        <v>253</v>
      </c>
      <c r="H58" s="49" t="s">
        <v>44</v>
      </c>
      <c r="I58" s="49" t="s">
        <v>59</v>
      </c>
      <c r="J58" s="50" t="s">
        <v>205</v>
      </c>
      <c r="K58" s="48" t="s">
        <v>99</v>
      </c>
      <c r="L58" s="49" t="s">
        <v>97</v>
      </c>
      <c r="M58" s="48" t="s">
        <v>29</v>
      </c>
      <c r="N58" s="28" t="s">
        <v>183</v>
      </c>
      <c r="O58" s="29" t="s">
        <v>62</v>
      </c>
      <c r="P58" s="37">
        <v>54.46</v>
      </c>
      <c r="Q58" s="38">
        <f t="shared" si="7"/>
        <v>0</v>
      </c>
      <c r="R58" s="39">
        <f t="shared" si="8"/>
        <v>54.460000000000008</v>
      </c>
      <c r="S58" s="44">
        <v>0.15</v>
      </c>
      <c r="T58" s="45">
        <v>64.070588235294125</v>
      </c>
      <c r="U58" s="39">
        <f t="shared" si="9"/>
        <v>0</v>
      </c>
      <c r="V58" s="40" t="str">
        <f t="shared" si="10"/>
        <v>1005820450125904361421</v>
      </c>
      <c r="W58" s="41">
        <v>44531</v>
      </c>
      <c r="X58" s="42"/>
      <c r="Y58" s="46"/>
      <c r="Z58" s="47">
        <f t="shared" si="11"/>
        <v>0</v>
      </c>
      <c r="AA58" s="94" t="s">
        <v>335</v>
      </c>
      <c r="AB58" s="95">
        <f t="shared" si="5"/>
        <v>0</v>
      </c>
      <c r="AC58" s="94"/>
      <c r="AD58" s="94">
        <f t="shared" si="6"/>
        <v>0</v>
      </c>
      <c r="AE58" s="96"/>
    </row>
    <row r="59" spans="2:31" x14ac:dyDescent="0.2">
      <c r="B59" s="48" t="s">
        <v>27</v>
      </c>
      <c r="C59" s="48" t="s">
        <v>60</v>
      </c>
      <c r="D59" s="48" t="s">
        <v>69</v>
      </c>
      <c r="E59" s="50" t="s">
        <v>254</v>
      </c>
      <c r="F59" s="50" t="s">
        <v>254</v>
      </c>
      <c r="G59" s="49" t="s">
        <v>253</v>
      </c>
      <c r="H59" s="49" t="s">
        <v>44</v>
      </c>
      <c r="I59" s="49" t="s">
        <v>59</v>
      </c>
      <c r="J59" s="50" t="s">
        <v>205</v>
      </c>
      <c r="K59" s="48" t="s">
        <v>99</v>
      </c>
      <c r="L59" s="49" t="s">
        <v>97</v>
      </c>
      <c r="M59" s="48" t="s">
        <v>29</v>
      </c>
      <c r="N59" s="28" t="s">
        <v>172</v>
      </c>
      <c r="O59" s="29" t="s">
        <v>46</v>
      </c>
      <c r="P59" s="37">
        <v>11.89</v>
      </c>
      <c r="Q59" s="38">
        <f t="shared" si="7"/>
        <v>6.3009540329574842E-2</v>
      </c>
      <c r="R59" s="39">
        <f t="shared" si="8"/>
        <v>11.140816565481355</v>
      </c>
      <c r="S59" s="44">
        <v>0.15</v>
      </c>
      <c r="T59" s="45">
        <v>13.106843018213359</v>
      </c>
      <c r="U59" s="39">
        <f t="shared" si="9"/>
        <v>0.74918343451864544</v>
      </c>
      <c r="V59" s="40" t="str">
        <f t="shared" si="10"/>
        <v>1005820450125904361085</v>
      </c>
      <c r="W59" s="41">
        <v>44531</v>
      </c>
      <c r="X59" s="42"/>
      <c r="Y59" s="46"/>
      <c r="Z59" s="47">
        <f t="shared" si="11"/>
        <v>0</v>
      </c>
      <c r="AA59" s="94" t="s">
        <v>335</v>
      </c>
      <c r="AB59" s="95">
        <f t="shared" si="5"/>
        <v>0</v>
      </c>
      <c r="AC59" s="94"/>
      <c r="AD59" s="94">
        <f t="shared" si="6"/>
        <v>0</v>
      </c>
      <c r="AE59" s="96"/>
    </row>
    <row r="60" spans="2:31" x14ac:dyDescent="0.2">
      <c r="B60" s="48" t="s">
        <v>27</v>
      </c>
      <c r="C60" s="48" t="s">
        <v>60</v>
      </c>
      <c r="D60" s="48" t="s">
        <v>69</v>
      </c>
      <c r="E60" s="50" t="s">
        <v>254</v>
      </c>
      <c r="F60" s="50" t="s">
        <v>254</v>
      </c>
      <c r="G60" s="49" t="s">
        <v>257</v>
      </c>
      <c r="H60" s="49" t="s">
        <v>44</v>
      </c>
      <c r="I60" s="49" t="s">
        <v>100</v>
      </c>
      <c r="J60" s="50" t="s">
        <v>206</v>
      </c>
      <c r="K60" s="48" t="s">
        <v>101</v>
      </c>
      <c r="L60" s="49" t="s">
        <v>102</v>
      </c>
      <c r="M60" s="48" t="s">
        <v>29</v>
      </c>
      <c r="N60" s="28" t="s">
        <v>162</v>
      </c>
      <c r="O60" s="29" t="s">
        <v>31</v>
      </c>
      <c r="P60" s="37">
        <v>25.86</v>
      </c>
      <c r="Q60" s="38">
        <f t="shared" si="7"/>
        <v>0.17056723522411743</v>
      </c>
      <c r="R60" s="39">
        <f t="shared" si="8"/>
        <v>21.449131297104323</v>
      </c>
      <c r="S60" s="44">
        <v>0.15</v>
      </c>
      <c r="T60" s="45">
        <v>25.23427211424038</v>
      </c>
      <c r="U60" s="39">
        <f t="shared" si="9"/>
        <v>4.4108687028956766</v>
      </c>
      <c r="V60" s="40" t="str">
        <f t="shared" si="10"/>
        <v>1005820421526258361571</v>
      </c>
      <c r="W60" s="41">
        <v>44531</v>
      </c>
      <c r="X60" s="42"/>
      <c r="Y60" s="46">
        <v>500</v>
      </c>
      <c r="Z60" s="47">
        <f t="shared" si="11"/>
        <v>2205.4343514478383</v>
      </c>
      <c r="AA60" s="94">
        <f>(1400+600)/4</f>
        <v>500</v>
      </c>
      <c r="AB60" s="95">
        <f t="shared" si="5"/>
        <v>2205.4343514478383</v>
      </c>
      <c r="AC60" s="94" t="s">
        <v>336</v>
      </c>
      <c r="AD60" s="94">
        <f t="shared" si="6"/>
        <v>0</v>
      </c>
      <c r="AE60" s="96"/>
    </row>
    <row r="61" spans="2:31" x14ac:dyDescent="0.2">
      <c r="B61" s="48" t="s">
        <v>27</v>
      </c>
      <c r="C61" s="48" t="s">
        <v>60</v>
      </c>
      <c r="D61" s="48" t="s">
        <v>69</v>
      </c>
      <c r="E61" s="50" t="s">
        <v>254</v>
      </c>
      <c r="F61" s="50" t="s">
        <v>254</v>
      </c>
      <c r="G61" s="49" t="s">
        <v>257</v>
      </c>
      <c r="H61" s="49" t="s">
        <v>44</v>
      </c>
      <c r="I61" s="49" t="s">
        <v>100</v>
      </c>
      <c r="J61" s="50" t="s">
        <v>206</v>
      </c>
      <c r="K61" s="48" t="s">
        <v>101</v>
      </c>
      <c r="L61" s="49" t="s">
        <v>102</v>
      </c>
      <c r="M61" s="48" t="s">
        <v>29</v>
      </c>
      <c r="N61" s="28" t="s">
        <v>162</v>
      </c>
      <c r="O61" s="29" t="s">
        <v>31</v>
      </c>
      <c r="P61" s="37">
        <v>25.86</v>
      </c>
      <c r="Q61" s="38">
        <f t="shared" si="7"/>
        <v>0.17056723522411743</v>
      </c>
      <c r="R61" s="39">
        <f t="shared" si="8"/>
        <v>21.449131297104323</v>
      </c>
      <c r="S61" s="44">
        <v>0.15</v>
      </c>
      <c r="T61" s="45">
        <v>25.23427211424038</v>
      </c>
      <c r="U61" s="39">
        <f t="shared" si="9"/>
        <v>4.4108687028956766</v>
      </c>
      <c r="V61" s="40" t="str">
        <f t="shared" si="10"/>
        <v>1005820421526258361571</v>
      </c>
      <c r="W61" s="41">
        <v>44531</v>
      </c>
      <c r="X61" s="42"/>
      <c r="Y61" s="46"/>
      <c r="Z61" s="47">
        <f t="shared" si="11"/>
        <v>0</v>
      </c>
      <c r="AA61" s="94" t="s">
        <v>335</v>
      </c>
      <c r="AB61" s="95">
        <f t="shared" si="5"/>
        <v>0</v>
      </c>
      <c r="AC61" s="94"/>
      <c r="AD61" s="94">
        <f t="shared" si="6"/>
        <v>0</v>
      </c>
      <c r="AE61" s="96"/>
    </row>
    <row r="62" spans="2:31" x14ac:dyDescent="0.2">
      <c r="B62" s="48" t="s">
        <v>27</v>
      </c>
      <c r="C62" s="48" t="s">
        <v>60</v>
      </c>
      <c r="D62" s="48" t="s">
        <v>69</v>
      </c>
      <c r="E62" s="50" t="s">
        <v>254</v>
      </c>
      <c r="F62" s="50" t="s">
        <v>254</v>
      </c>
      <c r="G62" s="49" t="s">
        <v>257</v>
      </c>
      <c r="H62" s="49" t="s">
        <v>44</v>
      </c>
      <c r="I62" s="49" t="s">
        <v>100</v>
      </c>
      <c r="J62" s="50" t="s">
        <v>206</v>
      </c>
      <c r="K62" s="48" t="s">
        <v>101</v>
      </c>
      <c r="L62" s="49" t="s">
        <v>102</v>
      </c>
      <c r="M62" s="48" t="s">
        <v>34</v>
      </c>
      <c r="N62" s="28" t="s">
        <v>167</v>
      </c>
      <c r="O62" s="29" t="s">
        <v>36</v>
      </c>
      <c r="P62" s="37">
        <v>26.44</v>
      </c>
      <c r="Q62" s="38">
        <f t="shared" si="7"/>
        <v>0.20941223193010328</v>
      </c>
      <c r="R62" s="39">
        <f t="shared" si="8"/>
        <v>20.903140587768071</v>
      </c>
      <c r="S62" s="44">
        <v>0.15</v>
      </c>
      <c r="T62" s="45">
        <v>24.591930103256555</v>
      </c>
      <c r="U62" s="39">
        <f t="shared" si="9"/>
        <v>5.5368594122319301</v>
      </c>
      <c r="V62" s="40" t="str">
        <f t="shared" si="10"/>
        <v>1005820421526258361532</v>
      </c>
      <c r="W62" s="41">
        <v>44531</v>
      </c>
      <c r="X62" s="42"/>
      <c r="Y62" s="46">
        <v>220</v>
      </c>
      <c r="Z62" s="47">
        <f t="shared" si="11"/>
        <v>1218.1090706910247</v>
      </c>
      <c r="AA62" s="94">
        <f>440/2</f>
        <v>220</v>
      </c>
      <c r="AB62" s="95">
        <f t="shared" si="5"/>
        <v>1218.1090706910247</v>
      </c>
      <c r="AC62" s="94" t="s">
        <v>336</v>
      </c>
      <c r="AD62" s="94">
        <f t="shared" si="6"/>
        <v>0</v>
      </c>
      <c r="AE62" s="96"/>
    </row>
    <row r="63" spans="2:31" x14ac:dyDescent="0.2">
      <c r="B63" s="48" t="s">
        <v>27</v>
      </c>
      <c r="C63" s="48" t="s">
        <v>60</v>
      </c>
      <c r="D63" s="48" t="s">
        <v>69</v>
      </c>
      <c r="E63" s="50" t="s">
        <v>254</v>
      </c>
      <c r="F63" s="50" t="s">
        <v>254</v>
      </c>
      <c r="G63" s="49" t="s">
        <v>251</v>
      </c>
      <c r="H63" s="49" t="s">
        <v>68</v>
      </c>
      <c r="I63" s="49" t="s">
        <v>252</v>
      </c>
      <c r="J63" s="50" t="s">
        <v>207</v>
      </c>
      <c r="K63" s="48" t="s">
        <v>103</v>
      </c>
      <c r="L63" s="49" t="s">
        <v>104</v>
      </c>
      <c r="M63" s="48" t="s">
        <v>29</v>
      </c>
      <c r="N63" s="28" t="s">
        <v>183</v>
      </c>
      <c r="O63" s="29" t="s">
        <v>62</v>
      </c>
      <c r="P63" s="37">
        <v>54.46</v>
      </c>
      <c r="Q63" s="38">
        <f t="shared" si="7"/>
        <v>0</v>
      </c>
      <c r="R63" s="39">
        <f t="shared" si="8"/>
        <v>54.460000000000008</v>
      </c>
      <c r="S63" s="44">
        <v>0.15</v>
      </c>
      <c r="T63" s="45">
        <v>64.070588235294125</v>
      </c>
      <c r="U63" s="39">
        <f t="shared" si="9"/>
        <v>0</v>
      </c>
      <c r="V63" s="40" t="str">
        <f t="shared" si="10"/>
        <v>1005820136629591361421</v>
      </c>
      <c r="W63" s="41">
        <v>44531</v>
      </c>
      <c r="X63" s="42"/>
      <c r="Y63" s="46"/>
      <c r="Z63" s="47">
        <f t="shared" si="11"/>
        <v>0</v>
      </c>
      <c r="AA63" s="94" t="s">
        <v>335</v>
      </c>
      <c r="AB63" s="95">
        <f t="shared" si="5"/>
        <v>0</v>
      </c>
      <c r="AC63" s="94"/>
      <c r="AD63" s="94">
        <f t="shared" si="6"/>
        <v>0</v>
      </c>
      <c r="AE63" s="96"/>
    </row>
    <row r="64" spans="2:31" x14ac:dyDescent="0.2">
      <c r="B64" s="48" t="s">
        <v>27</v>
      </c>
      <c r="C64" s="48" t="s">
        <v>60</v>
      </c>
      <c r="D64" s="48" t="s">
        <v>69</v>
      </c>
      <c r="E64" s="50" t="s">
        <v>254</v>
      </c>
      <c r="F64" s="50" t="s">
        <v>254</v>
      </c>
      <c r="G64" s="49" t="s">
        <v>255</v>
      </c>
      <c r="H64" s="49" t="s">
        <v>44</v>
      </c>
      <c r="I64" s="49" t="s">
        <v>61</v>
      </c>
      <c r="J64" s="50" t="s">
        <v>208</v>
      </c>
      <c r="K64" s="48" t="s">
        <v>105</v>
      </c>
      <c r="L64" s="49" t="s">
        <v>106</v>
      </c>
      <c r="M64" s="48" t="s">
        <v>29</v>
      </c>
      <c r="N64" s="28" t="s">
        <v>165</v>
      </c>
      <c r="O64" s="29" t="s">
        <v>33</v>
      </c>
      <c r="P64" s="37">
        <v>50.39</v>
      </c>
      <c r="Q64" s="38">
        <f t="shared" si="7"/>
        <v>0.20178606866441751</v>
      </c>
      <c r="R64" s="39">
        <f t="shared" si="8"/>
        <v>40.222000000000001</v>
      </c>
      <c r="S64" s="44">
        <v>0.15</v>
      </c>
      <c r="T64" s="45">
        <v>47.32</v>
      </c>
      <c r="U64" s="39">
        <f t="shared" si="9"/>
        <v>10.167999999999999</v>
      </c>
      <c r="V64" s="40" t="str">
        <f t="shared" si="10"/>
        <v>1005820101920721361540</v>
      </c>
      <c r="W64" s="41">
        <v>44531</v>
      </c>
      <c r="X64" s="42"/>
      <c r="Y64" s="46">
        <v>37.5</v>
      </c>
      <c r="Z64" s="47">
        <f t="shared" si="11"/>
        <v>381.29999999999995</v>
      </c>
      <c r="AA64" s="94">
        <f>150/4</f>
        <v>37.5</v>
      </c>
      <c r="AB64" s="95">
        <f t="shared" si="5"/>
        <v>381.29999999999995</v>
      </c>
      <c r="AC64" s="94" t="s">
        <v>336</v>
      </c>
      <c r="AD64" s="94">
        <f t="shared" si="6"/>
        <v>0</v>
      </c>
      <c r="AE64" s="96"/>
    </row>
    <row r="65" spans="1:31" x14ac:dyDescent="0.2">
      <c r="B65" s="48" t="s">
        <v>27</v>
      </c>
      <c r="C65" s="48" t="s">
        <v>60</v>
      </c>
      <c r="D65" s="48" t="s">
        <v>69</v>
      </c>
      <c r="E65" s="50" t="s">
        <v>254</v>
      </c>
      <c r="F65" s="50" t="s">
        <v>254</v>
      </c>
      <c r="G65" s="49" t="s">
        <v>260</v>
      </c>
      <c r="H65" s="49" t="s">
        <v>44</v>
      </c>
      <c r="I65" s="49" t="s">
        <v>107</v>
      </c>
      <c r="J65" s="50" t="s">
        <v>209</v>
      </c>
      <c r="K65" s="48" t="s">
        <v>108</v>
      </c>
      <c r="L65" s="49" t="s">
        <v>109</v>
      </c>
      <c r="M65" s="48" t="s">
        <v>29</v>
      </c>
      <c r="N65" s="28" t="s">
        <v>172</v>
      </c>
      <c r="O65" s="29" t="s">
        <v>46</v>
      </c>
      <c r="P65" s="37">
        <v>11.89</v>
      </c>
      <c r="Q65" s="38">
        <f t="shared" si="7"/>
        <v>0.39696444058976588</v>
      </c>
      <c r="R65" s="39">
        <f t="shared" si="8"/>
        <v>7.1700928013876837</v>
      </c>
      <c r="S65" s="44">
        <v>0.15</v>
      </c>
      <c r="T65" s="45">
        <v>8.4354032957502163</v>
      </c>
      <c r="U65" s="39">
        <f t="shared" si="9"/>
        <v>4.7199071986123169</v>
      </c>
      <c r="V65" s="40" t="str">
        <f t="shared" si="10"/>
        <v>1005820352465331361085</v>
      </c>
      <c r="W65" s="41">
        <v>44531</v>
      </c>
      <c r="X65" s="42"/>
      <c r="Y65" s="46"/>
      <c r="Z65" s="47">
        <f t="shared" si="11"/>
        <v>0</v>
      </c>
      <c r="AA65" s="94" t="s">
        <v>335</v>
      </c>
      <c r="AB65" s="95">
        <f t="shared" si="5"/>
        <v>0</v>
      </c>
      <c r="AC65" s="94"/>
      <c r="AD65" s="94">
        <f t="shared" si="6"/>
        <v>0</v>
      </c>
      <c r="AE65" s="96"/>
    </row>
    <row r="66" spans="1:31" x14ac:dyDescent="0.2">
      <c r="B66" s="48" t="s">
        <v>27</v>
      </c>
      <c r="C66" s="48" t="s">
        <v>60</v>
      </c>
      <c r="D66" s="48" t="s">
        <v>69</v>
      </c>
      <c r="E66" s="50" t="s">
        <v>254</v>
      </c>
      <c r="F66" s="50" t="s">
        <v>254</v>
      </c>
      <c r="G66" s="49" t="s">
        <v>260</v>
      </c>
      <c r="H66" s="49" t="s">
        <v>44</v>
      </c>
      <c r="I66" s="49" t="s">
        <v>107</v>
      </c>
      <c r="J66" s="50" t="s">
        <v>209</v>
      </c>
      <c r="K66" s="48" t="s">
        <v>108</v>
      </c>
      <c r="L66" s="49" t="s">
        <v>109</v>
      </c>
      <c r="M66" s="48" t="s">
        <v>29</v>
      </c>
      <c r="N66" s="28" t="s">
        <v>162</v>
      </c>
      <c r="O66" s="29" t="s">
        <v>31</v>
      </c>
      <c r="P66" s="37">
        <v>25.86</v>
      </c>
      <c r="Q66" s="38">
        <f t="shared" si="7"/>
        <v>0.12336374454581522</v>
      </c>
      <c r="R66" s="39">
        <f t="shared" si="8"/>
        <v>22.669813566045217</v>
      </c>
      <c r="S66" s="44">
        <v>0.15</v>
      </c>
      <c r="T66" s="45">
        <v>26.670368901229669</v>
      </c>
      <c r="U66" s="39">
        <f t="shared" si="9"/>
        <v>3.1901864339547821</v>
      </c>
      <c r="V66" s="40" t="str">
        <f t="shared" si="10"/>
        <v>1005820352465331361571</v>
      </c>
      <c r="W66" s="41">
        <v>44531</v>
      </c>
      <c r="X66" s="42"/>
      <c r="Y66" s="46"/>
      <c r="Z66" s="47">
        <f t="shared" si="11"/>
        <v>0</v>
      </c>
      <c r="AA66" s="94" t="s">
        <v>335</v>
      </c>
      <c r="AB66" s="95">
        <f t="shared" si="5"/>
        <v>0</v>
      </c>
      <c r="AC66" s="94"/>
      <c r="AD66" s="94">
        <f t="shared" si="6"/>
        <v>0</v>
      </c>
      <c r="AE66" s="96"/>
    </row>
    <row r="67" spans="1:31" x14ac:dyDescent="0.2">
      <c r="B67" s="48" t="s">
        <v>27</v>
      </c>
      <c r="C67" s="48" t="s">
        <v>60</v>
      </c>
      <c r="D67" s="48" t="s">
        <v>69</v>
      </c>
      <c r="E67" s="50" t="s">
        <v>254</v>
      </c>
      <c r="F67" s="50" t="s">
        <v>254</v>
      </c>
      <c r="G67" s="49" t="s">
        <v>260</v>
      </c>
      <c r="H67" s="49" t="s">
        <v>44</v>
      </c>
      <c r="I67" s="49" t="s">
        <v>107</v>
      </c>
      <c r="J67" s="50" t="s">
        <v>209</v>
      </c>
      <c r="K67" s="48" t="s">
        <v>108</v>
      </c>
      <c r="L67" s="49" t="s">
        <v>109</v>
      </c>
      <c r="M67" s="48" t="s">
        <v>29</v>
      </c>
      <c r="N67" s="28" t="s">
        <v>162</v>
      </c>
      <c r="O67" s="29" t="s">
        <v>31</v>
      </c>
      <c r="P67" s="37">
        <v>25.86</v>
      </c>
      <c r="Q67" s="38">
        <f t="shared" si="7"/>
        <v>0.12336374454581522</v>
      </c>
      <c r="R67" s="39">
        <f t="shared" si="8"/>
        <v>22.669813566045217</v>
      </c>
      <c r="S67" s="44">
        <v>0.15</v>
      </c>
      <c r="T67" s="45">
        <v>26.670368901229669</v>
      </c>
      <c r="U67" s="39">
        <f t="shared" si="9"/>
        <v>3.1901864339547821</v>
      </c>
      <c r="V67" s="40" t="str">
        <f t="shared" si="10"/>
        <v>1005820352465331361571</v>
      </c>
      <c r="W67" s="41">
        <v>44531</v>
      </c>
      <c r="X67" s="42"/>
      <c r="Y67" s="46"/>
      <c r="Z67" s="47">
        <f t="shared" si="11"/>
        <v>0</v>
      </c>
      <c r="AA67" s="94" t="s">
        <v>335</v>
      </c>
      <c r="AB67" s="95">
        <f t="shared" si="5"/>
        <v>0</v>
      </c>
      <c r="AC67" s="94"/>
      <c r="AD67" s="94">
        <f t="shared" si="6"/>
        <v>0</v>
      </c>
      <c r="AE67" s="96"/>
    </row>
    <row r="68" spans="1:31" x14ac:dyDescent="0.2">
      <c r="B68" s="48" t="s">
        <v>27</v>
      </c>
      <c r="C68" s="48" t="s">
        <v>60</v>
      </c>
      <c r="D68" s="48" t="s">
        <v>69</v>
      </c>
      <c r="E68" s="50" t="s">
        <v>254</v>
      </c>
      <c r="F68" s="50" t="s">
        <v>254</v>
      </c>
      <c r="G68" s="49" t="s">
        <v>260</v>
      </c>
      <c r="H68" s="49" t="s">
        <v>44</v>
      </c>
      <c r="I68" s="49" t="s">
        <v>107</v>
      </c>
      <c r="J68" s="50" t="s">
        <v>209</v>
      </c>
      <c r="K68" s="48" t="s">
        <v>108</v>
      </c>
      <c r="L68" s="49" t="s">
        <v>109</v>
      </c>
      <c r="M68" s="48" t="s">
        <v>34</v>
      </c>
      <c r="N68" s="28" t="s">
        <v>173</v>
      </c>
      <c r="O68" s="29" t="s">
        <v>47</v>
      </c>
      <c r="P68" s="37">
        <v>41.42</v>
      </c>
      <c r="Q68" s="38">
        <f t="shared" si="7"/>
        <v>0.45254940229324236</v>
      </c>
      <c r="R68" s="39">
        <f t="shared" si="8"/>
        <v>22.675403757013903</v>
      </c>
      <c r="S68" s="44">
        <v>0.15</v>
      </c>
      <c r="T68" s="45">
        <v>26.676945596486945</v>
      </c>
      <c r="U68" s="39">
        <f t="shared" si="9"/>
        <v>18.744596242986098</v>
      </c>
      <c r="V68" s="40" t="str">
        <f t="shared" si="10"/>
        <v>1005820352465331361535</v>
      </c>
      <c r="W68" s="41">
        <v>44531</v>
      </c>
      <c r="X68" s="42"/>
      <c r="Y68" s="46"/>
      <c r="Z68" s="47">
        <f t="shared" si="11"/>
        <v>0</v>
      </c>
      <c r="AA68" s="94" t="s">
        <v>335</v>
      </c>
      <c r="AB68" s="95">
        <f t="shared" si="5"/>
        <v>0</v>
      </c>
      <c r="AC68" s="94"/>
      <c r="AD68" s="94">
        <f t="shared" si="6"/>
        <v>0</v>
      </c>
      <c r="AE68" s="96"/>
    </row>
    <row r="69" spans="1:31" x14ac:dyDescent="0.2">
      <c r="B69" s="48" t="s">
        <v>27</v>
      </c>
      <c r="C69" s="48" t="s">
        <v>60</v>
      </c>
      <c r="D69" s="48" t="s">
        <v>69</v>
      </c>
      <c r="E69" s="50" t="s">
        <v>254</v>
      </c>
      <c r="F69" s="50" t="s">
        <v>254</v>
      </c>
      <c r="G69" s="49" t="s">
        <v>260</v>
      </c>
      <c r="H69" s="49" t="s">
        <v>44</v>
      </c>
      <c r="I69" s="49" t="s">
        <v>107</v>
      </c>
      <c r="J69" s="50" t="s">
        <v>210</v>
      </c>
      <c r="K69" s="48" t="s">
        <v>110</v>
      </c>
      <c r="L69" s="49" t="s">
        <v>109</v>
      </c>
      <c r="M69" s="48" t="s">
        <v>29</v>
      </c>
      <c r="N69" s="28" t="s">
        <v>162</v>
      </c>
      <c r="O69" s="29" t="s">
        <v>31</v>
      </c>
      <c r="P69" s="37">
        <v>25.86</v>
      </c>
      <c r="Q69" s="38">
        <f t="shared" si="7"/>
        <v>0.12336374454581522</v>
      </c>
      <c r="R69" s="39">
        <f t="shared" si="8"/>
        <v>22.669813566045217</v>
      </c>
      <c r="S69" s="44">
        <v>0.15</v>
      </c>
      <c r="T69" s="45">
        <v>26.670368901229669</v>
      </c>
      <c r="U69" s="39">
        <f t="shared" si="9"/>
        <v>3.1901864339547821</v>
      </c>
      <c r="V69" s="40" t="str">
        <f t="shared" si="10"/>
        <v>1005820100176450361571</v>
      </c>
      <c r="W69" s="41">
        <v>44531</v>
      </c>
      <c r="X69" s="42"/>
      <c r="Y69" s="46"/>
      <c r="Z69" s="47">
        <f t="shared" si="11"/>
        <v>0</v>
      </c>
      <c r="AA69" s="94" t="s">
        <v>335</v>
      </c>
      <c r="AB69" s="95">
        <f t="shared" si="5"/>
        <v>0</v>
      </c>
      <c r="AC69" s="94"/>
      <c r="AD69" s="94">
        <f t="shared" si="6"/>
        <v>0</v>
      </c>
      <c r="AE69" s="96"/>
    </row>
    <row r="70" spans="1:31" x14ac:dyDescent="0.2">
      <c r="B70" s="48" t="s">
        <v>27</v>
      </c>
      <c r="C70" s="48" t="s">
        <v>60</v>
      </c>
      <c r="D70" s="48" t="s">
        <v>69</v>
      </c>
      <c r="E70" s="50" t="s">
        <v>254</v>
      </c>
      <c r="F70" s="50" t="s">
        <v>254</v>
      </c>
      <c r="G70" s="49" t="s">
        <v>260</v>
      </c>
      <c r="H70" s="49" t="s">
        <v>44</v>
      </c>
      <c r="I70" s="49" t="s">
        <v>107</v>
      </c>
      <c r="J70" s="50" t="s">
        <v>210</v>
      </c>
      <c r="K70" s="48" t="s">
        <v>110</v>
      </c>
      <c r="L70" s="49" t="s">
        <v>109</v>
      </c>
      <c r="M70" s="48" t="s">
        <v>29</v>
      </c>
      <c r="N70" s="28" t="s">
        <v>162</v>
      </c>
      <c r="O70" s="29" t="s">
        <v>31</v>
      </c>
      <c r="P70" s="37">
        <v>25.86</v>
      </c>
      <c r="Q70" s="38">
        <f t="shared" ref="Q70:Q101" si="12">IF(1-R70/P70&lt;0%,0,1-R70/P70)</f>
        <v>0.12336374454581522</v>
      </c>
      <c r="R70" s="39">
        <f t="shared" ref="R70:R101" si="13">+T70*(100%-S70)</f>
        <v>22.669813566045217</v>
      </c>
      <c r="S70" s="44">
        <v>0.15</v>
      </c>
      <c r="T70" s="45">
        <v>26.670368901229669</v>
      </c>
      <c r="U70" s="39">
        <f t="shared" ref="U70:U101" si="14">+IF(P70-R70&lt;0,0,P70-R70)</f>
        <v>3.1901864339547821</v>
      </c>
      <c r="V70" s="40" t="str">
        <f t="shared" ref="V70:V101" si="15">+CONCATENATE(TRIM(F70),TRIM(J70),TRIM(N70))</f>
        <v>1005820100176450361571</v>
      </c>
      <c r="W70" s="41">
        <v>44531</v>
      </c>
      <c r="X70" s="42"/>
      <c r="Y70" s="46"/>
      <c r="Z70" s="47">
        <f t="shared" ref="Z70:Z101" si="16">IFERROR(U70*Y70,0)</f>
        <v>0</v>
      </c>
      <c r="AA70" s="94" t="s">
        <v>335</v>
      </c>
      <c r="AB70" s="95">
        <f t="shared" si="5"/>
        <v>0</v>
      </c>
      <c r="AC70" s="94"/>
      <c r="AD70" s="94">
        <f t="shared" si="6"/>
        <v>0</v>
      </c>
      <c r="AE70" s="96"/>
    </row>
    <row r="71" spans="1:31" x14ac:dyDescent="0.2">
      <c r="B71" s="48" t="s">
        <v>27</v>
      </c>
      <c r="C71" s="48" t="s">
        <v>60</v>
      </c>
      <c r="D71" s="48" t="s">
        <v>69</v>
      </c>
      <c r="E71" s="50" t="s">
        <v>254</v>
      </c>
      <c r="F71" s="50" t="s">
        <v>254</v>
      </c>
      <c r="G71" s="49" t="s">
        <v>260</v>
      </c>
      <c r="H71" s="49" t="s">
        <v>44</v>
      </c>
      <c r="I71" s="49" t="s">
        <v>107</v>
      </c>
      <c r="J71" s="50" t="s">
        <v>210</v>
      </c>
      <c r="K71" s="48" t="s">
        <v>110</v>
      </c>
      <c r="L71" s="49" t="s">
        <v>109</v>
      </c>
      <c r="M71" s="48" t="s">
        <v>34</v>
      </c>
      <c r="N71" s="28" t="s">
        <v>166</v>
      </c>
      <c r="O71" s="29" t="s">
        <v>35</v>
      </c>
      <c r="P71" s="37">
        <v>112.81</v>
      </c>
      <c r="Q71" s="38">
        <f t="shared" si="12"/>
        <v>0.20419693301049247</v>
      </c>
      <c r="R71" s="39">
        <f t="shared" si="13"/>
        <v>89.774543987086346</v>
      </c>
      <c r="S71" s="44">
        <v>0.15</v>
      </c>
      <c r="T71" s="45">
        <v>105.61711057304277</v>
      </c>
      <c r="U71" s="39">
        <f t="shared" si="14"/>
        <v>23.035456012913656</v>
      </c>
      <c r="V71" s="40" t="str">
        <f t="shared" si="15"/>
        <v>1005820100176450361531</v>
      </c>
      <c r="W71" s="41">
        <v>44531</v>
      </c>
      <c r="X71" s="42"/>
      <c r="Y71" s="46"/>
      <c r="Z71" s="47">
        <f t="shared" si="16"/>
        <v>0</v>
      </c>
      <c r="AA71" s="94" t="s">
        <v>335</v>
      </c>
      <c r="AB71" s="95">
        <f t="shared" ref="AB71:AB134" si="17">IFERROR(AA71*U71,0)</f>
        <v>0</v>
      </c>
      <c r="AC71" s="94"/>
      <c r="AD71" s="94">
        <f t="shared" ref="AD71:AD134" si="18">IFERROR(Z71-AB71,0)</f>
        <v>0</v>
      </c>
      <c r="AE71" s="96"/>
    </row>
    <row r="72" spans="1:31" x14ac:dyDescent="0.2">
      <c r="A72" s="43"/>
      <c r="B72" s="48" t="s">
        <v>27</v>
      </c>
      <c r="C72" s="48" t="s">
        <v>60</v>
      </c>
      <c r="D72" s="48" t="s">
        <v>69</v>
      </c>
      <c r="E72" s="50" t="s">
        <v>254</v>
      </c>
      <c r="F72" s="50" t="s">
        <v>254</v>
      </c>
      <c r="G72" s="49" t="s">
        <v>260</v>
      </c>
      <c r="H72" s="49" t="s">
        <v>44</v>
      </c>
      <c r="I72" s="49" t="s">
        <v>107</v>
      </c>
      <c r="J72" s="50" t="s">
        <v>210</v>
      </c>
      <c r="K72" s="48" t="s">
        <v>110</v>
      </c>
      <c r="L72" s="49" t="s">
        <v>109</v>
      </c>
      <c r="M72" s="48" t="s">
        <v>34</v>
      </c>
      <c r="N72" s="28" t="s">
        <v>173</v>
      </c>
      <c r="O72" s="29" t="s">
        <v>47</v>
      </c>
      <c r="P72" s="37">
        <v>41.42</v>
      </c>
      <c r="Q72" s="38">
        <f t="shared" si="12"/>
        <v>0.45254940229324236</v>
      </c>
      <c r="R72" s="39">
        <f t="shared" si="13"/>
        <v>22.675403757013903</v>
      </c>
      <c r="S72" s="44">
        <v>0.15</v>
      </c>
      <c r="T72" s="45">
        <v>26.676945596486945</v>
      </c>
      <c r="U72" s="39">
        <f t="shared" si="14"/>
        <v>18.744596242986098</v>
      </c>
      <c r="V72" s="40" t="str">
        <f t="shared" si="15"/>
        <v>1005820100176450361535</v>
      </c>
      <c r="W72" s="41">
        <v>44531</v>
      </c>
      <c r="X72" s="42"/>
      <c r="Y72" s="46"/>
      <c r="Z72" s="47">
        <f t="shared" si="16"/>
        <v>0</v>
      </c>
      <c r="AA72" s="94" t="s">
        <v>335</v>
      </c>
      <c r="AB72" s="95">
        <f t="shared" si="17"/>
        <v>0</v>
      </c>
      <c r="AC72" s="94"/>
      <c r="AD72" s="94">
        <f t="shared" si="18"/>
        <v>0</v>
      </c>
      <c r="AE72" s="96"/>
    </row>
    <row r="73" spans="1:31" x14ac:dyDescent="0.2">
      <c r="A73" s="43"/>
      <c r="B73" s="48" t="s">
        <v>27</v>
      </c>
      <c r="C73" s="48" t="s">
        <v>60</v>
      </c>
      <c r="D73" s="48" t="s">
        <v>69</v>
      </c>
      <c r="E73" s="50" t="s">
        <v>254</v>
      </c>
      <c r="F73" s="50" t="s">
        <v>254</v>
      </c>
      <c r="G73" s="49" t="s">
        <v>255</v>
      </c>
      <c r="H73" s="49" t="s">
        <v>44</v>
      </c>
      <c r="I73" s="49" t="s">
        <v>64</v>
      </c>
      <c r="J73" s="50" t="s">
        <v>211</v>
      </c>
      <c r="K73" s="48" t="s">
        <v>111</v>
      </c>
      <c r="L73" s="49" t="s">
        <v>256</v>
      </c>
      <c r="M73" s="48" t="s">
        <v>29</v>
      </c>
      <c r="N73" s="28" t="s">
        <v>165</v>
      </c>
      <c r="O73" s="29" t="s">
        <v>33</v>
      </c>
      <c r="P73" s="37">
        <v>50.39</v>
      </c>
      <c r="Q73" s="38">
        <f t="shared" si="12"/>
        <v>0.16332605675729317</v>
      </c>
      <c r="R73" s="39">
        <f t="shared" si="13"/>
        <v>42.16</v>
      </c>
      <c r="S73" s="44">
        <v>0.15</v>
      </c>
      <c r="T73" s="45">
        <v>49.599999999999994</v>
      </c>
      <c r="U73" s="39">
        <f t="shared" si="14"/>
        <v>8.230000000000004</v>
      </c>
      <c r="V73" s="40" t="str">
        <f t="shared" si="15"/>
        <v>1005820100050359361540</v>
      </c>
      <c r="W73" s="41">
        <v>44531</v>
      </c>
      <c r="X73" s="42"/>
      <c r="Y73" s="46">
        <v>90</v>
      </c>
      <c r="Z73" s="47">
        <f t="shared" si="16"/>
        <v>740.70000000000039</v>
      </c>
      <c r="AA73" s="94">
        <f>360/4</f>
        <v>90</v>
      </c>
      <c r="AB73" s="95">
        <f t="shared" si="17"/>
        <v>740.70000000000039</v>
      </c>
      <c r="AC73" s="94" t="s">
        <v>336</v>
      </c>
      <c r="AD73" s="94">
        <f t="shared" si="18"/>
        <v>0</v>
      </c>
      <c r="AE73" s="96"/>
    </row>
    <row r="74" spans="1:31" x14ac:dyDescent="0.2">
      <c r="A74" s="43"/>
      <c r="B74" s="48" t="s">
        <v>27</v>
      </c>
      <c r="C74" s="48" t="s">
        <v>60</v>
      </c>
      <c r="D74" s="48" t="s">
        <v>69</v>
      </c>
      <c r="E74" s="50" t="s">
        <v>254</v>
      </c>
      <c r="F74" s="50" t="s">
        <v>254</v>
      </c>
      <c r="G74" s="49" t="s">
        <v>255</v>
      </c>
      <c r="H74" s="49" t="s">
        <v>44</v>
      </c>
      <c r="I74" s="49" t="s">
        <v>64</v>
      </c>
      <c r="J74" s="50" t="s">
        <v>211</v>
      </c>
      <c r="K74" s="48" t="s">
        <v>111</v>
      </c>
      <c r="L74" s="49" t="s">
        <v>256</v>
      </c>
      <c r="M74" s="48" t="s">
        <v>34</v>
      </c>
      <c r="N74" s="28" t="s">
        <v>181</v>
      </c>
      <c r="O74" s="29" t="s">
        <v>56</v>
      </c>
      <c r="P74" s="37">
        <v>116.69</v>
      </c>
      <c r="Q74" s="38">
        <f t="shared" si="12"/>
        <v>0.16738301559792024</v>
      </c>
      <c r="R74" s="39">
        <f t="shared" si="13"/>
        <v>97.15807590987869</v>
      </c>
      <c r="S74" s="44">
        <v>0.15</v>
      </c>
      <c r="T74" s="45">
        <v>114.30361871750435</v>
      </c>
      <c r="U74" s="39">
        <f t="shared" si="14"/>
        <v>19.531924090121308</v>
      </c>
      <c r="V74" s="40" t="str">
        <f t="shared" si="15"/>
        <v>1005820100050359361530</v>
      </c>
      <c r="W74" s="41">
        <v>44531</v>
      </c>
      <c r="X74" s="42"/>
      <c r="Y74" s="46"/>
      <c r="Z74" s="47">
        <f t="shared" si="16"/>
        <v>0</v>
      </c>
      <c r="AA74" s="94" t="s">
        <v>335</v>
      </c>
      <c r="AB74" s="95">
        <f t="shared" si="17"/>
        <v>0</v>
      </c>
      <c r="AC74" s="94"/>
      <c r="AD74" s="94">
        <f t="shared" si="18"/>
        <v>0</v>
      </c>
      <c r="AE74" s="96"/>
    </row>
    <row r="75" spans="1:31" x14ac:dyDescent="0.2">
      <c r="A75" s="43"/>
      <c r="B75" s="48" t="s">
        <v>27</v>
      </c>
      <c r="C75" s="48" t="s">
        <v>60</v>
      </c>
      <c r="D75" s="48" t="s">
        <v>69</v>
      </c>
      <c r="E75" s="50" t="s">
        <v>254</v>
      </c>
      <c r="F75" s="50" t="s">
        <v>254</v>
      </c>
      <c r="G75" s="49" t="s">
        <v>255</v>
      </c>
      <c r="H75" s="49" t="s">
        <v>44</v>
      </c>
      <c r="I75" s="49" t="s">
        <v>64</v>
      </c>
      <c r="J75" s="50" t="s">
        <v>211</v>
      </c>
      <c r="K75" s="48" t="s">
        <v>111</v>
      </c>
      <c r="L75" s="49" t="s">
        <v>256</v>
      </c>
      <c r="M75" s="48" t="s">
        <v>34</v>
      </c>
      <c r="N75" s="28" t="s">
        <v>177</v>
      </c>
      <c r="O75" s="29" t="s">
        <v>52</v>
      </c>
      <c r="P75" s="37">
        <v>77.8</v>
      </c>
      <c r="Q75" s="38">
        <f t="shared" si="12"/>
        <v>0.19793611147627177</v>
      </c>
      <c r="R75" s="39">
        <f t="shared" si="13"/>
        <v>62.400570527146051</v>
      </c>
      <c r="S75" s="44">
        <v>0.15</v>
      </c>
      <c r="T75" s="45">
        <v>73.412435914289475</v>
      </c>
      <c r="U75" s="39">
        <f t="shared" si="14"/>
        <v>15.399429472853946</v>
      </c>
      <c r="V75" s="40" t="str">
        <f t="shared" si="15"/>
        <v>1005820100050359361537</v>
      </c>
      <c r="W75" s="41">
        <v>44531</v>
      </c>
      <c r="X75" s="42"/>
      <c r="Y75" s="46">
        <v>120</v>
      </c>
      <c r="Z75" s="47">
        <f t="shared" si="16"/>
        <v>1847.9315367424736</v>
      </c>
      <c r="AA75" s="94">
        <f>240/2</f>
        <v>120</v>
      </c>
      <c r="AB75" s="95">
        <f t="shared" si="17"/>
        <v>1847.9315367424736</v>
      </c>
      <c r="AC75" s="94" t="s">
        <v>336</v>
      </c>
      <c r="AD75" s="94">
        <f t="shared" si="18"/>
        <v>0</v>
      </c>
      <c r="AE75" s="96"/>
    </row>
    <row r="76" spans="1:31" x14ac:dyDescent="0.2">
      <c r="A76" s="43"/>
      <c r="B76" s="48" t="s">
        <v>27</v>
      </c>
      <c r="C76" s="48" t="s">
        <v>60</v>
      </c>
      <c r="D76" s="48" t="s">
        <v>69</v>
      </c>
      <c r="E76" s="50" t="s">
        <v>254</v>
      </c>
      <c r="F76" s="50" t="s">
        <v>254</v>
      </c>
      <c r="G76" s="49" t="s">
        <v>255</v>
      </c>
      <c r="H76" s="49" t="s">
        <v>44</v>
      </c>
      <c r="I76" s="49" t="s">
        <v>64</v>
      </c>
      <c r="J76" s="50" t="s">
        <v>211</v>
      </c>
      <c r="K76" s="48" t="s">
        <v>111</v>
      </c>
      <c r="L76" s="49" t="s">
        <v>256</v>
      </c>
      <c r="M76" s="48" t="s">
        <v>34</v>
      </c>
      <c r="N76" s="28" t="s">
        <v>178</v>
      </c>
      <c r="O76" s="29" t="s">
        <v>53</v>
      </c>
      <c r="P76" s="37">
        <v>70.59</v>
      </c>
      <c r="Q76" s="38">
        <f t="shared" si="12"/>
        <v>0.16899783705839944</v>
      </c>
      <c r="R76" s="39">
        <f t="shared" si="13"/>
        <v>58.660442682047588</v>
      </c>
      <c r="S76" s="44">
        <v>0.15</v>
      </c>
      <c r="T76" s="45">
        <v>69.012285508291285</v>
      </c>
      <c r="U76" s="39">
        <f t="shared" si="14"/>
        <v>11.929557317952415</v>
      </c>
      <c r="V76" s="40" t="str">
        <f t="shared" si="15"/>
        <v>1005820100050359361533</v>
      </c>
      <c r="W76" s="41">
        <v>44531</v>
      </c>
      <c r="X76" s="42"/>
      <c r="Y76" s="46"/>
      <c r="Z76" s="47">
        <f t="shared" si="16"/>
        <v>0</v>
      </c>
      <c r="AA76" s="94" t="s">
        <v>335</v>
      </c>
      <c r="AB76" s="95">
        <f t="shared" si="17"/>
        <v>0</v>
      </c>
      <c r="AC76" s="94"/>
      <c r="AD76" s="94">
        <f t="shared" si="18"/>
        <v>0</v>
      </c>
      <c r="AE76" s="96"/>
    </row>
    <row r="77" spans="1:31" x14ac:dyDescent="0.2">
      <c r="A77" s="43"/>
      <c r="B77" s="48" t="s">
        <v>27</v>
      </c>
      <c r="C77" s="48" t="s">
        <v>60</v>
      </c>
      <c r="D77" s="48" t="s">
        <v>69</v>
      </c>
      <c r="E77" s="50" t="s">
        <v>254</v>
      </c>
      <c r="F77" s="50" t="s">
        <v>254</v>
      </c>
      <c r="G77" s="49" t="s">
        <v>253</v>
      </c>
      <c r="H77" s="49" t="s">
        <v>44</v>
      </c>
      <c r="I77" s="49" t="s">
        <v>59</v>
      </c>
      <c r="J77" s="50" t="s">
        <v>212</v>
      </c>
      <c r="K77" s="48" t="s">
        <v>112</v>
      </c>
      <c r="L77" s="49" t="s">
        <v>256</v>
      </c>
      <c r="M77" s="48" t="s">
        <v>29</v>
      </c>
      <c r="N77" s="28" t="s">
        <v>162</v>
      </c>
      <c r="O77" s="29" t="s">
        <v>31</v>
      </c>
      <c r="P77" s="37">
        <v>25.86</v>
      </c>
      <c r="Q77" s="38">
        <f t="shared" si="12"/>
        <v>5.8627528758429248E-2</v>
      </c>
      <c r="R77" s="39">
        <f t="shared" si="13"/>
        <v>24.34389210630702</v>
      </c>
      <c r="S77" s="44">
        <v>0.15</v>
      </c>
      <c r="T77" s="45">
        <v>28.639873066243553</v>
      </c>
      <c r="U77" s="39">
        <f t="shared" si="14"/>
        <v>1.516107893692979</v>
      </c>
      <c r="V77" s="40" t="str">
        <f t="shared" si="15"/>
        <v>1005820104420282361571</v>
      </c>
      <c r="W77" s="41">
        <v>44531</v>
      </c>
      <c r="X77" s="42"/>
      <c r="Y77" s="46">
        <v>126</v>
      </c>
      <c r="Z77" s="47">
        <f t="shared" si="16"/>
        <v>191.02959460531537</v>
      </c>
      <c r="AA77" s="94">
        <f>504/4</f>
        <v>126</v>
      </c>
      <c r="AB77" s="95">
        <f t="shared" si="17"/>
        <v>191.02959460531537</v>
      </c>
      <c r="AC77" s="94" t="s">
        <v>336</v>
      </c>
      <c r="AD77" s="94">
        <f t="shared" si="18"/>
        <v>0</v>
      </c>
      <c r="AE77" s="96"/>
    </row>
    <row r="78" spans="1:31" x14ac:dyDescent="0.2">
      <c r="A78" s="43"/>
      <c r="B78" s="48" t="s">
        <v>27</v>
      </c>
      <c r="C78" s="48" t="s">
        <v>60</v>
      </c>
      <c r="D78" s="48" t="s">
        <v>69</v>
      </c>
      <c r="E78" s="50" t="s">
        <v>254</v>
      </c>
      <c r="F78" s="50" t="s">
        <v>254</v>
      </c>
      <c r="G78" s="49" t="s">
        <v>253</v>
      </c>
      <c r="H78" s="49" t="s">
        <v>44</v>
      </c>
      <c r="I78" s="49" t="s">
        <v>59</v>
      </c>
      <c r="J78" s="50" t="s">
        <v>212</v>
      </c>
      <c r="K78" s="48" t="s">
        <v>112</v>
      </c>
      <c r="L78" s="49" t="s">
        <v>256</v>
      </c>
      <c r="M78" s="48" t="s">
        <v>29</v>
      </c>
      <c r="N78" s="28" t="s">
        <v>162</v>
      </c>
      <c r="O78" s="29" t="s">
        <v>31</v>
      </c>
      <c r="P78" s="37">
        <v>25.86</v>
      </c>
      <c r="Q78" s="38">
        <f t="shared" si="12"/>
        <v>5.8627528758429248E-2</v>
      </c>
      <c r="R78" s="39">
        <f t="shared" si="13"/>
        <v>24.34389210630702</v>
      </c>
      <c r="S78" s="44">
        <v>0.15</v>
      </c>
      <c r="T78" s="45">
        <v>28.639873066243553</v>
      </c>
      <c r="U78" s="39">
        <f t="shared" si="14"/>
        <v>1.516107893692979</v>
      </c>
      <c r="V78" s="40" t="str">
        <f t="shared" si="15"/>
        <v>1005820104420282361571</v>
      </c>
      <c r="W78" s="41">
        <v>44531</v>
      </c>
      <c r="X78" s="42"/>
      <c r="Y78" s="46"/>
      <c r="Z78" s="47">
        <f t="shared" si="16"/>
        <v>0</v>
      </c>
      <c r="AA78" s="94" t="s">
        <v>335</v>
      </c>
      <c r="AB78" s="95">
        <f t="shared" si="17"/>
        <v>0</v>
      </c>
      <c r="AC78" s="94"/>
      <c r="AD78" s="94">
        <f t="shared" si="18"/>
        <v>0</v>
      </c>
      <c r="AE78" s="96"/>
    </row>
    <row r="79" spans="1:31" x14ac:dyDescent="0.2">
      <c r="A79" s="43"/>
      <c r="B79" s="48" t="s">
        <v>27</v>
      </c>
      <c r="C79" s="48" t="s">
        <v>60</v>
      </c>
      <c r="D79" s="48" t="s">
        <v>69</v>
      </c>
      <c r="E79" s="50" t="s">
        <v>254</v>
      </c>
      <c r="F79" s="50" t="s">
        <v>254</v>
      </c>
      <c r="G79" s="49" t="s">
        <v>253</v>
      </c>
      <c r="H79" s="49" t="s">
        <v>44</v>
      </c>
      <c r="I79" s="49" t="s">
        <v>59</v>
      </c>
      <c r="J79" s="50" t="s">
        <v>212</v>
      </c>
      <c r="K79" s="48" t="s">
        <v>112</v>
      </c>
      <c r="L79" s="49" t="s">
        <v>256</v>
      </c>
      <c r="M79" s="48" t="s">
        <v>34</v>
      </c>
      <c r="N79" s="28" t="s">
        <v>181</v>
      </c>
      <c r="O79" s="29" t="s">
        <v>56</v>
      </c>
      <c r="P79" s="37">
        <v>116.69</v>
      </c>
      <c r="Q79" s="38">
        <f t="shared" si="12"/>
        <v>0.18064124783362234</v>
      </c>
      <c r="R79" s="39">
        <f t="shared" si="13"/>
        <v>95.61097279029461</v>
      </c>
      <c r="S79" s="44">
        <v>0.15</v>
      </c>
      <c r="T79" s="45">
        <v>112.48349740034661</v>
      </c>
      <c r="U79" s="39">
        <f t="shared" si="14"/>
        <v>21.079027209705387</v>
      </c>
      <c r="V79" s="40" t="str">
        <f t="shared" si="15"/>
        <v>1005820104420282361530</v>
      </c>
      <c r="W79" s="41">
        <v>44531</v>
      </c>
      <c r="X79" s="42"/>
      <c r="Y79" s="46">
        <v>3</v>
      </c>
      <c r="Z79" s="47">
        <f t="shared" si="16"/>
        <v>63.237081629116162</v>
      </c>
      <c r="AA79" s="94">
        <f>54/18</f>
        <v>3</v>
      </c>
      <c r="AB79" s="95">
        <f t="shared" si="17"/>
        <v>63.237081629116162</v>
      </c>
      <c r="AC79" s="94" t="s">
        <v>336</v>
      </c>
      <c r="AD79" s="94">
        <f t="shared" si="18"/>
        <v>0</v>
      </c>
      <c r="AE79" s="96"/>
    </row>
    <row r="80" spans="1:31" x14ac:dyDescent="0.2">
      <c r="B80" s="48" t="s">
        <v>27</v>
      </c>
      <c r="C80" s="48" t="s">
        <v>60</v>
      </c>
      <c r="D80" s="48" t="s">
        <v>69</v>
      </c>
      <c r="E80" s="50" t="s">
        <v>254</v>
      </c>
      <c r="F80" s="50" t="s">
        <v>254</v>
      </c>
      <c r="G80" s="49" t="s">
        <v>253</v>
      </c>
      <c r="H80" s="49" t="s">
        <v>44</v>
      </c>
      <c r="I80" s="49" t="s">
        <v>59</v>
      </c>
      <c r="J80" s="50" t="s">
        <v>213</v>
      </c>
      <c r="K80" s="48" t="s">
        <v>113</v>
      </c>
      <c r="L80" s="49" t="s">
        <v>256</v>
      </c>
      <c r="M80" s="48" t="s">
        <v>34</v>
      </c>
      <c r="N80" s="28" t="s">
        <v>167</v>
      </c>
      <c r="O80" s="29" t="s">
        <v>36</v>
      </c>
      <c r="P80" s="37">
        <v>26.44</v>
      </c>
      <c r="Q80" s="38">
        <f t="shared" si="12"/>
        <v>0.39426258226747157</v>
      </c>
      <c r="R80" s="39">
        <f t="shared" si="13"/>
        <v>16.015697324848052</v>
      </c>
      <c r="S80" s="44">
        <v>0.15</v>
      </c>
      <c r="T80" s="45">
        <v>18.841996852762414</v>
      </c>
      <c r="U80" s="39">
        <f t="shared" si="14"/>
        <v>10.424302675151949</v>
      </c>
      <c r="V80" s="40" t="str">
        <f t="shared" si="15"/>
        <v>1005820602822207361532</v>
      </c>
      <c r="W80" s="41">
        <v>44531</v>
      </c>
      <c r="X80" s="42"/>
      <c r="Y80" s="46"/>
      <c r="Z80" s="47">
        <f t="shared" si="16"/>
        <v>0</v>
      </c>
      <c r="AA80" s="94" t="s">
        <v>335</v>
      </c>
      <c r="AB80" s="95">
        <f t="shared" si="17"/>
        <v>0</v>
      </c>
      <c r="AC80" s="94"/>
      <c r="AD80" s="94">
        <f t="shared" si="18"/>
        <v>0</v>
      </c>
      <c r="AE80" s="96"/>
    </row>
    <row r="81" spans="1:31" x14ac:dyDescent="0.2">
      <c r="B81" s="48" t="s">
        <v>27</v>
      </c>
      <c r="C81" s="48" t="s">
        <v>60</v>
      </c>
      <c r="D81" s="48" t="s">
        <v>69</v>
      </c>
      <c r="E81" s="50" t="s">
        <v>254</v>
      </c>
      <c r="F81" s="50" t="s">
        <v>254</v>
      </c>
      <c r="G81" s="49" t="s">
        <v>251</v>
      </c>
      <c r="H81" s="49" t="s">
        <v>58</v>
      </c>
      <c r="I81" s="49" t="s">
        <v>67</v>
      </c>
      <c r="J81" s="50" t="s">
        <v>214</v>
      </c>
      <c r="K81" s="48" t="s">
        <v>114</v>
      </c>
      <c r="L81" s="49" t="s">
        <v>256</v>
      </c>
      <c r="M81" s="48" t="s">
        <v>34</v>
      </c>
      <c r="N81" s="28" t="s">
        <v>167</v>
      </c>
      <c r="O81" s="29" t="s">
        <v>36</v>
      </c>
      <c r="P81" s="37">
        <v>26.44</v>
      </c>
      <c r="Q81" s="38">
        <f t="shared" si="12"/>
        <v>4.0627482128673509E-2</v>
      </c>
      <c r="R81" s="39">
        <f t="shared" si="13"/>
        <v>25.365809372517873</v>
      </c>
      <c r="S81" s="44">
        <v>0.15</v>
      </c>
      <c r="T81" s="45">
        <v>29.842128673550441</v>
      </c>
      <c r="U81" s="39">
        <f t="shared" si="14"/>
        <v>1.0741906274821282</v>
      </c>
      <c r="V81" s="40" t="str">
        <f t="shared" si="15"/>
        <v>1005820100055661361532</v>
      </c>
      <c r="W81" s="41">
        <v>44531</v>
      </c>
      <c r="X81" s="42"/>
      <c r="Y81" s="46"/>
      <c r="Z81" s="47">
        <f t="shared" si="16"/>
        <v>0</v>
      </c>
      <c r="AA81" s="94" t="s">
        <v>335</v>
      </c>
      <c r="AB81" s="95">
        <f t="shared" si="17"/>
        <v>0</v>
      </c>
      <c r="AC81" s="94"/>
      <c r="AD81" s="94">
        <f t="shared" si="18"/>
        <v>0</v>
      </c>
      <c r="AE81" s="96"/>
    </row>
    <row r="82" spans="1:31" x14ac:dyDescent="0.2">
      <c r="B82" s="48" t="s">
        <v>27</v>
      </c>
      <c r="C82" s="48" t="s">
        <v>60</v>
      </c>
      <c r="D82" s="48" t="s">
        <v>69</v>
      </c>
      <c r="E82" s="50" t="s">
        <v>254</v>
      </c>
      <c r="F82" s="50" t="s">
        <v>254</v>
      </c>
      <c r="G82" s="49" t="s">
        <v>251</v>
      </c>
      <c r="H82" s="49" t="s">
        <v>81</v>
      </c>
      <c r="I82" s="49" t="s">
        <v>155</v>
      </c>
      <c r="J82" s="50" t="s">
        <v>215</v>
      </c>
      <c r="K82" s="48" t="s">
        <v>115</v>
      </c>
      <c r="L82" s="49" t="s">
        <v>256</v>
      </c>
      <c r="M82" s="48" t="s">
        <v>28</v>
      </c>
      <c r="N82" s="28" t="s">
        <v>267</v>
      </c>
      <c r="O82" s="29" t="s">
        <v>266</v>
      </c>
      <c r="P82" s="37">
        <v>54.03</v>
      </c>
      <c r="Q82" s="38">
        <f t="shared" si="12"/>
        <v>0.16124464318986409</v>
      </c>
      <c r="R82" s="39">
        <f t="shared" si="13"/>
        <v>45.317951928451642</v>
      </c>
      <c r="S82" s="44">
        <v>0.15</v>
      </c>
      <c r="T82" s="45">
        <v>53.315237562884285</v>
      </c>
      <c r="U82" s="39">
        <f t="shared" si="14"/>
        <v>8.7120480715483595</v>
      </c>
      <c r="V82" s="40" t="str">
        <f t="shared" si="15"/>
        <v>1005820100122368361311</v>
      </c>
      <c r="W82" s="41">
        <v>44531</v>
      </c>
      <c r="X82" s="42">
        <v>15</v>
      </c>
      <c r="Y82" s="46"/>
      <c r="Z82" s="47">
        <f t="shared" si="16"/>
        <v>0</v>
      </c>
      <c r="AA82" s="94" t="s">
        <v>335</v>
      </c>
      <c r="AB82" s="95">
        <f t="shared" si="17"/>
        <v>0</v>
      </c>
      <c r="AC82" s="94"/>
      <c r="AD82" s="94">
        <f t="shared" si="18"/>
        <v>0</v>
      </c>
      <c r="AE82" s="96"/>
    </row>
    <row r="83" spans="1:31" x14ac:dyDescent="0.2">
      <c r="B83" s="48" t="s">
        <v>27</v>
      </c>
      <c r="C83" s="48" t="s">
        <v>60</v>
      </c>
      <c r="D83" s="48" t="s">
        <v>69</v>
      </c>
      <c r="E83" s="50" t="s">
        <v>254</v>
      </c>
      <c r="F83" s="50" t="s">
        <v>254</v>
      </c>
      <c r="G83" s="49" t="s">
        <v>251</v>
      </c>
      <c r="H83" s="49" t="s">
        <v>81</v>
      </c>
      <c r="I83" s="49" t="s">
        <v>155</v>
      </c>
      <c r="J83" s="50" t="s">
        <v>215</v>
      </c>
      <c r="K83" s="48" t="s">
        <v>115</v>
      </c>
      <c r="L83" s="49" t="s">
        <v>256</v>
      </c>
      <c r="M83" s="48" t="s">
        <v>29</v>
      </c>
      <c r="N83" s="28" t="s">
        <v>162</v>
      </c>
      <c r="O83" s="29" t="s">
        <v>31</v>
      </c>
      <c r="P83" s="37">
        <v>25.86</v>
      </c>
      <c r="Q83" s="38">
        <f t="shared" si="12"/>
        <v>5.752663857896434E-2</v>
      </c>
      <c r="R83" s="39">
        <f t="shared" si="13"/>
        <v>24.372361126347982</v>
      </c>
      <c r="S83" s="44">
        <v>0.15</v>
      </c>
      <c r="T83" s="45">
        <v>28.673366030997627</v>
      </c>
      <c r="U83" s="39">
        <f t="shared" si="14"/>
        <v>1.487638873652017</v>
      </c>
      <c r="V83" s="40" t="str">
        <f t="shared" si="15"/>
        <v>1005820100122368361571</v>
      </c>
      <c r="W83" s="41">
        <v>44531</v>
      </c>
      <c r="X83" s="42">
        <v>60</v>
      </c>
      <c r="Y83" s="46">
        <v>37.5</v>
      </c>
      <c r="Z83" s="47">
        <f t="shared" si="16"/>
        <v>55.786457761950636</v>
      </c>
      <c r="AA83" s="94">
        <f>150/4</f>
        <v>37.5</v>
      </c>
      <c r="AB83" s="95">
        <f t="shared" si="17"/>
        <v>55.786457761950636</v>
      </c>
      <c r="AC83" s="94" t="s">
        <v>336</v>
      </c>
      <c r="AD83" s="94">
        <f t="shared" si="18"/>
        <v>0</v>
      </c>
      <c r="AE83" s="96"/>
    </row>
    <row r="84" spans="1:31" x14ac:dyDescent="0.2">
      <c r="B84" s="48" t="s">
        <v>27</v>
      </c>
      <c r="C84" s="48" t="s">
        <v>60</v>
      </c>
      <c r="D84" s="48" t="s">
        <v>69</v>
      </c>
      <c r="E84" s="50" t="s">
        <v>254</v>
      </c>
      <c r="F84" s="50" t="s">
        <v>254</v>
      </c>
      <c r="G84" s="49" t="s">
        <v>251</v>
      </c>
      <c r="H84" s="49" t="s">
        <v>81</v>
      </c>
      <c r="I84" s="49" t="s">
        <v>155</v>
      </c>
      <c r="J84" s="50" t="s">
        <v>215</v>
      </c>
      <c r="K84" s="48" t="s">
        <v>115</v>
      </c>
      <c r="L84" s="49" t="s">
        <v>256</v>
      </c>
      <c r="M84" s="48" t="s">
        <v>29</v>
      </c>
      <c r="N84" s="28" t="s">
        <v>162</v>
      </c>
      <c r="O84" s="29" t="s">
        <v>31</v>
      </c>
      <c r="P84" s="37">
        <v>25.86</v>
      </c>
      <c r="Q84" s="38">
        <f t="shared" si="12"/>
        <v>5.752663857896434E-2</v>
      </c>
      <c r="R84" s="39">
        <f t="shared" si="13"/>
        <v>24.372361126347982</v>
      </c>
      <c r="S84" s="44">
        <v>0.15</v>
      </c>
      <c r="T84" s="45">
        <v>28.673366030997627</v>
      </c>
      <c r="U84" s="39">
        <f t="shared" si="14"/>
        <v>1.487638873652017</v>
      </c>
      <c r="V84" s="40" t="str">
        <f t="shared" si="15"/>
        <v>1005820100122368361571</v>
      </c>
      <c r="W84" s="41">
        <v>44531</v>
      </c>
      <c r="X84" s="42"/>
      <c r="Y84" s="46"/>
      <c r="Z84" s="47">
        <f t="shared" si="16"/>
        <v>0</v>
      </c>
      <c r="AA84" s="94" t="s">
        <v>335</v>
      </c>
      <c r="AB84" s="95">
        <f t="shared" si="17"/>
        <v>0</v>
      </c>
      <c r="AC84" s="94"/>
      <c r="AD84" s="94">
        <f t="shared" si="18"/>
        <v>0</v>
      </c>
      <c r="AE84" s="96"/>
    </row>
    <row r="85" spans="1:31" x14ac:dyDescent="0.2">
      <c r="B85" s="48" t="s">
        <v>27</v>
      </c>
      <c r="C85" s="48" t="s">
        <v>60</v>
      </c>
      <c r="D85" s="48" t="s">
        <v>69</v>
      </c>
      <c r="E85" s="50" t="s">
        <v>254</v>
      </c>
      <c r="F85" s="50" t="s">
        <v>254</v>
      </c>
      <c r="G85" s="49" t="s">
        <v>251</v>
      </c>
      <c r="H85" s="49" t="s">
        <v>81</v>
      </c>
      <c r="I85" s="49" t="s">
        <v>155</v>
      </c>
      <c r="J85" s="50" t="s">
        <v>215</v>
      </c>
      <c r="K85" s="48" t="s">
        <v>115</v>
      </c>
      <c r="L85" s="49" t="s">
        <v>256</v>
      </c>
      <c r="M85" s="48" t="s">
        <v>34</v>
      </c>
      <c r="N85" s="28" t="s">
        <v>173</v>
      </c>
      <c r="O85" s="29" t="s">
        <v>47</v>
      </c>
      <c r="P85" s="37">
        <v>41.42</v>
      </c>
      <c r="Q85" s="38">
        <f t="shared" si="12"/>
        <v>0.53466699194925593</v>
      </c>
      <c r="R85" s="39">
        <f t="shared" si="13"/>
        <v>19.27409319346182</v>
      </c>
      <c r="S85" s="44">
        <v>0.15</v>
      </c>
      <c r="T85" s="45">
        <v>22.675403757013907</v>
      </c>
      <c r="U85" s="39">
        <f t="shared" si="14"/>
        <v>22.145906806538182</v>
      </c>
      <c r="V85" s="40" t="str">
        <f t="shared" si="15"/>
        <v>1005820100122368361535</v>
      </c>
      <c r="W85" s="41">
        <v>44531</v>
      </c>
      <c r="X85" s="42">
        <v>120</v>
      </c>
      <c r="Y85" s="46">
        <v>70</v>
      </c>
      <c r="Z85" s="47">
        <f t="shared" si="16"/>
        <v>1550.2134764576726</v>
      </c>
      <c r="AA85" s="94">
        <f>140/2</f>
        <v>70</v>
      </c>
      <c r="AB85" s="95">
        <f t="shared" si="17"/>
        <v>1550.2134764576726</v>
      </c>
      <c r="AC85" s="94" t="s">
        <v>336</v>
      </c>
      <c r="AD85" s="94">
        <f t="shared" si="18"/>
        <v>0</v>
      </c>
      <c r="AE85" s="96"/>
    </row>
    <row r="86" spans="1:31" x14ac:dyDescent="0.2">
      <c r="B86" s="48" t="s">
        <v>27</v>
      </c>
      <c r="C86" s="48" t="s">
        <v>60</v>
      </c>
      <c r="D86" s="48" t="s">
        <v>69</v>
      </c>
      <c r="E86" s="50" t="s">
        <v>254</v>
      </c>
      <c r="F86" s="50" t="s">
        <v>254</v>
      </c>
      <c r="G86" s="49" t="s">
        <v>251</v>
      </c>
      <c r="H86" s="49" t="s">
        <v>81</v>
      </c>
      <c r="I86" s="49" t="s">
        <v>155</v>
      </c>
      <c r="J86" s="50" t="s">
        <v>215</v>
      </c>
      <c r="K86" s="48" t="s">
        <v>115</v>
      </c>
      <c r="L86" s="49" t="s">
        <v>256</v>
      </c>
      <c r="M86" s="48" t="s">
        <v>34</v>
      </c>
      <c r="N86" s="28" t="s">
        <v>166</v>
      </c>
      <c r="O86" s="29" t="s">
        <v>35</v>
      </c>
      <c r="P86" s="37">
        <v>112.81</v>
      </c>
      <c r="Q86" s="38">
        <f t="shared" si="12"/>
        <v>0.24786438508474573</v>
      </c>
      <c r="R86" s="39">
        <f t="shared" si="13"/>
        <v>84.848418718589841</v>
      </c>
      <c r="S86" s="44">
        <v>0.15</v>
      </c>
      <c r="T86" s="45">
        <v>99.821669080693937</v>
      </c>
      <c r="U86" s="39">
        <f t="shared" si="14"/>
        <v>27.961581281410162</v>
      </c>
      <c r="V86" s="40" t="str">
        <f t="shared" si="15"/>
        <v>1005820100122368361531</v>
      </c>
      <c r="W86" s="41">
        <v>44531</v>
      </c>
      <c r="X86" s="42">
        <v>30</v>
      </c>
      <c r="Y86" s="46"/>
      <c r="Z86" s="47">
        <f t="shared" si="16"/>
        <v>0</v>
      </c>
      <c r="AA86" s="94" t="s">
        <v>335</v>
      </c>
      <c r="AB86" s="95">
        <f t="shared" si="17"/>
        <v>0</v>
      </c>
      <c r="AC86" s="94"/>
      <c r="AD86" s="94">
        <f t="shared" si="18"/>
        <v>0</v>
      </c>
      <c r="AE86" s="96"/>
    </row>
    <row r="87" spans="1:31" x14ac:dyDescent="0.2">
      <c r="B87" s="48" t="s">
        <v>27</v>
      </c>
      <c r="C87" s="48" t="s">
        <v>60</v>
      </c>
      <c r="D87" s="48" t="s">
        <v>69</v>
      </c>
      <c r="E87" s="50" t="s">
        <v>254</v>
      </c>
      <c r="F87" s="50" t="s">
        <v>254</v>
      </c>
      <c r="G87" s="49" t="s">
        <v>251</v>
      </c>
      <c r="H87" s="49" t="s">
        <v>42</v>
      </c>
      <c r="I87" s="49" t="s">
        <v>258</v>
      </c>
      <c r="J87" s="50" t="s">
        <v>216</v>
      </c>
      <c r="K87" s="48" t="s">
        <v>116</v>
      </c>
      <c r="L87" s="49" t="s">
        <v>256</v>
      </c>
      <c r="M87" s="48" t="s">
        <v>29</v>
      </c>
      <c r="N87" s="28" t="s">
        <v>162</v>
      </c>
      <c r="O87" s="29" t="s">
        <v>31</v>
      </c>
      <c r="P87" s="37">
        <v>25.86</v>
      </c>
      <c r="Q87" s="38">
        <f t="shared" si="12"/>
        <v>0.15303451011503366</v>
      </c>
      <c r="R87" s="39">
        <f t="shared" si="13"/>
        <v>21.902527568425228</v>
      </c>
      <c r="S87" s="44">
        <v>0.15</v>
      </c>
      <c r="T87" s="45">
        <v>25.767679492264975</v>
      </c>
      <c r="U87" s="39">
        <f t="shared" si="14"/>
        <v>3.9574724315747716</v>
      </c>
      <c r="V87" s="40" t="str">
        <f t="shared" si="15"/>
        <v>1005820162842031361571</v>
      </c>
      <c r="W87" s="41">
        <v>44531</v>
      </c>
      <c r="X87" s="42"/>
      <c r="Y87" s="46">
        <v>60</v>
      </c>
      <c r="Z87" s="47">
        <f t="shared" si="16"/>
        <v>237.44834589448629</v>
      </c>
      <c r="AA87" s="94">
        <f>240/4</f>
        <v>60</v>
      </c>
      <c r="AB87" s="95">
        <f t="shared" si="17"/>
        <v>237.44834589448629</v>
      </c>
      <c r="AC87" s="94" t="s">
        <v>336</v>
      </c>
      <c r="AD87" s="94">
        <f t="shared" si="18"/>
        <v>0</v>
      </c>
      <c r="AE87" s="96"/>
    </row>
    <row r="88" spans="1:31" x14ac:dyDescent="0.2">
      <c r="B88" s="48" t="s">
        <v>27</v>
      </c>
      <c r="C88" s="48" t="s">
        <v>60</v>
      </c>
      <c r="D88" s="48" t="s">
        <v>69</v>
      </c>
      <c r="E88" s="50" t="s">
        <v>254</v>
      </c>
      <c r="F88" s="50" t="s">
        <v>254</v>
      </c>
      <c r="G88" s="49" t="s">
        <v>251</v>
      </c>
      <c r="H88" s="49" t="s">
        <v>42</v>
      </c>
      <c r="I88" s="49" t="s">
        <v>258</v>
      </c>
      <c r="J88" s="50" t="s">
        <v>216</v>
      </c>
      <c r="K88" s="48" t="s">
        <v>116</v>
      </c>
      <c r="L88" s="49" t="s">
        <v>256</v>
      </c>
      <c r="M88" s="48" t="s">
        <v>29</v>
      </c>
      <c r="N88" s="28" t="s">
        <v>162</v>
      </c>
      <c r="O88" s="29" t="s">
        <v>31</v>
      </c>
      <c r="P88" s="37">
        <v>25.86</v>
      </c>
      <c r="Q88" s="38">
        <f t="shared" si="12"/>
        <v>0.15303451011503366</v>
      </c>
      <c r="R88" s="39">
        <f t="shared" si="13"/>
        <v>21.902527568425228</v>
      </c>
      <c r="S88" s="44">
        <v>0.15</v>
      </c>
      <c r="T88" s="45">
        <v>25.767679492264975</v>
      </c>
      <c r="U88" s="39">
        <f t="shared" si="14"/>
        <v>3.9574724315747716</v>
      </c>
      <c r="V88" s="40" t="str">
        <f t="shared" si="15"/>
        <v>1005820162842031361571</v>
      </c>
      <c r="W88" s="41">
        <v>44531</v>
      </c>
      <c r="X88" s="42"/>
      <c r="Y88" s="46"/>
      <c r="Z88" s="47">
        <f t="shared" si="16"/>
        <v>0</v>
      </c>
      <c r="AA88" s="94" t="s">
        <v>335</v>
      </c>
      <c r="AB88" s="95">
        <f t="shared" si="17"/>
        <v>0</v>
      </c>
      <c r="AC88" s="94"/>
      <c r="AD88" s="94">
        <f t="shared" si="18"/>
        <v>0</v>
      </c>
      <c r="AE88" s="96"/>
    </row>
    <row r="89" spans="1:31" x14ac:dyDescent="0.2">
      <c r="B89" s="48" t="s">
        <v>27</v>
      </c>
      <c r="C89" s="48" t="s">
        <v>60</v>
      </c>
      <c r="D89" s="48" t="s">
        <v>69</v>
      </c>
      <c r="E89" s="50" t="s">
        <v>254</v>
      </c>
      <c r="F89" s="50" t="s">
        <v>254</v>
      </c>
      <c r="G89" s="49" t="s">
        <v>260</v>
      </c>
      <c r="H89" s="49" t="s">
        <v>44</v>
      </c>
      <c r="I89" s="49" t="s">
        <v>261</v>
      </c>
      <c r="J89" s="50" t="s">
        <v>217</v>
      </c>
      <c r="K89" s="48" t="s">
        <v>117</v>
      </c>
      <c r="L89" s="49" t="s">
        <v>256</v>
      </c>
      <c r="M89" s="48" t="s">
        <v>29</v>
      </c>
      <c r="N89" s="28" t="s">
        <v>183</v>
      </c>
      <c r="O89" s="29" t="s">
        <v>62</v>
      </c>
      <c r="P89" s="37">
        <v>54.46</v>
      </c>
      <c r="Q89" s="38">
        <f t="shared" si="12"/>
        <v>0</v>
      </c>
      <c r="R89" s="39">
        <f t="shared" si="13"/>
        <v>54.460000000000008</v>
      </c>
      <c r="S89" s="44">
        <v>0.15</v>
      </c>
      <c r="T89" s="45">
        <v>64.070588235294125</v>
      </c>
      <c r="U89" s="39">
        <f t="shared" si="14"/>
        <v>0</v>
      </c>
      <c r="V89" s="40" t="str">
        <f t="shared" si="15"/>
        <v>1005820330262428361421</v>
      </c>
      <c r="W89" s="41">
        <v>44531</v>
      </c>
      <c r="X89" s="42"/>
      <c r="Y89" s="46"/>
      <c r="Z89" s="47">
        <f t="shared" si="16"/>
        <v>0</v>
      </c>
      <c r="AA89" s="94" t="s">
        <v>335</v>
      </c>
      <c r="AB89" s="95">
        <f t="shared" si="17"/>
        <v>0</v>
      </c>
      <c r="AC89" s="94"/>
      <c r="AD89" s="94">
        <f t="shared" si="18"/>
        <v>0</v>
      </c>
      <c r="AE89" s="96"/>
    </row>
    <row r="90" spans="1:31" x14ac:dyDescent="0.2">
      <c r="A90" s="43"/>
      <c r="B90" s="48" t="s">
        <v>27</v>
      </c>
      <c r="C90" s="48" t="s">
        <v>60</v>
      </c>
      <c r="D90" s="48" t="s">
        <v>69</v>
      </c>
      <c r="E90" s="50" t="s">
        <v>254</v>
      </c>
      <c r="F90" s="50" t="s">
        <v>254</v>
      </c>
      <c r="G90" s="49" t="s">
        <v>260</v>
      </c>
      <c r="H90" s="49" t="s">
        <v>44</v>
      </c>
      <c r="I90" s="49" t="s">
        <v>261</v>
      </c>
      <c r="J90" s="50" t="s">
        <v>217</v>
      </c>
      <c r="K90" s="48" t="s">
        <v>117</v>
      </c>
      <c r="L90" s="49" t="s">
        <v>256</v>
      </c>
      <c r="M90" s="48" t="s">
        <v>34</v>
      </c>
      <c r="N90" s="28" t="s">
        <v>177</v>
      </c>
      <c r="O90" s="29" t="s">
        <v>52</v>
      </c>
      <c r="P90" s="37">
        <v>77.8</v>
      </c>
      <c r="Q90" s="38">
        <f t="shared" si="12"/>
        <v>0.24352570001314566</v>
      </c>
      <c r="R90" s="39">
        <f t="shared" si="13"/>
        <v>58.853700538977265</v>
      </c>
      <c r="S90" s="44">
        <v>0.15</v>
      </c>
      <c r="T90" s="45">
        <v>69.239647692914431</v>
      </c>
      <c r="U90" s="39">
        <f t="shared" si="14"/>
        <v>18.946299461022733</v>
      </c>
      <c r="V90" s="40" t="str">
        <f t="shared" si="15"/>
        <v>1005820330262428361537</v>
      </c>
      <c r="W90" s="41">
        <v>44531</v>
      </c>
      <c r="X90" s="42"/>
      <c r="Y90" s="46">
        <v>37</v>
      </c>
      <c r="Z90" s="47">
        <f t="shared" si="16"/>
        <v>701.01308005784108</v>
      </c>
      <c r="AA90" s="94">
        <f>(24+10+40)/2</f>
        <v>37</v>
      </c>
      <c r="AB90" s="95">
        <f t="shared" si="17"/>
        <v>701.01308005784108</v>
      </c>
      <c r="AC90" s="94" t="s">
        <v>336</v>
      </c>
      <c r="AD90" s="94">
        <f t="shared" si="18"/>
        <v>0</v>
      </c>
      <c r="AE90" s="96"/>
    </row>
    <row r="91" spans="1:31" x14ac:dyDescent="0.2">
      <c r="A91" s="43"/>
      <c r="B91" s="48" t="s">
        <v>27</v>
      </c>
      <c r="C91" s="48" t="s">
        <v>60</v>
      </c>
      <c r="D91" s="48" t="s">
        <v>69</v>
      </c>
      <c r="E91" s="50" t="s">
        <v>254</v>
      </c>
      <c r="F91" s="50" t="s">
        <v>254</v>
      </c>
      <c r="G91" s="49" t="s">
        <v>260</v>
      </c>
      <c r="H91" s="49" t="s">
        <v>44</v>
      </c>
      <c r="I91" s="49" t="s">
        <v>261</v>
      </c>
      <c r="J91" s="50" t="s">
        <v>218</v>
      </c>
      <c r="K91" s="48" t="s">
        <v>118</v>
      </c>
      <c r="L91" s="49" t="s">
        <v>256</v>
      </c>
      <c r="M91" s="48" t="s">
        <v>29</v>
      </c>
      <c r="N91" s="28" t="s">
        <v>165</v>
      </c>
      <c r="O91" s="29" t="s">
        <v>33</v>
      </c>
      <c r="P91" s="37">
        <v>50.39</v>
      </c>
      <c r="Q91" s="38">
        <f t="shared" si="12"/>
        <v>0.21730502083746783</v>
      </c>
      <c r="R91" s="39">
        <f t="shared" si="13"/>
        <v>39.44</v>
      </c>
      <c r="S91" s="44">
        <v>0.15</v>
      </c>
      <c r="T91" s="45">
        <v>46.4</v>
      </c>
      <c r="U91" s="39">
        <f t="shared" si="14"/>
        <v>10.950000000000003</v>
      </c>
      <c r="V91" s="40" t="str">
        <f t="shared" si="15"/>
        <v>1005820114915026361540</v>
      </c>
      <c r="W91" s="41">
        <v>44531</v>
      </c>
      <c r="X91" s="42">
        <v>180</v>
      </c>
      <c r="Y91" s="46"/>
      <c r="Z91" s="47">
        <f t="shared" si="16"/>
        <v>0</v>
      </c>
      <c r="AA91" s="94" t="s">
        <v>335</v>
      </c>
      <c r="AB91" s="95">
        <f t="shared" si="17"/>
        <v>0</v>
      </c>
      <c r="AC91" s="94"/>
      <c r="AD91" s="94">
        <f t="shared" si="18"/>
        <v>0</v>
      </c>
      <c r="AE91" s="96"/>
    </row>
    <row r="92" spans="1:31" x14ac:dyDescent="0.2">
      <c r="A92" s="43"/>
      <c r="B92" s="48" t="s">
        <v>27</v>
      </c>
      <c r="C92" s="48" t="s">
        <v>60</v>
      </c>
      <c r="D92" s="48" t="s">
        <v>69</v>
      </c>
      <c r="E92" s="50" t="s">
        <v>254</v>
      </c>
      <c r="F92" s="50" t="s">
        <v>254</v>
      </c>
      <c r="G92" s="49" t="s">
        <v>260</v>
      </c>
      <c r="H92" s="49" t="s">
        <v>44</v>
      </c>
      <c r="I92" s="49" t="s">
        <v>261</v>
      </c>
      <c r="J92" s="50" t="s">
        <v>218</v>
      </c>
      <c r="K92" s="48" t="s">
        <v>118</v>
      </c>
      <c r="L92" s="49" t="s">
        <v>256</v>
      </c>
      <c r="M92" s="48" t="s">
        <v>34</v>
      </c>
      <c r="N92" s="28" t="s">
        <v>181</v>
      </c>
      <c r="O92" s="29" t="s">
        <v>56</v>
      </c>
      <c r="P92" s="37">
        <v>116.69</v>
      </c>
      <c r="Q92" s="38">
        <f t="shared" si="12"/>
        <v>0.14167677642980936</v>
      </c>
      <c r="R92" s="39">
        <f t="shared" si="13"/>
        <v>100.15773695840555</v>
      </c>
      <c r="S92" s="44">
        <v>0.15</v>
      </c>
      <c r="T92" s="45">
        <v>117.83263171577124</v>
      </c>
      <c r="U92" s="39">
        <f t="shared" si="14"/>
        <v>16.532263041594447</v>
      </c>
      <c r="V92" s="40" t="str">
        <f t="shared" si="15"/>
        <v>1005820114915026361530</v>
      </c>
      <c r="W92" s="41">
        <v>44531</v>
      </c>
      <c r="X92" s="42"/>
      <c r="Y92" s="46"/>
      <c r="Z92" s="47">
        <f t="shared" si="16"/>
        <v>0</v>
      </c>
      <c r="AA92" s="94" t="s">
        <v>335</v>
      </c>
      <c r="AB92" s="95">
        <f t="shared" si="17"/>
        <v>0</v>
      </c>
      <c r="AC92" s="94"/>
      <c r="AD92" s="94">
        <f t="shared" si="18"/>
        <v>0</v>
      </c>
      <c r="AE92" s="96"/>
    </row>
    <row r="93" spans="1:31" x14ac:dyDescent="0.2">
      <c r="A93" s="43"/>
      <c r="B93" s="48" t="s">
        <v>27</v>
      </c>
      <c r="C93" s="48" t="s">
        <v>60</v>
      </c>
      <c r="D93" s="48" t="s">
        <v>69</v>
      </c>
      <c r="E93" s="50" t="s">
        <v>254</v>
      </c>
      <c r="F93" s="50" t="s">
        <v>254</v>
      </c>
      <c r="G93" s="49" t="s">
        <v>260</v>
      </c>
      <c r="H93" s="49" t="s">
        <v>44</v>
      </c>
      <c r="I93" s="49" t="s">
        <v>261</v>
      </c>
      <c r="J93" s="50" t="s">
        <v>218</v>
      </c>
      <c r="K93" s="48" t="s">
        <v>118</v>
      </c>
      <c r="L93" s="49" t="s">
        <v>256</v>
      </c>
      <c r="M93" s="48" t="s">
        <v>34</v>
      </c>
      <c r="N93" s="28" t="s">
        <v>177</v>
      </c>
      <c r="O93" s="29" t="s">
        <v>52</v>
      </c>
      <c r="P93" s="37">
        <v>77.8</v>
      </c>
      <c r="Q93" s="38">
        <f t="shared" si="12"/>
        <v>0.25069015380570525</v>
      </c>
      <c r="R93" s="39">
        <f t="shared" si="13"/>
        <v>58.296306033916132</v>
      </c>
      <c r="S93" s="44">
        <v>0.15</v>
      </c>
      <c r="T93" s="45">
        <v>68.583889451666039</v>
      </c>
      <c r="U93" s="39">
        <f t="shared" si="14"/>
        <v>19.503693966083866</v>
      </c>
      <c r="V93" s="40" t="str">
        <f t="shared" si="15"/>
        <v>1005820114915026361537</v>
      </c>
      <c r="W93" s="41">
        <v>44531</v>
      </c>
      <c r="X93" s="42">
        <v>140</v>
      </c>
      <c r="Y93" s="46"/>
      <c r="Z93" s="47">
        <f t="shared" si="16"/>
        <v>0</v>
      </c>
      <c r="AA93" s="94" t="s">
        <v>335</v>
      </c>
      <c r="AB93" s="95">
        <f t="shared" si="17"/>
        <v>0</v>
      </c>
      <c r="AC93" s="94"/>
      <c r="AD93" s="94">
        <f t="shared" si="18"/>
        <v>0</v>
      </c>
      <c r="AE93" s="96"/>
    </row>
    <row r="94" spans="1:31" x14ac:dyDescent="0.2">
      <c r="A94" s="43"/>
      <c r="B94" s="48" t="s">
        <v>27</v>
      </c>
      <c r="C94" s="48" t="s">
        <v>60</v>
      </c>
      <c r="D94" s="48" t="s">
        <v>69</v>
      </c>
      <c r="E94" s="50" t="s">
        <v>254</v>
      </c>
      <c r="F94" s="50" t="s">
        <v>254</v>
      </c>
      <c r="G94" s="49" t="s">
        <v>251</v>
      </c>
      <c r="H94" s="49" t="s">
        <v>58</v>
      </c>
      <c r="I94" s="49" t="s">
        <v>67</v>
      </c>
      <c r="J94" s="50" t="s">
        <v>219</v>
      </c>
      <c r="K94" s="48" t="s">
        <v>119</v>
      </c>
      <c r="L94" s="49" t="s">
        <v>256</v>
      </c>
      <c r="M94" s="48" t="s">
        <v>34</v>
      </c>
      <c r="N94" s="28" t="s">
        <v>167</v>
      </c>
      <c r="O94" s="29" t="s">
        <v>36</v>
      </c>
      <c r="P94" s="37">
        <v>26.44</v>
      </c>
      <c r="Q94" s="38">
        <f t="shared" si="12"/>
        <v>0.24384432088959496</v>
      </c>
      <c r="R94" s="39">
        <f t="shared" si="13"/>
        <v>19.99275615567911</v>
      </c>
      <c r="S94" s="44">
        <v>0.15</v>
      </c>
      <c r="T94" s="45">
        <v>23.5208895949166</v>
      </c>
      <c r="U94" s="39">
        <f t="shared" si="14"/>
        <v>6.4472438443208908</v>
      </c>
      <c r="V94" s="40" t="str">
        <f t="shared" si="15"/>
        <v>1005820545235138361532</v>
      </c>
      <c r="W94" s="41">
        <v>44531</v>
      </c>
      <c r="X94" s="42"/>
      <c r="Y94" s="46"/>
      <c r="Z94" s="47">
        <f t="shared" si="16"/>
        <v>0</v>
      </c>
      <c r="AA94" s="94" t="s">
        <v>335</v>
      </c>
      <c r="AB94" s="95">
        <f t="shared" si="17"/>
        <v>0</v>
      </c>
      <c r="AC94" s="94"/>
      <c r="AD94" s="94">
        <f t="shared" si="18"/>
        <v>0</v>
      </c>
      <c r="AE94" s="96"/>
    </row>
    <row r="95" spans="1:31" x14ac:dyDescent="0.2">
      <c r="A95" s="43"/>
      <c r="B95" s="48" t="s">
        <v>27</v>
      </c>
      <c r="C95" s="48" t="s">
        <v>60</v>
      </c>
      <c r="D95" s="48" t="s">
        <v>69</v>
      </c>
      <c r="E95" s="50" t="s">
        <v>254</v>
      </c>
      <c r="F95" s="50" t="s">
        <v>254</v>
      </c>
      <c r="G95" s="49" t="s">
        <v>255</v>
      </c>
      <c r="H95" s="49" t="s">
        <v>44</v>
      </c>
      <c r="I95" s="49" t="s">
        <v>120</v>
      </c>
      <c r="J95" s="50" t="s">
        <v>220</v>
      </c>
      <c r="K95" s="48" t="s">
        <v>121</v>
      </c>
      <c r="L95" s="49" t="s">
        <v>256</v>
      </c>
      <c r="M95" s="48" t="s">
        <v>29</v>
      </c>
      <c r="N95" s="28" t="s">
        <v>162</v>
      </c>
      <c r="O95" s="29" t="s">
        <v>31</v>
      </c>
      <c r="P95" s="37">
        <v>25.86</v>
      </c>
      <c r="Q95" s="38">
        <f t="shared" si="12"/>
        <v>0</v>
      </c>
      <c r="R95" s="39">
        <f t="shared" si="13"/>
        <v>26.52</v>
      </c>
      <c r="S95" s="44">
        <v>0.15</v>
      </c>
      <c r="T95" s="45">
        <v>31.2</v>
      </c>
      <c r="U95" s="39">
        <f t="shared" si="14"/>
        <v>0</v>
      </c>
      <c r="V95" s="40" t="str">
        <f t="shared" si="15"/>
        <v>1005820370146994361571</v>
      </c>
      <c r="W95" s="41">
        <v>43831</v>
      </c>
      <c r="X95" s="42"/>
      <c r="Y95" s="46"/>
      <c r="Z95" s="47">
        <f t="shared" si="16"/>
        <v>0</v>
      </c>
      <c r="AA95" s="94" t="s">
        <v>335</v>
      </c>
      <c r="AB95" s="95">
        <f t="shared" si="17"/>
        <v>0</v>
      </c>
      <c r="AC95" s="94"/>
      <c r="AD95" s="94">
        <f t="shared" si="18"/>
        <v>0</v>
      </c>
      <c r="AE95" s="96"/>
    </row>
    <row r="96" spans="1:31" x14ac:dyDescent="0.2">
      <c r="A96" s="43"/>
      <c r="B96" s="48" t="s">
        <v>27</v>
      </c>
      <c r="C96" s="48" t="s">
        <v>60</v>
      </c>
      <c r="D96" s="48" t="s">
        <v>69</v>
      </c>
      <c r="E96" s="50" t="s">
        <v>254</v>
      </c>
      <c r="F96" s="50" t="s">
        <v>254</v>
      </c>
      <c r="G96" s="49" t="s">
        <v>251</v>
      </c>
      <c r="H96" s="49" t="s">
        <v>42</v>
      </c>
      <c r="I96" s="49" t="s">
        <v>258</v>
      </c>
      <c r="J96" s="50" t="s">
        <v>221</v>
      </c>
      <c r="K96" s="48" t="s">
        <v>122</v>
      </c>
      <c r="L96" s="49" t="s">
        <v>256</v>
      </c>
      <c r="M96" s="48" t="s">
        <v>29</v>
      </c>
      <c r="N96" s="28" t="s">
        <v>172</v>
      </c>
      <c r="O96" s="29" t="s">
        <v>46</v>
      </c>
      <c r="P96" s="37">
        <v>11.89</v>
      </c>
      <c r="Q96" s="38">
        <f t="shared" si="12"/>
        <v>0.13009540329575009</v>
      </c>
      <c r="R96" s="39">
        <f t="shared" si="13"/>
        <v>10.343165654813532</v>
      </c>
      <c r="S96" s="44">
        <v>0.15</v>
      </c>
      <c r="T96" s="45">
        <v>12.168430182133568</v>
      </c>
      <c r="U96" s="39">
        <f t="shared" si="14"/>
        <v>1.5468343451864683</v>
      </c>
      <c r="V96" s="40" t="str">
        <f t="shared" si="15"/>
        <v>1005820148020028361085</v>
      </c>
      <c r="W96" s="41">
        <v>44531</v>
      </c>
      <c r="X96" s="42"/>
      <c r="Y96" s="46"/>
      <c r="Z96" s="47">
        <f t="shared" si="16"/>
        <v>0</v>
      </c>
      <c r="AA96" s="94" t="s">
        <v>335</v>
      </c>
      <c r="AB96" s="95">
        <f t="shared" si="17"/>
        <v>0</v>
      </c>
      <c r="AC96" s="94"/>
      <c r="AD96" s="94">
        <f t="shared" si="18"/>
        <v>0</v>
      </c>
      <c r="AE96" s="96"/>
    </row>
    <row r="97" spans="1:31" x14ac:dyDescent="0.2">
      <c r="A97" s="43"/>
      <c r="B97" s="48" t="s">
        <v>27</v>
      </c>
      <c r="C97" s="48" t="s">
        <v>60</v>
      </c>
      <c r="D97" s="48" t="s">
        <v>69</v>
      </c>
      <c r="E97" s="50" t="s">
        <v>254</v>
      </c>
      <c r="F97" s="50" t="s">
        <v>254</v>
      </c>
      <c r="G97" s="49" t="s">
        <v>251</v>
      </c>
      <c r="H97" s="49" t="s">
        <v>42</v>
      </c>
      <c r="I97" s="49" t="s">
        <v>258</v>
      </c>
      <c r="J97" s="50" t="s">
        <v>221</v>
      </c>
      <c r="K97" s="48" t="s">
        <v>122</v>
      </c>
      <c r="L97" s="49" t="s">
        <v>256</v>
      </c>
      <c r="M97" s="48" t="s">
        <v>29</v>
      </c>
      <c r="N97" s="28" t="s">
        <v>162</v>
      </c>
      <c r="O97" s="29" t="s">
        <v>31</v>
      </c>
      <c r="P97" s="37">
        <v>25.86</v>
      </c>
      <c r="Q97" s="38">
        <f t="shared" si="12"/>
        <v>0.11257437524791758</v>
      </c>
      <c r="R97" s="39">
        <f t="shared" si="13"/>
        <v>22.948826656088851</v>
      </c>
      <c r="S97" s="44">
        <v>0.15</v>
      </c>
      <c r="T97" s="45">
        <v>26.998619595398647</v>
      </c>
      <c r="U97" s="39">
        <f t="shared" si="14"/>
        <v>2.9111733439111482</v>
      </c>
      <c r="V97" s="40" t="str">
        <f t="shared" si="15"/>
        <v>1005820148020028361571</v>
      </c>
      <c r="W97" s="41">
        <v>44531</v>
      </c>
      <c r="X97" s="42"/>
      <c r="Y97" s="46">
        <v>10</v>
      </c>
      <c r="Z97" s="47">
        <f t="shared" si="16"/>
        <v>29.111733439111482</v>
      </c>
      <c r="AA97" s="94">
        <f>40/4</f>
        <v>10</v>
      </c>
      <c r="AB97" s="95">
        <f t="shared" si="17"/>
        <v>29.111733439111482</v>
      </c>
      <c r="AC97" s="94" t="s">
        <v>336</v>
      </c>
      <c r="AD97" s="94">
        <f t="shared" si="18"/>
        <v>0</v>
      </c>
      <c r="AE97" s="96"/>
    </row>
    <row r="98" spans="1:31" x14ac:dyDescent="0.2">
      <c r="A98" s="43"/>
      <c r="B98" s="48" t="s">
        <v>27</v>
      </c>
      <c r="C98" s="48" t="s">
        <v>60</v>
      </c>
      <c r="D98" s="48" t="s">
        <v>69</v>
      </c>
      <c r="E98" s="50" t="s">
        <v>254</v>
      </c>
      <c r="F98" s="50" t="s">
        <v>254</v>
      </c>
      <c r="G98" s="49" t="s">
        <v>251</v>
      </c>
      <c r="H98" s="49" t="s">
        <v>42</v>
      </c>
      <c r="I98" s="49" t="s">
        <v>258</v>
      </c>
      <c r="J98" s="50" t="s">
        <v>221</v>
      </c>
      <c r="K98" s="48" t="s">
        <v>122</v>
      </c>
      <c r="L98" s="49" t="s">
        <v>256</v>
      </c>
      <c r="M98" s="48" t="s">
        <v>29</v>
      </c>
      <c r="N98" s="28" t="s">
        <v>162</v>
      </c>
      <c r="O98" s="29" t="s">
        <v>31</v>
      </c>
      <c r="P98" s="37">
        <v>25.86</v>
      </c>
      <c r="Q98" s="38">
        <f t="shared" si="12"/>
        <v>0.11257437524791758</v>
      </c>
      <c r="R98" s="39">
        <f t="shared" si="13"/>
        <v>22.948826656088851</v>
      </c>
      <c r="S98" s="44">
        <v>0.15</v>
      </c>
      <c r="T98" s="45">
        <v>26.998619595398647</v>
      </c>
      <c r="U98" s="39">
        <f t="shared" si="14"/>
        <v>2.9111733439111482</v>
      </c>
      <c r="V98" s="40" t="str">
        <f t="shared" si="15"/>
        <v>1005820148020028361571</v>
      </c>
      <c r="W98" s="41">
        <v>44531</v>
      </c>
      <c r="X98" s="42"/>
      <c r="Y98" s="46"/>
      <c r="Z98" s="47">
        <f t="shared" si="16"/>
        <v>0</v>
      </c>
      <c r="AA98" s="94" t="s">
        <v>335</v>
      </c>
      <c r="AB98" s="95">
        <f t="shared" si="17"/>
        <v>0</v>
      </c>
      <c r="AC98" s="94"/>
      <c r="AD98" s="94">
        <f t="shared" si="18"/>
        <v>0</v>
      </c>
      <c r="AE98" s="96"/>
    </row>
    <row r="99" spans="1:31" x14ac:dyDescent="0.2">
      <c r="A99" s="43"/>
      <c r="B99" s="48" t="s">
        <v>27</v>
      </c>
      <c r="C99" s="48" t="s">
        <v>60</v>
      </c>
      <c r="D99" s="48" t="s">
        <v>69</v>
      </c>
      <c r="E99" s="50" t="s">
        <v>254</v>
      </c>
      <c r="F99" s="50" t="s">
        <v>254</v>
      </c>
      <c r="G99" s="49" t="s">
        <v>251</v>
      </c>
      <c r="H99" s="49" t="s">
        <v>42</v>
      </c>
      <c r="I99" s="49" t="s">
        <v>258</v>
      </c>
      <c r="J99" s="50" t="s">
        <v>221</v>
      </c>
      <c r="K99" s="48" t="s">
        <v>122</v>
      </c>
      <c r="L99" s="49" t="s">
        <v>256</v>
      </c>
      <c r="M99" s="48" t="s">
        <v>29</v>
      </c>
      <c r="N99" s="28" t="s">
        <v>165</v>
      </c>
      <c r="O99" s="29" t="s">
        <v>33</v>
      </c>
      <c r="P99" s="37">
        <v>50.39</v>
      </c>
      <c r="Q99" s="38">
        <f t="shared" si="12"/>
        <v>0.343480849374876</v>
      </c>
      <c r="R99" s="39">
        <f t="shared" si="13"/>
        <v>33.082000000000001</v>
      </c>
      <c r="S99" s="44">
        <v>0.15</v>
      </c>
      <c r="T99" s="45">
        <v>38.92</v>
      </c>
      <c r="U99" s="39">
        <f t="shared" si="14"/>
        <v>17.308</v>
      </c>
      <c r="V99" s="40" t="str">
        <f t="shared" si="15"/>
        <v>1005820148020028361540</v>
      </c>
      <c r="W99" s="41">
        <v>44531</v>
      </c>
      <c r="X99" s="42">
        <v>38</v>
      </c>
      <c r="Y99" s="46"/>
      <c r="Z99" s="47">
        <f t="shared" si="16"/>
        <v>0</v>
      </c>
      <c r="AA99" s="94" t="s">
        <v>335</v>
      </c>
      <c r="AB99" s="95">
        <f t="shared" si="17"/>
        <v>0</v>
      </c>
      <c r="AC99" s="94"/>
      <c r="AD99" s="94">
        <f t="shared" si="18"/>
        <v>0</v>
      </c>
      <c r="AE99" s="96"/>
    </row>
    <row r="100" spans="1:31" x14ac:dyDescent="0.2">
      <c r="A100" s="43"/>
      <c r="B100" s="48" t="s">
        <v>27</v>
      </c>
      <c r="C100" s="48" t="s">
        <v>60</v>
      </c>
      <c r="D100" s="48" t="s">
        <v>69</v>
      </c>
      <c r="E100" s="50" t="s">
        <v>254</v>
      </c>
      <c r="F100" s="50" t="s">
        <v>254</v>
      </c>
      <c r="G100" s="49" t="s">
        <v>251</v>
      </c>
      <c r="H100" s="49" t="s">
        <v>42</v>
      </c>
      <c r="I100" s="49" t="s">
        <v>258</v>
      </c>
      <c r="J100" s="50" t="s">
        <v>221</v>
      </c>
      <c r="K100" s="48" t="s">
        <v>122</v>
      </c>
      <c r="L100" s="49" t="s">
        <v>256</v>
      </c>
      <c r="M100" s="48" t="s">
        <v>34</v>
      </c>
      <c r="N100" s="28" t="s">
        <v>166</v>
      </c>
      <c r="O100" s="29" t="s">
        <v>35</v>
      </c>
      <c r="P100" s="37">
        <v>112.81</v>
      </c>
      <c r="Q100" s="38">
        <f t="shared" si="12"/>
        <v>0.30024213075060535</v>
      </c>
      <c r="R100" s="39">
        <f t="shared" si="13"/>
        <v>78.93968523002421</v>
      </c>
      <c r="S100" s="44">
        <v>0.15</v>
      </c>
      <c r="T100" s="45">
        <v>92.870217917675546</v>
      </c>
      <c r="U100" s="39">
        <f t="shared" si="14"/>
        <v>33.870314769975792</v>
      </c>
      <c r="V100" s="40" t="str">
        <f t="shared" si="15"/>
        <v>1005820148020028361531</v>
      </c>
      <c r="W100" s="41">
        <v>44531</v>
      </c>
      <c r="X100" s="42"/>
      <c r="Y100" s="46"/>
      <c r="Z100" s="47">
        <f t="shared" si="16"/>
        <v>0</v>
      </c>
      <c r="AA100" s="94" t="s">
        <v>335</v>
      </c>
      <c r="AB100" s="95">
        <f t="shared" si="17"/>
        <v>0</v>
      </c>
      <c r="AC100" s="94"/>
      <c r="AD100" s="94">
        <f t="shared" si="18"/>
        <v>0</v>
      </c>
      <c r="AE100" s="96"/>
    </row>
    <row r="101" spans="1:31" x14ac:dyDescent="0.2">
      <c r="A101" s="43"/>
      <c r="B101" s="48" t="s">
        <v>27</v>
      </c>
      <c r="C101" s="48" t="s">
        <v>60</v>
      </c>
      <c r="D101" s="48" t="s">
        <v>69</v>
      </c>
      <c r="E101" s="50" t="s">
        <v>254</v>
      </c>
      <c r="F101" s="50" t="s">
        <v>254</v>
      </c>
      <c r="G101" s="49" t="s">
        <v>251</v>
      </c>
      <c r="H101" s="49" t="s">
        <v>42</v>
      </c>
      <c r="I101" s="49" t="s">
        <v>258</v>
      </c>
      <c r="J101" s="50" t="s">
        <v>221</v>
      </c>
      <c r="K101" s="48" t="s">
        <v>122</v>
      </c>
      <c r="L101" s="49" t="s">
        <v>256</v>
      </c>
      <c r="M101" s="48" t="s">
        <v>34</v>
      </c>
      <c r="N101" s="28" t="s">
        <v>167</v>
      </c>
      <c r="O101" s="29" t="s">
        <v>36</v>
      </c>
      <c r="P101" s="37">
        <v>26.44</v>
      </c>
      <c r="Q101" s="38">
        <f t="shared" si="12"/>
        <v>0.17077045274027003</v>
      </c>
      <c r="R101" s="39">
        <f t="shared" si="13"/>
        <v>21.92482922954726</v>
      </c>
      <c r="S101" s="44">
        <v>0.13</v>
      </c>
      <c r="T101" s="45">
        <v>25.200953137410643</v>
      </c>
      <c r="U101" s="39">
        <f t="shared" si="14"/>
        <v>4.5151707704527411</v>
      </c>
      <c r="V101" s="40" t="str">
        <f t="shared" si="15"/>
        <v>1005820148020028361532</v>
      </c>
      <c r="W101" s="41">
        <v>44531</v>
      </c>
      <c r="X101" s="42">
        <v>72</v>
      </c>
      <c r="Y101" s="46"/>
      <c r="Z101" s="47">
        <f t="shared" si="16"/>
        <v>0</v>
      </c>
      <c r="AA101" s="94" t="s">
        <v>335</v>
      </c>
      <c r="AB101" s="95">
        <f t="shared" si="17"/>
        <v>0</v>
      </c>
      <c r="AC101" s="94"/>
      <c r="AD101" s="94">
        <f t="shared" si="18"/>
        <v>0</v>
      </c>
      <c r="AE101" s="96"/>
    </row>
    <row r="102" spans="1:31" x14ac:dyDescent="0.2">
      <c r="A102" s="43"/>
      <c r="B102" s="48" t="s">
        <v>27</v>
      </c>
      <c r="C102" s="48" t="s">
        <v>60</v>
      </c>
      <c r="D102" s="48" t="s">
        <v>69</v>
      </c>
      <c r="E102" s="50" t="s">
        <v>254</v>
      </c>
      <c r="F102" s="50" t="s">
        <v>254</v>
      </c>
      <c r="G102" s="49" t="s">
        <v>251</v>
      </c>
      <c r="H102" s="49" t="s">
        <v>42</v>
      </c>
      <c r="I102" s="49" t="s">
        <v>258</v>
      </c>
      <c r="J102" s="50" t="s">
        <v>221</v>
      </c>
      <c r="K102" s="48" t="s">
        <v>122</v>
      </c>
      <c r="L102" s="49" t="s">
        <v>256</v>
      </c>
      <c r="M102" s="48" t="s">
        <v>34</v>
      </c>
      <c r="N102" s="28" t="s">
        <v>173</v>
      </c>
      <c r="O102" s="29" t="s">
        <v>47</v>
      </c>
      <c r="P102" s="37">
        <v>41.42</v>
      </c>
      <c r="Q102" s="38">
        <f t="shared" ref="Q102:Q133" si="19">IF(1-R102/P102&lt;0%,0,1-R102/P102)</f>
        <v>0.4906074652354232</v>
      </c>
      <c r="R102" s="39">
        <f t="shared" ref="R102:R133" si="20">+T102*(100%-S102)</f>
        <v>21.099038789948771</v>
      </c>
      <c r="S102" s="44">
        <v>0.13</v>
      </c>
      <c r="T102" s="45">
        <v>24.251768724079049</v>
      </c>
      <c r="U102" s="39">
        <f t="shared" ref="U102:U133" si="21">+IF(P102-R102&lt;0,0,P102-R102)</f>
        <v>20.32096121005123</v>
      </c>
      <c r="V102" s="40" t="str">
        <f t="shared" ref="V102:V133" si="22">+CONCATENATE(TRIM(F102),TRIM(J102),TRIM(N102))</f>
        <v>1005820148020028361535</v>
      </c>
      <c r="W102" s="41">
        <v>44531</v>
      </c>
      <c r="X102" s="42">
        <v>108</v>
      </c>
      <c r="Y102" s="46">
        <v>10</v>
      </c>
      <c r="Z102" s="47">
        <f t="shared" ref="Z102:Z133" si="23">IFERROR(U102*Y102,0)</f>
        <v>203.20961210051229</v>
      </c>
      <c r="AA102" s="94">
        <f>20/2</f>
        <v>10</v>
      </c>
      <c r="AB102" s="95">
        <f t="shared" si="17"/>
        <v>203.20961210051229</v>
      </c>
      <c r="AC102" s="94" t="s">
        <v>336</v>
      </c>
      <c r="AD102" s="94">
        <f t="shared" si="18"/>
        <v>0</v>
      </c>
      <c r="AE102" s="96"/>
    </row>
    <row r="103" spans="1:31" x14ac:dyDescent="0.2">
      <c r="A103" s="43"/>
      <c r="B103" s="48" t="s">
        <v>27</v>
      </c>
      <c r="C103" s="48" t="s">
        <v>60</v>
      </c>
      <c r="D103" s="48" t="s">
        <v>69</v>
      </c>
      <c r="E103" s="50" t="s">
        <v>254</v>
      </c>
      <c r="F103" s="50" t="s">
        <v>254</v>
      </c>
      <c r="G103" s="49" t="s">
        <v>255</v>
      </c>
      <c r="H103" s="49" t="s">
        <v>44</v>
      </c>
      <c r="I103" s="49" t="s">
        <v>120</v>
      </c>
      <c r="J103" s="50" t="s">
        <v>222</v>
      </c>
      <c r="K103" s="48" t="s">
        <v>123</v>
      </c>
      <c r="L103" s="49" t="s">
        <v>256</v>
      </c>
      <c r="M103" s="48" t="s">
        <v>29</v>
      </c>
      <c r="N103" s="28" t="s">
        <v>162</v>
      </c>
      <c r="O103" s="29" t="s">
        <v>31</v>
      </c>
      <c r="P103" s="37">
        <v>25.86</v>
      </c>
      <c r="Q103" s="38">
        <f t="shared" si="19"/>
        <v>4.2443474811582838E-2</v>
      </c>
      <c r="R103" s="39">
        <f t="shared" si="20"/>
        <v>24.762411741372468</v>
      </c>
      <c r="S103" s="44">
        <v>0.15</v>
      </c>
      <c r="T103" s="45">
        <v>29.132249107497021</v>
      </c>
      <c r="U103" s="39">
        <f t="shared" si="21"/>
        <v>1.0975882586275318</v>
      </c>
      <c r="V103" s="40" t="str">
        <f t="shared" si="22"/>
        <v>1005820402885549361571</v>
      </c>
      <c r="W103" s="41">
        <v>44531</v>
      </c>
      <c r="X103" s="42"/>
      <c r="Y103" s="46">
        <v>10</v>
      </c>
      <c r="Z103" s="47">
        <f t="shared" si="23"/>
        <v>10.975882586275318</v>
      </c>
      <c r="AA103" s="94">
        <f>40/4</f>
        <v>10</v>
      </c>
      <c r="AB103" s="95">
        <f t="shared" si="17"/>
        <v>10.975882586275318</v>
      </c>
      <c r="AC103" s="94" t="s">
        <v>336</v>
      </c>
      <c r="AD103" s="94">
        <f t="shared" si="18"/>
        <v>0</v>
      </c>
      <c r="AE103" s="96"/>
    </row>
    <row r="104" spans="1:31" x14ac:dyDescent="0.2">
      <c r="A104" s="43"/>
      <c r="B104" s="48" t="s">
        <v>27</v>
      </c>
      <c r="C104" s="48" t="s">
        <v>60</v>
      </c>
      <c r="D104" s="48" t="s">
        <v>69</v>
      </c>
      <c r="E104" s="50" t="s">
        <v>254</v>
      </c>
      <c r="F104" s="50" t="s">
        <v>254</v>
      </c>
      <c r="G104" s="49" t="s">
        <v>255</v>
      </c>
      <c r="H104" s="49" t="s">
        <v>44</v>
      </c>
      <c r="I104" s="49" t="s">
        <v>120</v>
      </c>
      <c r="J104" s="50" t="s">
        <v>222</v>
      </c>
      <c r="K104" s="48" t="s">
        <v>123</v>
      </c>
      <c r="L104" s="49" t="s">
        <v>256</v>
      </c>
      <c r="M104" s="48" t="s">
        <v>29</v>
      </c>
      <c r="N104" s="28" t="s">
        <v>162</v>
      </c>
      <c r="O104" s="29" t="s">
        <v>31</v>
      </c>
      <c r="P104" s="37">
        <v>25.86</v>
      </c>
      <c r="Q104" s="38">
        <f t="shared" si="19"/>
        <v>4.2443474811582838E-2</v>
      </c>
      <c r="R104" s="39">
        <f t="shared" si="20"/>
        <v>24.762411741372468</v>
      </c>
      <c r="S104" s="44">
        <v>0.15</v>
      </c>
      <c r="T104" s="45">
        <v>29.132249107497021</v>
      </c>
      <c r="U104" s="39">
        <f t="shared" si="21"/>
        <v>1.0975882586275318</v>
      </c>
      <c r="V104" s="40" t="str">
        <f t="shared" si="22"/>
        <v>1005820402885549361571</v>
      </c>
      <c r="W104" s="41">
        <v>44531</v>
      </c>
      <c r="X104" s="42"/>
      <c r="Y104" s="46"/>
      <c r="Z104" s="47">
        <f t="shared" si="23"/>
        <v>0</v>
      </c>
      <c r="AA104" s="94" t="s">
        <v>335</v>
      </c>
      <c r="AB104" s="95">
        <f t="shared" si="17"/>
        <v>0</v>
      </c>
      <c r="AC104" s="94"/>
      <c r="AD104" s="94">
        <f t="shared" si="18"/>
        <v>0</v>
      </c>
      <c r="AE104" s="96"/>
    </row>
    <row r="105" spans="1:31" x14ac:dyDescent="0.2">
      <c r="B105" s="48" t="s">
        <v>27</v>
      </c>
      <c r="C105" s="48" t="s">
        <v>60</v>
      </c>
      <c r="D105" s="48" t="s">
        <v>69</v>
      </c>
      <c r="E105" s="50" t="s">
        <v>254</v>
      </c>
      <c r="F105" s="50" t="s">
        <v>254</v>
      </c>
      <c r="G105" s="49" t="s">
        <v>255</v>
      </c>
      <c r="H105" s="49" t="s">
        <v>44</v>
      </c>
      <c r="I105" s="49" t="s">
        <v>120</v>
      </c>
      <c r="J105" s="50" t="s">
        <v>222</v>
      </c>
      <c r="K105" s="48" t="s">
        <v>123</v>
      </c>
      <c r="L105" s="49" t="s">
        <v>256</v>
      </c>
      <c r="M105" s="48" t="s">
        <v>34</v>
      </c>
      <c r="N105" s="28" t="s">
        <v>173</v>
      </c>
      <c r="O105" s="29" t="s">
        <v>47</v>
      </c>
      <c r="P105" s="37">
        <v>41.42</v>
      </c>
      <c r="Q105" s="38">
        <f t="shared" si="19"/>
        <v>0.51061234447426196</v>
      </c>
      <c r="R105" s="39">
        <f t="shared" si="20"/>
        <v>20.270436691876071</v>
      </c>
      <c r="S105" s="44">
        <v>0.15</v>
      </c>
      <c r="T105" s="45">
        <v>23.847572578677731</v>
      </c>
      <c r="U105" s="39">
        <f t="shared" si="21"/>
        <v>21.14956330812393</v>
      </c>
      <c r="V105" s="40" t="str">
        <f t="shared" si="22"/>
        <v>1005820402885549361535</v>
      </c>
      <c r="W105" s="41">
        <v>44531</v>
      </c>
      <c r="X105" s="42"/>
      <c r="Y105" s="46"/>
      <c r="Z105" s="47">
        <f t="shared" si="23"/>
        <v>0</v>
      </c>
      <c r="AA105" s="94" t="s">
        <v>335</v>
      </c>
      <c r="AB105" s="95">
        <f t="shared" si="17"/>
        <v>0</v>
      </c>
      <c r="AC105" s="94"/>
      <c r="AD105" s="94">
        <f t="shared" si="18"/>
        <v>0</v>
      </c>
      <c r="AE105" s="96"/>
    </row>
    <row r="106" spans="1:31" x14ac:dyDescent="0.2">
      <c r="B106" s="48" t="s">
        <v>27</v>
      </c>
      <c r="C106" s="48" t="s">
        <v>60</v>
      </c>
      <c r="D106" s="48" t="s">
        <v>69</v>
      </c>
      <c r="E106" s="50" t="s">
        <v>254</v>
      </c>
      <c r="F106" s="50" t="s">
        <v>254</v>
      </c>
      <c r="G106" s="49" t="s">
        <v>255</v>
      </c>
      <c r="H106" s="49" t="s">
        <v>44</v>
      </c>
      <c r="I106" s="49" t="s">
        <v>120</v>
      </c>
      <c r="J106" s="50" t="s">
        <v>222</v>
      </c>
      <c r="K106" s="48" t="s">
        <v>123</v>
      </c>
      <c r="L106" s="49" t="s">
        <v>256</v>
      </c>
      <c r="M106" s="48" t="s">
        <v>29</v>
      </c>
      <c r="N106" s="28" t="s">
        <v>165</v>
      </c>
      <c r="O106" s="29" t="s">
        <v>33</v>
      </c>
      <c r="P106" s="37">
        <v>50.39</v>
      </c>
      <c r="Q106" s="38">
        <f t="shared" si="19"/>
        <v>0.52093669378845009</v>
      </c>
      <c r="R106" s="39">
        <f t="shared" si="20"/>
        <v>24.14</v>
      </c>
      <c r="S106" s="44">
        <v>0.15</v>
      </c>
      <c r="T106" s="45">
        <v>28.400000000000002</v>
      </c>
      <c r="U106" s="39">
        <f t="shared" si="21"/>
        <v>26.25</v>
      </c>
      <c r="V106" s="40" t="str">
        <f t="shared" si="22"/>
        <v>1005820402885549361540</v>
      </c>
      <c r="W106" s="41">
        <v>44531</v>
      </c>
      <c r="X106" s="42">
        <v>195</v>
      </c>
      <c r="Y106" s="46"/>
      <c r="Z106" s="47">
        <f t="shared" si="23"/>
        <v>0</v>
      </c>
      <c r="AA106" s="94" t="s">
        <v>335</v>
      </c>
      <c r="AB106" s="95">
        <f t="shared" si="17"/>
        <v>0</v>
      </c>
      <c r="AC106" s="94"/>
      <c r="AD106" s="94">
        <f t="shared" si="18"/>
        <v>0</v>
      </c>
      <c r="AE106" s="96"/>
    </row>
    <row r="107" spans="1:31" x14ac:dyDescent="0.2">
      <c r="B107" s="48" t="s">
        <v>27</v>
      </c>
      <c r="C107" s="48" t="s">
        <v>60</v>
      </c>
      <c r="D107" s="48" t="s">
        <v>69</v>
      </c>
      <c r="E107" s="50" t="s">
        <v>254</v>
      </c>
      <c r="F107" s="50" t="s">
        <v>254</v>
      </c>
      <c r="G107" s="49" t="s">
        <v>251</v>
      </c>
      <c r="H107" s="49" t="s">
        <v>58</v>
      </c>
      <c r="I107" s="49" t="s">
        <v>65</v>
      </c>
      <c r="J107" s="50" t="s">
        <v>223</v>
      </c>
      <c r="K107" s="48" t="s">
        <v>124</v>
      </c>
      <c r="L107" s="49" t="s">
        <v>256</v>
      </c>
      <c r="M107" s="48" t="s">
        <v>29</v>
      </c>
      <c r="N107" s="28" t="s">
        <v>162</v>
      </c>
      <c r="O107" s="29" t="s">
        <v>31</v>
      </c>
      <c r="P107" s="37">
        <v>25.86</v>
      </c>
      <c r="Q107" s="38">
        <f t="shared" si="19"/>
        <v>0.19349464498214997</v>
      </c>
      <c r="R107" s="39">
        <f t="shared" si="20"/>
        <v>20.856228480761601</v>
      </c>
      <c r="S107" s="44">
        <v>0.15</v>
      </c>
      <c r="T107" s="45">
        <v>24.536739389131295</v>
      </c>
      <c r="U107" s="39">
        <f t="shared" si="21"/>
        <v>5.0037715192383985</v>
      </c>
      <c r="V107" s="40" t="str">
        <f t="shared" si="22"/>
        <v>1005820504039120361571</v>
      </c>
      <c r="W107" s="41">
        <v>44531</v>
      </c>
      <c r="X107" s="42"/>
      <c r="Y107" s="46"/>
      <c r="Z107" s="47">
        <f t="shared" si="23"/>
        <v>0</v>
      </c>
      <c r="AA107" s="94" t="s">
        <v>335</v>
      </c>
      <c r="AB107" s="95">
        <f t="shared" si="17"/>
        <v>0</v>
      </c>
      <c r="AC107" s="94"/>
      <c r="AD107" s="94">
        <f t="shared" si="18"/>
        <v>0</v>
      </c>
      <c r="AE107" s="96"/>
    </row>
    <row r="108" spans="1:31" x14ac:dyDescent="0.2">
      <c r="B108" s="48" t="s">
        <v>27</v>
      </c>
      <c r="C108" s="48" t="s">
        <v>60</v>
      </c>
      <c r="D108" s="48" t="s">
        <v>69</v>
      </c>
      <c r="E108" s="50" t="s">
        <v>254</v>
      </c>
      <c r="F108" s="50" t="s">
        <v>254</v>
      </c>
      <c r="G108" s="49" t="s">
        <v>251</v>
      </c>
      <c r="H108" s="49" t="s">
        <v>58</v>
      </c>
      <c r="I108" s="49" t="s">
        <v>65</v>
      </c>
      <c r="J108" s="50" t="s">
        <v>223</v>
      </c>
      <c r="K108" s="48" t="s">
        <v>124</v>
      </c>
      <c r="L108" s="49" t="s">
        <v>256</v>
      </c>
      <c r="M108" s="48" t="s">
        <v>29</v>
      </c>
      <c r="N108" s="28" t="s">
        <v>162</v>
      </c>
      <c r="O108" s="29" t="s">
        <v>31</v>
      </c>
      <c r="P108" s="37">
        <v>25.86</v>
      </c>
      <c r="Q108" s="38">
        <f t="shared" si="19"/>
        <v>0.19349464498214997</v>
      </c>
      <c r="R108" s="39">
        <f t="shared" si="20"/>
        <v>20.856228480761601</v>
      </c>
      <c r="S108" s="44">
        <v>0.15</v>
      </c>
      <c r="T108" s="45">
        <v>24.536739389131295</v>
      </c>
      <c r="U108" s="39">
        <f t="shared" si="21"/>
        <v>5.0037715192383985</v>
      </c>
      <c r="V108" s="40" t="str">
        <f t="shared" si="22"/>
        <v>1005820504039120361571</v>
      </c>
      <c r="W108" s="41">
        <v>44531</v>
      </c>
      <c r="X108" s="42"/>
      <c r="Y108" s="46"/>
      <c r="Z108" s="47">
        <f t="shared" si="23"/>
        <v>0</v>
      </c>
      <c r="AA108" s="94" t="s">
        <v>335</v>
      </c>
      <c r="AB108" s="95">
        <f t="shared" si="17"/>
        <v>0</v>
      </c>
      <c r="AC108" s="94"/>
      <c r="AD108" s="94">
        <f t="shared" si="18"/>
        <v>0</v>
      </c>
      <c r="AE108" s="96"/>
    </row>
    <row r="109" spans="1:31" x14ac:dyDescent="0.2">
      <c r="B109" s="48" t="s">
        <v>27</v>
      </c>
      <c r="C109" s="48" t="s">
        <v>60</v>
      </c>
      <c r="D109" s="48" t="s">
        <v>69</v>
      </c>
      <c r="E109" s="50" t="s">
        <v>254</v>
      </c>
      <c r="F109" s="50" t="s">
        <v>254</v>
      </c>
      <c r="G109" s="49" t="s">
        <v>251</v>
      </c>
      <c r="H109" s="49" t="s">
        <v>58</v>
      </c>
      <c r="I109" s="49" t="s">
        <v>65</v>
      </c>
      <c r="J109" s="50" t="s">
        <v>223</v>
      </c>
      <c r="K109" s="48" t="s">
        <v>124</v>
      </c>
      <c r="L109" s="49" t="s">
        <v>256</v>
      </c>
      <c r="M109" s="48" t="s">
        <v>48</v>
      </c>
      <c r="N109" s="28" t="s">
        <v>175</v>
      </c>
      <c r="O109" s="29" t="s">
        <v>49</v>
      </c>
      <c r="P109" s="37">
        <v>123.18</v>
      </c>
      <c r="Q109" s="38">
        <f t="shared" si="19"/>
        <v>8.9586776859504225E-2</v>
      </c>
      <c r="R109" s="39">
        <f t="shared" si="20"/>
        <v>112.14470082644628</v>
      </c>
      <c r="S109" s="44">
        <v>0.15</v>
      </c>
      <c r="T109" s="45">
        <v>131.93494214876034</v>
      </c>
      <c r="U109" s="39">
        <f t="shared" si="21"/>
        <v>11.035299173553724</v>
      </c>
      <c r="V109" s="40" t="str">
        <f t="shared" si="22"/>
        <v>1005820504039120370042</v>
      </c>
      <c r="W109" s="41">
        <v>44531</v>
      </c>
      <c r="X109" s="42"/>
      <c r="Y109" s="46"/>
      <c r="Z109" s="47">
        <f t="shared" si="23"/>
        <v>0</v>
      </c>
      <c r="AA109" s="94" t="s">
        <v>335</v>
      </c>
      <c r="AB109" s="95">
        <f t="shared" si="17"/>
        <v>0</v>
      </c>
      <c r="AC109" s="94"/>
      <c r="AD109" s="94">
        <f t="shared" si="18"/>
        <v>0</v>
      </c>
      <c r="AE109" s="96"/>
    </row>
    <row r="110" spans="1:31" x14ac:dyDescent="0.2">
      <c r="B110" s="48" t="s">
        <v>27</v>
      </c>
      <c r="C110" s="48" t="s">
        <v>60</v>
      </c>
      <c r="D110" s="48" t="s">
        <v>69</v>
      </c>
      <c r="E110" s="50" t="s">
        <v>254</v>
      </c>
      <c r="F110" s="50" t="s">
        <v>254</v>
      </c>
      <c r="G110" s="49" t="s">
        <v>251</v>
      </c>
      <c r="H110" s="49" t="s">
        <v>58</v>
      </c>
      <c r="I110" s="49" t="s">
        <v>65</v>
      </c>
      <c r="J110" s="50" t="s">
        <v>223</v>
      </c>
      <c r="K110" s="48" t="s">
        <v>124</v>
      </c>
      <c r="L110" s="49" t="s">
        <v>256</v>
      </c>
      <c r="M110" s="48" t="s">
        <v>48</v>
      </c>
      <c r="N110" s="28" t="s">
        <v>182</v>
      </c>
      <c r="O110" s="29" t="s">
        <v>57</v>
      </c>
      <c r="P110" s="37">
        <v>97.25</v>
      </c>
      <c r="Q110" s="38">
        <f t="shared" si="19"/>
        <v>8.1671820023456854E-2</v>
      </c>
      <c r="R110" s="39">
        <f t="shared" si="20"/>
        <v>89.307415502718825</v>
      </c>
      <c r="S110" s="44">
        <v>0.13</v>
      </c>
      <c r="T110" s="45">
        <v>102.65220172726302</v>
      </c>
      <c r="U110" s="39">
        <f t="shared" si="21"/>
        <v>7.9425844972811745</v>
      </c>
      <c r="V110" s="40" t="str">
        <f t="shared" si="22"/>
        <v>1005820504039120370039</v>
      </c>
      <c r="W110" s="41">
        <v>44531</v>
      </c>
      <c r="X110" s="42"/>
      <c r="Y110" s="46"/>
      <c r="Z110" s="47">
        <f t="shared" si="23"/>
        <v>0</v>
      </c>
      <c r="AA110" s="94" t="s">
        <v>335</v>
      </c>
      <c r="AB110" s="95">
        <f t="shared" si="17"/>
        <v>0</v>
      </c>
      <c r="AC110" s="94"/>
      <c r="AD110" s="94">
        <f t="shared" si="18"/>
        <v>0</v>
      </c>
      <c r="AE110" s="96"/>
    </row>
    <row r="111" spans="1:31" x14ac:dyDescent="0.2">
      <c r="B111" s="48" t="s">
        <v>27</v>
      </c>
      <c r="C111" s="48" t="s">
        <v>60</v>
      </c>
      <c r="D111" s="48" t="s">
        <v>69</v>
      </c>
      <c r="E111" s="50" t="s">
        <v>254</v>
      </c>
      <c r="F111" s="50" t="s">
        <v>254</v>
      </c>
      <c r="G111" s="49" t="s">
        <v>251</v>
      </c>
      <c r="H111" s="49" t="s">
        <v>58</v>
      </c>
      <c r="I111" s="49" t="s">
        <v>65</v>
      </c>
      <c r="J111" s="50" t="s">
        <v>223</v>
      </c>
      <c r="K111" s="48" t="s">
        <v>124</v>
      </c>
      <c r="L111" s="49" t="s">
        <v>256</v>
      </c>
      <c r="M111" s="48" t="s">
        <v>29</v>
      </c>
      <c r="N111" s="28" t="s">
        <v>165</v>
      </c>
      <c r="O111" s="29" t="s">
        <v>33</v>
      </c>
      <c r="P111" s="37">
        <v>50.39</v>
      </c>
      <c r="Q111" s="38">
        <f t="shared" si="19"/>
        <v>0.59650724350069462</v>
      </c>
      <c r="R111" s="39">
        <f t="shared" si="20"/>
        <v>20.331999999999997</v>
      </c>
      <c r="S111" s="44">
        <v>0.15</v>
      </c>
      <c r="T111" s="45">
        <v>23.919999999999998</v>
      </c>
      <c r="U111" s="39">
        <f t="shared" si="21"/>
        <v>30.058000000000003</v>
      </c>
      <c r="V111" s="40" t="str">
        <f t="shared" si="22"/>
        <v>1005820504039120361540</v>
      </c>
      <c r="W111" s="41">
        <v>44531</v>
      </c>
      <c r="X111" s="42"/>
      <c r="Y111" s="46"/>
      <c r="Z111" s="47">
        <f t="shared" si="23"/>
        <v>0</v>
      </c>
      <c r="AA111" s="94" t="s">
        <v>335</v>
      </c>
      <c r="AB111" s="95">
        <f t="shared" si="17"/>
        <v>0</v>
      </c>
      <c r="AC111" s="94"/>
      <c r="AD111" s="94">
        <f t="shared" si="18"/>
        <v>0</v>
      </c>
      <c r="AE111" s="96"/>
    </row>
    <row r="112" spans="1:31" x14ac:dyDescent="0.2">
      <c r="B112" s="48" t="s">
        <v>27</v>
      </c>
      <c r="C112" s="48" t="s">
        <v>60</v>
      </c>
      <c r="D112" s="48" t="s">
        <v>69</v>
      </c>
      <c r="E112" s="50" t="s">
        <v>254</v>
      </c>
      <c r="F112" s="50" t="s">
        <v>254</v>
      </c>
      <c r="G112" s="49" t="s">
        <v>257</v>
      </c>
      <c r="H112" s="49" t="s">
        <v>44</v>
      </c>
      <c r="I112" s="49" t="s">
        <v>45</v>
      </c>
      <c r="J112" s="50" t="s">
        <v>224</v>
      </c>
      <c r="K112" s="48" t="s">
        <v>125</v>
      </c>
      <c r="L112" s="49" t="s">
        <v>256</v>
      </c>
      <c r="M112" s="48" t="s">
        <v>29</v>
      </c>
      <c r="N112" s="28" t="s">
        <v>179</v>
      </c>
      <c r="O112" s="29" t="s">
        <v>54</v>
      </c>
      <c r="P112" s="37">
        <v>39.619999999999997</v>
      </c>
      <c r="Q112" s="38">
        <f t="shared" si="19"/>
        <v>0.27057041898031298</v>
      </c>
      <c r="R112" s="39">
        <f t="shared" si="20"/>
        <v>28.9</v>
      </c>
      <c r="S112" s="44">
        <v>0.15</v>
      </c>
      <c r="T112" s="45">
        <v>34</v>
      </c>
      <c r="U112" s="39">
        <f t="shared" si="21"/>
        <v>10.719999999999999</v>
      </c>
      <c r="V112" s="40" t="str">
        <f t="shared" si="22"/>
        <v>1005820565993390360374</v>
      </c>
      <c r="W112" s="41">
        <v>44531</v>
      </c>
      <c r="X112" s="42"/>
      <c r="Y112" s="46">
        <v>86.25</v>
      </c>
      <c r="Z112" s="47">
        <f t="shared" si="23"/>
        <v>924.59999999999991</v>
      </c>
      <c r="AA112" s="94">
        <f>(15+10+40+20+45+20+80+10+30+25+50)/4</f>
        <v>86.25</v>
      </c>
      <c r="AB112" s="95">
        <f t="shared" si="17"/>
        <v>924.59999999999991</v>
      </c>
      <c r="AC112" s="94" t="s">
        <v>336</v>
      </c>
      <c r="AD112" s="94">
        <f t="shared" si="18"/>
        <v>0</v>
      </c>
      <c r="AE112" s="96"/>
    </row>
    <row r="113" spans="2:31" x14ac:dyDescent="0.2">
      <c r="B113" s="48" t="s">
        <v>27</v>
      </c>
      <c r="C113" s="48" t="s">
        <v>60</v>
      </c>
      <c r="D113" s="48" t="s">
        <v>69</v>
      </c>
      <c r="E113" s="50" t="s">
        <v>254</v>
      </c>
      <c r="F113" s="50" t="s">
        <v>254</v>
      </c>
      <c r="G113" s="49" t="s">
        <v>257</v>
      </c>
      <c r="H113" s="49" t="s">
        <v>44</v>
      </c>
      <c r="I113" s="49" t="s">
        <v>45</v>
      </c>
      <c r="J113" s="50" t="s">
        <v>224</v>
      </c>
      <c r="K113" s="48" t="s">
        <v>125</v>
      </c>
      <c r="L113" s="49" t="s">
        <v>256</v>
      </c>
      <c r="M113" s="48" t="s">
        <v>34</v>
      </c>
      <c r="N113" s="28" t="s">
        <v>167</v>
      </c>
      <c r="O113" s="29" t="s">
        <v>36</v>
      </c>
      <c r="P113" s="37">
        <v>26.44</v>
      </c>
      <c r="Q113" s="38">
        <f t="shared" si="19"/>
        <v>0.17970611596505159</v>
      </c>
      <c r="R113" s="39">
        <f t="shared" si="20"/>
        <v>21.688570293884037</v>
      </c>
      <c r="S113" s="44">
        <v>0.15</v>
      </c>
      <c r="T113" s="45">
        <v>25.515965051628282</v>
      </c>
      <c r="U113" s="39">
        <f t="shared" si="21"/>
        <v>4.7514297061159638</v>
      </c>
      <c r="V113" s="40" t="str">
        <f t="shared" si="22"/>
        <v>1005820565993390361532</v>
      </c>
      <c r="W113" s="41">
        <v>44531</v>
      </c>
      <c r="X113" s="42"/>
      <c r="Y113" s="46">
        <v>278</v>
      </c>
      <c r="Z113" s="47">
        <f t="shared" si="23"/>
        <v>1320.897458300238</v>
      </c>
      <c r="AA113" s="94">
        <f>(20+10+40+30+130+30+20+10+40+12+30+160+24)/2</f>
        <v>278</v>
      </c>
      <c r="AB113" s="95">
        <f t="shared" si="17"/>
        <v>1320.897458300238</v>
      </c>
      <c r="AC113" s="94" t="s">
        <v>336</v>
      </c>
      <c r="AD113" s="94">
        <f t="shared" si="18"/>
        <v>0</v>
      </c>
      <c r="AE113" s="96"/>
    </row>
    <row r="114" spans="2:31" x14ac:dyDescent="0.2">
      <c r="B114" s="48" t="s">
        <v>27</v>
      </c>
      <c r="C114" s="48" t="s">
        <v>60</v>
      </c>
      <c r="D114" s="48" t="s">
        <v>69</v>
      </c>
      <c r="E114" s="50" t="s">
        <v>254</v>
      </c>
      <c r="F114" s="50" t="s">
        <v>254</v>
      </c>
      <c r="G114" s="49" t="s">
        <v>257</v>
      </c>
      <c r="H114" s="49" t="s">
        <v>44</v>
      </c>
      <c r="I114" s="49" t="s">
        <v>45</v>
      </c>
      <c r="J114" s="50" t="s">
        <v>224</v>
      </c>
      <c r="K114" s="48" t="s">
        <v>125</v>
      </c>
      <c r="L114" s="49" t="s">
        <v>256</v>
      </c>
      <c r="M114" s="48" t="s">
        <v>34</v>
      </c>
      <c r="N114" s="28" t="s">
        <v>173</v>
      </c>
      <c r="O114" s="29" t="s">
        <v>47</v>
      </c>
      <c r="P114" s="37">
        <v>41.42</v>
      </c>
      <c r="Q114" s="38">
        <f t="shared" si="19"/>
        <v>0.49609660892900709</v>
      </c>
      <c r="R114" s="39">
        <f t="shared" si="20"/>
        <v>20.871678458160527</v>
      </c>
      <c r="S114" s="44">
        <v>0.15</v>
      </c>
      <c r="T114" s="45">
        <v>24.554915833130032</v>
      </c>
      <c r="U114" s="39">
        <f t="shared" si="21"/>
        <v>20.548321541839474</v>
      </c>
      <c r="V114" s="40" t="str">
        <f t="shared" si="22"/>
        <v>1005820565993390361535</v>
      </c>
      <c r="W114" s="41">
        <v>44531</v>
      </c>
      <c r="X114" s="42"/>
      <c r="Y114" s="46"/>
      <c r="Z114" s="47">
        <f t="shared" si="23"/>
        <v>0</v>
      </c>
      <c r="AA114" s="94" t="s">
        <v>335</v>
      </c>
      <c r="AB114" s="95">
        <f t="shared" si="17"/>
        <v>0</v>
      </c>
      <c r="AC114" s="94"/>
      <c r="AD114" s="94">
        <f t="shared" si="18"/>
        <v>0</v>
      </c>
      <c r="AE114" s="96"/>
    </row>
    <row r="115" spans="2:31" x14ac:dyDescent="0.2">
      <c r="B115" s="48" t="s">
        <v>27</v>
      </c>
      <c r="C115" s="48" t="s">
        <v>60</v>
      </c>
      <c r="D115" s="48" t="s">
        <v>69</v>
      </c>
      <c r="E115" s="50" t="s">
        <v>254</v>
      </c>
      <c r="F115" s="50" t="s">
        <v>254</v>
      </c>
      <c r="G115" s="49" t="s">
        <v>253</v>
      </c>
      <c r="H115" s="49" t="s">
        <v>44</v>
      </c>
      <c r="I115" s="49" t="s">
        <v>59</v>
      </c>
      <c r="J115" s="50" t="s">
        <v>225</v>
      </c>
      <c r="K115" s="48" t="s">
        <v>126</v>
      </c>
      <c r="L115" s="49" t="s">
        <v>256</v>
      </c>
      <c r="M115" s="48" t="s">
        <v>29</v>
      </c>
      <c r="N115" s="28" t="s">
        <v>162</v>
      </c>
      <c r="O115" s="29" t="s">
        <v>31</v>
      </c>
      <c r="P115" s="37">
        <v>25.86</v>
      </c>
      <c r="Q115" s="38">
        <f t="shared" si="19"/>
        <v>9.9999999999999978E-2</v>
      </c>
      <c r="R115" s="39">
        <f t="shared" si="20"/>
        <v>23.274000000000001</v>
      </c>
      <c r="S115" s="44">
        <v>0.15</v>
      </c>
      <c r="T115" s="45">
        <v>27.381176470588237</v>
      </c>
      <c r="U115" s="39">
        <f t="shared" si="21"/>
        <v>2.5859999999999985</v>
      </c>
      <c r="V115" s="40" t="str">
        <f t="shared" si="22"/>
        <v>1005820602822533361571</v>
      </c>
      <c r="W115" s="41">
        <v>44531</v>
      </c>
      <c r="X115" s="42"/>
      <c r="Y115" s="46">
        <v>37.5</v>
      </c>
      <c r="Z115" s="47">
        <f t="shared" si="23"/>
        <v>96.974999999999937</v>
      </c>
      <c r="AA115" s="94">
        <f>(100+50)/4</f>
        <v>37.5</v>
      </c>
      <c r="AB115" s="95">
        <f t="shared" si="17"/>
        <v>96.974999999999937</v>
      </c>
      <c r="AC115" s="94" t="s">
        <v>336</v>
      </c>
      <c r="AD115" s="94">
        <f t="shared" si="18"/>
        <v>0</v>
      </c>
      <c r="AE115" s="96"/>
    </row>
    <row r="116" spans="2:31" x14ac:dyDescent="0.2">
      <c r="B116" s="48" t="s">
        <v>27</v>
      </c>
      <c r="C116" s="48" t="s">
        <v>60</v>
      </c>
      <c r="D116" s="48" t="s">
        <v>69</v>
      </c>
      <c r="E116" s="50" t="s">
        <v>254</v>
      </c>
      <c r="F116" s="50" t="s">
        <v>254</v>
      </c>
      <c r="G116" s="49" t="s">
        <v>253</v>
      </c>
      <c r="H116" s="49" t="s">
        <v>44</v>
      </c>
      <c r="I116" s="49" t="s">
        <v>59</v>
      </c>
      <c r="J116" s="50" t="s">
        <v>225</v>
      </c>
      <c r="K116" s="48" t="s">
        <v>126</v>
      </c>
      <c r="L116" s="49" t="s">
        <v>256</v>
      </c>
      <c r="M116" s="48" t="s">
        <v>34</v>
      </c>
      <c r="N116" s="28" t="s">
        <v>167</v>
      </c>
      <c r="O116" s="29" t="s">
        <v>36</v>
      </c>
      <c r="P116" s="37">
        <v>26.44</v>
      </c>
      <c r="Q116" s="38">
        <f t="shared" si="19"/>
        <v>0.39426258226747157</v>
      </c>
      <c r="R116" s="39">
        <f t="shared" si="20"/>
        <v>16.015697324848052</v>
      </c>
      <c r="S116" s="44">
        <v>0.15</v>
      </c>
      <c r="T116" s="45">
        <v>18.841996852762414</v>
      </c>
      <c r="U116" s="39">
        <f t="shared" si="21"/>
        <v>10.424302675151949</v>
      </c>
      <c r="V116" s="40" t="str">
        <f t="shared" si="22"/>
        <v>1005820602822533361532</v>
      </c>
      <c r="W116" s="41">
        <v>44531</v>
      </c>
      <c r="X116" s="42">
        <v>1673</v>
      </c>
      <c r="Y116" s="46">
        <v>2025</v>
      </c>
      <c r="Z116" s="47">
        <f t="shared" si="23"/>
        <v>21109.212917182696</v>
      </c>
      <c r="AA116" s="94">
        <f>(4000+50)/2</f>
        <v>2025</v>
      </c>
      <c r="AB116" s="95">
        <f t="shared" si="17"/>
        <v>21109.212917182696</v>
      </c>
      <c r="AC116" s="94" t="s">
        <v>336</v>
      </c>
      <c r="AD116" s="94">
        <f t="shared" si="18"/>
        <v>0</v>
      </c>
      <c r="AE116" s="96"/>
    </row>
    <row r="117" spans="2:31" x14ac:dyDescent="0.2">
      <c r="B117" s="48" t="s">
        <v>27</v>
      </c>
      <c r="C117" s="48" t="s">
        <v>60</v>
      </c>
      <c r="D117" s="48" t="s">
        <v>69</v>
      </c>
      <c r="E117" s="50" t="s">
        <v>254</v>
      </c>
      <c r="F117" s="50" t="s">
        <v>254</v>
      </c>
      <c r="G117" s="49" t="s">
        <v>253</v>
      </c>
      <c r="H117" s="49" t="s">
        <v>44</v>
      </c>
      <c r="I117" s="49" t="s">
        <v>59</v>
      </c>
      <c r="J117" s="50" t="s">
        <v>225</v>
      </c>
      <c r="K117" s="48" t="s">
        <v>126</v>
      </c>
      <c r="L117" s="49" t="s">
        <v>256</v>
      </c>
      <c r="M117" s="48" t="s">
        <v>29</v>
      </c>
      <c r="N117" s="28" t="s">
        <v>174</v>
      </c>
      <c r="O117" s="29" t="s">
        <v>157</v>
      </c>
      <c r="P117" s="37">
        <v>32.42</v>
      </c>
      <c r="Q117" s="38">
        <f t="shared" si="19"/>
        <v>9.9999999999999978E-2</v>
      </c>
      <c r="R117" s="39">
        <f t="shared" si="20"/>
        <v>29.178000000000001</v>
      </c>
      <c r="S117" s="44">
        <v>0.15</v>
      </c>
      <c r="T117" s="45">
        <v>34.327058823529413</v>
      </c>
      <c r="U117" s="39">
        <f t="shared" si="21"/>
        <v>3.2420000000000009</v>
      </c>
      <c r="V117" s="40" t="str">
        <f t="shared" si="22"/>
        <v>1005820602822533361570</v>
      </c>
      <c r="W117" s="41">
        <v>44531</v>
      </c>
      <c r="X117" s="42"/>
      <c r="Y117" s="46"/>
      <c r="Z117" s="47">
        <f t="shared" si="23"/>
        <v>0</v>
      </c>
      <c r="AA117" s="94" t="s">
        <v>335</v>
      </c>
      <c r="AB117" s="95">
        <f t="shared" si="17"/>
        <v>0</v>
      </c>
      <c r="AC117" s="94"/>
      <c r="AD117" s="94">
        <f t="shared" si="18"/>
        <v>0</v>
      </c>
      <c r="AE117" s="96"/>
    </row>
    <row r="118" spans="2:31" x14ac:dyDescent="0.2">
      <c r="B118" s="48" t="s">
        <v>27</v>
      </c>
      <c r="C118" s="48" t="s">
        <v>60</v>
      </c>
      <c r="D118" s="48" t="s">
        <v>69</v>
      </c>
      <c r="E118" s="50" t="s">
        <v>254</v>
      </c>
      <c r="F118" s="50" t="s">
        <v>254</v>
      </c>
      <c r="G118" s="49" t="s">
        <v>253</v>
      </c>
      <c r="H118" s="49" t="s">
        <v>44</v>
      </c>
      <c r="I118" s="49" t="s">
        <v>59</v>
      </c>
      <c r="J118" s="50" t="s">
        <v>225</v>
      </c>
      <c r="K118" s="48" t="s">
        <v>126</v>
      </c>
      <c r="L118" s="49" t="s">
        <v>256</v>
      </c>
      <c r="M118" s="48" t="s">
        <v>29</v>
      </c>
      <c r="N118" s="28" t="s">
        <v>162</v>
      </c>
      <c r="O118" s="29" t="s">
        <v>31</v>
      </c>
      <c r="P118" s="37">
        <v>25.86</v>
      </c>
      <c r="Q118" s="38">
        <f t="shared" si="19"/>
        <v>9.9999999999999978E-2</v>
      </c>
      <c r="R118" s="39">
        <f t="shared" si="20"/>
        <v>23.274000000000001</v>
      </c>
      <c r="S118" s="44">
        <v>0.15</v>
      </c>
      <c r="T118" s="45">
        <v>27.381176470588237</v>
      </c>
      <c r="U118" s="39">
        <f t="shared" si="21"/>
        <v>2.5859999999999985</v>
      </c>
      <c r="V118" s="40" t="str">
        <f t="shared" si="22"/>
        <v>1005820602822533361571</v>
      </c>
      <c r="W118" s="41">
        <v>44531</v>
      </c>
      <c r="X118" s="42">
        <v>628</v>
      </c>
      <c r="Y118" s="46"/>
      <c r="Z118" s="47">
        <f t="shared" si="23"/>
        <v>0</v>
      </c>
      <c r="AA118" s="94" t="s">
        <v>335</v>
      </c>
      <c r="AB118" s="95">
        <f t="shared" si="17"/>
        <v>0</v>
      </c>
      <c r="AC118" s="94"/>
      <c r="AD118" s="94">
        <f t="shared" si="18"/>
        <v>0</v>
      </c>
      <c r="AE118" s="96"/>
    </row>
    <row r="119" spans="2:31" x14ac:dyDescent="0.2">
      <c r="B119" s="48" t="s">
        <v>27</v>
      </c>
      <c r="C119" s="48" t="s">
        <v>60</v>
      </c>
      <c r="D119" s="48" t="s">
        <v>69</v>
      </c>
      <c r="E119" s="50" t="s">
        <v>254</v>
      </c>
      <c r="F119" s="50" t="s">
        <v>254</v>
      </c>
      <c r="G119" s="49" t="s">
        <v>253</v>
      </c>
      <c r="H119" s="49" t="s">
        <v>44</v>
      </c>
      <c r="I119" s="49" t="s">
        <v>59</v>
      </c>
      <c r="J119" s="50" t="s">
        <v>225</v>
      </c>
      <c r="K119" s="48" t="s">
        <v>126</v>
      </c>
      <c r="L119" s="49" t="s">
        <v>256</v>
      </c>
      <c r="M119" s="48" t="s">
        <v>41</v>
      </c>
      <c r="N119" s="28" t="s">
        <v>171</v>
      </c>
      <c r="O119" s="29" t="s">
        <v>270</v>
      </c>
      <c r="P119" s="37">
        <v>118.86</v>
      </c>
      <c r="Q119" s="38">
        <f t="shared" si="19"/>
        <v>0.13166855845629966</v>
      </c>
      <c r="R119" s="39">
        <f t="shared" si="20"/>
        <v>103.20987514188423</v>
      </c>
      <c r="S119" s="44">
        <v>0.15</v>
      </c>
      <c r="T119" s="45">
        <v>121.42338251986379</v>
      </c>
      <c r="U119" s="39">
        <f t="shared" si="21"/>
        <v>15.650124858115774</v>
      </c>
      <c r="V119" s="40" t="str">
        <f t="shared" si="22"/>
        <v>1005820602822533361445</v>
      </c>
      <c r="W119" s="41">
        <v>44531</v>
      </c>
      <c r="X119" s="42">
        <v>24</v>
      </c>
      <c r="Y119" s="46"/>
      <c r="Z119" s="47">
        <f t="shared" si="23"/>
        <v>0</v>
      </c>
      <c r="AA119" s="94" t="s">
        <v>335</v>
      </c>
      <c r="AB119" s="95">
        <f t="shared" si="17"/>
        <v>0</v>
      </c>
      <c r="AC119" s="94"/>
      <c r="AD119" s="94">
        <f t="shared" si="18"/>
        <v>0</v>
      </c>
      <c r="AE119" s="96"/>
    </row>
    <row r="120" spans="2:31" x14ac:dyDescent="0.2">
      <c r="B120" s="48" t="s">
        <v>27</v>
      </c>
      <c r="C120" s="48" t="s">
        <v>60</v>
      </c>
      <c r="D120" s="48" t="s">
        <v>69</v>
      </c>
      <c r="E120" s="50" t="s">
        <v>254</v>
      </c>
      <c r="F120" s="50" t="s">
        <v>254</v>
      </c>
      <c r="G120" s="49" t="s">
        <v>253</v>
      </c>
      <c r="H120" s="49" t="s">
        <v>44</v>
      </c>
      <c r="I120" s="49" t="s">
        <v>59</v>
      </c>
      <c r="J120" s="50" t="s">
        <v>225</v>
      </c>
      <c r="K120" s="48" t="s">
        <v>126</v>
      </c>
      <c r="L120" s="49" t="s">
        <v>256</v>
      </c>
      <c r="M120" s="48" t="s">
        <v>41</v>
      </c>
      <c r="N120" s="28" t="s">
        <v>185</v>
      </c>
      <c r="O120" s="29" t="s">
        <v>158</v>
      </c>
      <c r="P120" s="37">
        <v>123.18</v>
      </c>
      <c r="Q120" s="38">
        <f t="shared" si="19"/>
        <v>0.1926449098879689</v>
      </c>
      <c r="R120" s="39">
        <f t="shared" si="20"/>
        <v>99.45</v>
      </c>
      <c r="S120" s="44">
        <v>0.15</v>
      </c>
      <c r="T120" s="45">
        <v>117</v>
      </c>
      <c r="U120" s="39">
        <f t="shared" si="21"/>
        <v>23.730000000000004</v>
      </c>
      <c r="V120" s="40" t="str">
        <f t="shared" si="22"/>
        <v>1005820602822533361568</v>
      </c>
      <c r="W120" s="41">
        <v>44531</v>
      </c>
      <c r="X120" s="42">
        <v>11</v>
      </c>
      <c r="Y120" s="46"/>
      <c r="Z120" s="47">
        <f t="shared" si="23"/>
        <v>0</v>
      </c>
      <c r="AA120" s="94" t="s">
        <v>335</v>
      </c>
      <c r="AB120" s="95">
        <f t="shared" si="17"/>
        <v>0</v>
      </c>
      <c r="AC120" s="94"/>
      <c r="AD120" s="94">
        <f t="shared" si="18"/>
        <v>0</v>
      </c>
      <c r="AE120" s="96"/>
    </row>
    <row r="121" spans="2:31" x14ac:dyDescent="0.2">
      <c r="B121" s="48" t="s">
        <v>27</v>
      </c>
      <c r="C121" s="48" t="s">
        <v>60</v>
      </c>
      <c r="D121" s="48" t="s">
        <v>69</v>
      </c>
      <c r="E121" s="50" t="s">
        <v>254</v>
      </c>
      <c r="F121" s="50" t="s">
        <v>254</v>
      </c>
      <c r="G121" s="49" t="s">
        <v>253</v>
      </c>
      <c r="H121" s="49" t="s">
        <v>44</v>
      </c>
      <c r="I121" s="49" t="s">
        <v>59</v>
      </c>
      <c r="J121" s="50" t="s">
        <v>226</v>
      </c>
      <c r="K121" s="48" t="s">
        <v>127</v>
      </c>
      <c r="L121" s="49" t="s">
        <v>256</v>
      </c>
      <c r="M121" s="48" t="s">
        <v>29</v>
      </c>
      <c r="N121" s="28" t="s">
        <v>162</v>
      </c>
      <c r="O121" s="29" t="s">
        <v>31</v>
      </c>
      <c r="P121" s="37">
        <v>25.86</v>
      </c>
      <c r="Q121" s="38">
        <f t="shared" si="19"/>
        <v>1.7865429234338759E-2</v>
      </c>
      <c r="R121" s="39">
        <f t="shared" si="20"/>
        <v>25.398</v>
      </c>
      <c r="S121" s="44">
        <v>0.15</v>
      </c>
      <c r="T121" s="45">
        <v>29.88</v>
      </c>
      <c r="U121" s="39">
        <f t="shared" si="21"/>
        <v>0.46199999999999974</v>
      </c>
      <c r="V121" s="40" t="str">
        <f t="shared" si="22"/>
        <v>1005820559912353361571</v>
      </c>
      <c r="W121" s="41">
        <v>43831</v>
      </c>
      <c r="X121" s="42"/>
      <c r="Y121" s="46"/>
      <c r="Z121" s="47">
        <f t="shared" si="23"/>
        <v>0</v>
      </c>
      <c r="AA121" s="94" t="s">
        <v>335</v>
      </c>
      <c r="AB121" s="95">
        <f t="shared" si="17"/>
        <v>0</v>
      </c>
      <c r="AC121" s="94"/>
      <c r="AD121" s="94">
        <f t="shared" si="18"/>
        <v>0</v>
      </c>
      <c r="AE121" s="96"/>
    </row>
    <row r="122" spans="2:31" x14ac:dyDescent="0.2">
      <c r="B122" s="48" t="s">
        <v>27</v>
      </c>
      <c r="C122" s="48" t="s">
        <v>60</v>
      </c>
      <c r="D122" s="48" t="s">
        <v>69</v>
      </c>
      <c r="E122" s="50" t="s">
        <v>254</v>
      </c>
      <c r="F122" s="50" t="s">
        <v>254</v>
      </c>
      <c r="G122" s="49" t="s">
        <v>253</v>
      </c>
      <c r="H122" s="49" t="s">
        <v>44</v>
      </c>
      <c r="I122" s="49" t="s">
        <v>59</v>
      </c>
      <c r="J122" s="50" t="s">
        <v>226</v>
      </c>
      <c r="K122" s="48" t="s">
        <v>127</v>
      </c>
      <c r="L122" s="49" t="s">
        <v>256</v>
      </c>
      <c r="M122" s="48" t="s">
        <v>34</v>
      </c>
      <c r="N122" s="28" t="s">
        <v>167</v>
      </c>
      <c r="O122" s="29" t="s">
        <v>36</v>
      </c>
      <c r="P122" s="37">
        <v>26.44</v>
      </c>
      <c r="Q122" s="38">
        <f t="shared" si="19"/>
        <v>0.39426258226747157</v>
      </c>
      <c r="R122" s="39">
        <f t="shared" si="20"/>
        <v>16.015697324848052</v>
      </c>
      <c r="S122" s="44">
        <v>0.15</v>
      </c>
      <c r="T122" s="45">
        <v>18.841996852762414</v>
      </c>
      <c r="U122" s="39">
        <f t="shared" si="21"/>
        <v>10.424302675151949</v>
      </c>
      <c r="V122" s="40" t="str">
        <f t="shared" si="22"/>
        <v>1005820559912353361532</v>
      </c>
      <c r="W122" s="41">
        <v>44531</v>
      </c>
      <c r="X122" s="42"/>
      <c r="Y122" s="46"/>
      <c r="Z122" s="47">
        <f t="shared" si="23"/>
        <v>0</v>
      </c>
      <c r="AA122" s="94" t="s">
        <v>335</v>
      </c>
      <c r="AB122" s="95">
        <f t="shared" si="17"/>
        <v>0</v>
      </c>
      <c r="AC122" s="94"/>
      <c r="AD122" s="94">
        <f t="shared" si="18"/>
        <v>0</v>
      </c>
      <c r="AE122" s="96"/>
    </row>
    <row r="123" spans="2:31" x14ac:dyDescent="0.2">
      <c r="B123" s="48" t="s">
        <v>27</v>
      </c>
      <c r="C123" s="48" t="s">
        <v>60</v>
      </c>
      <c r="D123" s="48" t="s">
        <v>69</v>
      </c>
      <c r="E123" s="50" t="s">
        <v>254</v>
      </c>
      <c r="F123" s="50" t="s">
        <v>254</v>
      </c>
      <c r="G123" s="49" t="s">
        <v>255</v>
      </c>
      <c r="H123" s="49" t="s">
        <v>44</v>
      </c>
      <c r="I123" s="49" t="s">
        <v>64</v>
      </c>
      <c r="J123" s="50" t="s">
        <v>227</v>
      </c>
      <c r="K123" s="48" t="s">
        <v>128</v>
      </c>
      <c r="L123" s="49" t="s">
        <v>256</v>
      </c>
      <c r="M123" s="48" t="s">
        <v>29</v>
      </c>
      <c r="N123" s="28" t="s">
        <v>183</v>
      </c>
      <c r="O123" s="29" t="s">
        <v>62</v>
      </c>
      <c r="P123" s="37">
        <v>54.46</v>
      </c>
      <c r="Q123" s="38">
        <f t="shared" si="19"/>
        <v>0</v>
      </c>
      <c r="R123" s="39">
        <f t="shared" si="20"/>
        <v>54.460000000000008</v>
      </c>
      <c r="S123" s="44">
        <v>0.15</v>
      </c>
      <c r="T123" s="45">
        <v>64.070588235294125</v>
      </c>
      <c r="U123" s="39">
        <f t="shared" si="21"/>
        <v>0</v>
      </c>
      <c r="V123" s="40" t="str">
        <f t="shared" si="22"/>
        <v>1005820163901197361421</v>
      </c>
      <c r="W123" s="41">
        <v>44531</v>
      </c>
      <c r="X123" s="42"/>
      <c r="Y123" s="46"/>
      <c r="Z123" s="47">
        <f t="shared" si="23"/>
        <v>0</v>
      </c>
      <c r="AA123" s="94" t="s">
        <v>335</v>
      </c>
      <c r="AB123" s="95">
        <f t="shared" si="17"/>
        <v>0</v>
      </c>
      <c r="AC123" s="94"/>
      <c r="AD123" s="94">
        <f t="shared" si="18"/>
        <v>0</v>
      </c>
      <c r="AE123" s="96"/>
    </row>
    <row r="124" spans="2:31" x14ac:dyDescent="0.2">
      <c r="B124" s="48" t="s">
        <v>27</v>
      </c>
      <c r="C124" s="48" t="s">
        <v>60</v>
      </c>
      <c r="D124" s="48" t="s">
        <v>69</v>
      </c>
      <c r="E124" s="50" t="s">
        <v>254</v>
      </c>
      <c r="F124" s="50" t="s">
        <v>254</v>
      </c>
      <c r="G124" s="49" t="s">
        <v>255</v>
      </c>
      <c r="H124" s="49" t="s">
        <v>44</v>
      </c>
      <c r="I124" s="49" t="s">
        <v>64</v>
      </c>
      <c r="J124" s="50" t="s">
        <v>228</v>
      </c>
      <c r="K124" s="48" t="s">
        <v>129</v>
      </c>
      <c r="L124" s="49" t="s">
        <v>256</v>
      </c>
      <c r="M124" s="48" t="s">
        <v>29</v>
      </c>
      <c r="N124" s="28" t="s">
        <v>183</v>
      </c>
      <c r="O124" s="29" t="s">
        <v>62</v>
      </c>
      <c r="P124" s="37">
        <v>54.46</v>
      </c>
      <c r="Q124" s="38">
        <f t="shared" si="19"/>
        <v>0</v>
      </c>
      <c r="R124" s="39">
        <f t="shared" si="20"/>
        <v>54.460000000000008</v>
      </c>
      <c r="S124" s="44">
        <v>0.15</v>
      </c>
      <c r="T124" s="45">
        <v>64.070588235294125</v>
      </c>
      <c r="U124" s="39">
        <f t="shared" si="21"/>
        <v>0</v>
      </c>
      <c r="V124" s="40" t="str">
        <f t="shared" si="22"/>
        <v>1005820600467035361421</v>
      </c>
      <c r="W124" s="41">
        <v>44531</v>
      </c>
      <c r="X124" s="42"/>
      <c r="Y124" s="46"/>
      <c r="Z124" s="47">
        <f t="shared" si="23"/>
        <v>0</v>
      </c>
      <c r="AA124" s="94" t="s">
        <v>335</v>
      </c>
      <c r="AB124" s="95">
        <f t="shared" si="17"/>
        <v>0</v>
      </c>
      <c r="AC124" s="94"/>
      <c r="AD124" s="94">
        <f t="shared" si="18"/>
        <v>0</v>
      </c>
      <c r="AE124" s="96"/>
    </row>
    <row r="125" spans="2:31" x14ac:dyDescent="0.2">
      <c r="B125" s="48" t="s">
        <v>27</v>
      </c>
      <c r="C125" s="48" t="s">
        <v>60</v>
      </c>
      <c r="D125" s="48" t="s">
        <v>69</v>
      </c>
      <c r="E125" s="50" t="s">
        <v>254</v>
      </c>
      <c r="F125" s="50" t="s">
        <v>254</v>
      </c>
      <c r="G125" s="49" t="s">
        <v>255</v>
      </c>
      <c r="H125" s="49" t="s">
        <v>44</v>
      </c>
      <c r="I125" s="49" t="s">
        <v>61</v>
      </c>
      <c r="J125" s="50" t="s">
        <v>229</v>
      </c>
      <c r="K125" s="48" t="s">
        <v>130</v>
      </c>
      <c r="L125" s="49" t="s">
        <v>256</v>
      </c>
      <c r="M125" s="48" t="s">
        <v>29</v>
      </c>
      <c r="N125" s="28" t="s">
        <v>162</v>
      </c>
      <c r="O125" s="29" t="s">
        <v>31</v>
      </c>
      <c r="P125" s="37">
        <v>25.86</v>
      </c>
      <c r="Q125" s="38">
        <f t="shared" si="19"/>
        <v>0.11931773105910348</v>
      </c>
      <c r="R125" s="39">
        <f t="shared" si="20"/>
        <v>22.774443474811584</v>
      </c>
      <c r="S125" s="44">
        <v>0.15</v>
      </c>
      <c r="T125" s="45">
        <v>26.793462911543042</v>
      </c>
      <c r="U125" s="39">
        <f t="shared" si="21"/>
        <v>3.0855565251884158</v>
      </c>
      <c r="V125" s="40" t="str">
        <f t="shared" si="22"/>
        <v>1005820100064571361571</v>
      </c>
      <c r="W125" s="41">
        <v>44531</v>
      </c>
      <c r="X125" s="42"/>
      <c r="Y125" s="46">
        <v>317.5</v>
      </c>
      <c r="Z125" s="47">
        <f t="shared" si="23"/>
        <v>979.66419674732208</v>
      </c>
      <c r="AA125" s="94">
        <f>(42+90+100+150+90+42+150+90+150+90+36+150+90)/4</f>
        <v>317.5</v>
      </c>
      <c r="AB125" s="95">
        <f t="shared" si="17"/>
        <v>979.66419674732208</v>
      </c>
      <c r="AC125" s="94" t="s">
        <v>336</v>
      </c>
      <c r="AD125" s="94">
        <f t="shared" si="18"/>
        <v>0</v>
      </c>
      <c r="AE125" s="96"/>
    </row>
    <row r="126" spans="2:31" x14ac:dyDescent="0.2">
      <c r="B126" s="48" t="s">
        <v>27</v>
      </c>
      <c r="C126" s="48" t="s">
        <v>60</v>
      </c>
      <c r="D126" s="48" t="s">
        <v>69</v>
      </c>
      <c r="E126" s="50" t="s">
        <v>254</v>
      </c>
      <c r="F126" s="50" t="s">
        <v>254</v>
      </c>
      <c r="G126" s="49" t="s">
        <v>255</v>
      </c>
      <c r="H126" s="49" t="s">
        <v>44</v>
      </c>
      <c r="I126" s="49" t="s">
        <v>61</v>
      </c>
      <c r="J126" s="50" t="s">
        <v>229</v>
      </c>
      <c r="K126" s="48" t="s">
        <v>130</v>
      </c>
      <c r="L126" s="49" t="s">
        <v>256</v>
      </c>
      <c r="M126" s="48" t="s">
        <v>29</v>
      </c>
      <c r="N126" s="28" t="s">
        <v>162</v>
      </c>
      <c r="O126" s="29" t="s">
        <v>31</v>
      </c>
      <c r="P126" s="37">
        <v>25.86</v>
      </c>
      <c r="Q126" s="38">
        <f t="shared" si="19"/>
        <v>0.11931773105910348</v>
      </c>
      <c r="R126" s="39">
        <f t="shared" si="20"/>
        <v>22.774443474811584</v>
      </c>
      <c r="S126" s="44">
        <v>0.15</v>
      </c>
      <c r="T126" s="45">
        <v>26.793462911543042</v>
      </c>
      <c r="U126" s="39">
        <f t="shared" si="21"/>
        <v>3.0855565251884158</v>
      </c>
      <c r="V126" s="40" t="str">
        <f t="shared" si="22"/>
        <v>1005820100064571361571</v>
      </c>
      <c r="W126" s="41">
        <v>44531</v>
      </c>
      <c r="X126" s="42"/>
      <c r="Y126" s="46"/>
      <c r="Z126" s="47">
        <f t="shared" si="23"/>
        <v>0</v>
      </c>
      <c r="AA126" s="94" t="s">
        <v>335</v>
      </c>
      <c r="AB126" s="95">
        <f t="shared" si="17"/>
        <v>0</v>
      </c>
      <c r="AC126" s="94"/>
      <c r="AD126" s="94">
        <f t="shared" si="18"/>
        <v>0</v>
      </c>
      <c r="AE126" s="96"/>
    </row>
    <row r="127" spans="2:31" x14ac:dyDescent="0.2">
      <c r="B127" s="48" t="s">
        <v>27</v>
      </c>
      <c r="C127" s="48" t="s">
        <v>60</v>
      </c>
      <c r="D127" s="48" t="s">
        <v>69</v>
      </c>
      <c r="E127" s="50" t="s">
        <v>254</v>
      </c>
      <c r="F127" s="50" t="s">
        <v>254</v>
      </c>
      <c r="G127" s="49" t="s">
        <v>255</v>
      </c>
      <c r="H127" s="49" t="s">
        <v>44</v>
      </c>
      <c r="I127" s="49" t="s">
        <v>61</v>
      </c>
      <c r="J127" s="50" t="s">
        <v>229</v>
      </c>
      <c r="K127" s="48" t="s">
        <v>130</v>
      </c>
      <c r="L127" s="49" t="s">
        <v>256</v>
      </c>
      <c r="M127" s="48" t="s">
        <v>34</v>
      </c>
      <c r="N127" s="28" t="s">
        <v>167</v>
      </c>
      <c r="O127" s="29" t="s">
        <v>36</v>
      </c>
      <c r="P127" s="37">
        <v>26.44</v>
      </c>
      <c r="Q127" s="38">
        <f t="shared" si="19"/>
        <v>0.20333598093725169</v>
      </c>
      <c r="R127" s="39">
        <f t="shared" si="20"/>
        <v>21.063796664019065</v>
      </c>
      <c r="S127" s="44">
        <v>0.15</v>
      </c>
      <c r="T127" s="45">
        <v>24.780937251787137</v>
      </c>
      <c r="U127" s="39">
        <f t="shared" si="21"/>
        <v>5.3762033359809358</v>
      </c>
      <c r="V127" s="40" t="str">
        <f t="shared" si="22"/>
        <v>1005820100064571361532</v>
      </c>
      <c r="W127" s="41">
        <v>44531</v>
      </c>
      <c r="X127" s="42"/>
      <c r="Y127" s="46">
        <v>325</v>
      </c>
      <c r="Z127" s="47">
        <f t="shared" si="23"/>
        <v>1747.2660841938041</v>
      </c>
      <c r="AA127" s="94">
        <f>(36+70+50+50+70+32+50+50+50+50+42+50+50)/2</f>
        <v>325</v>
      </c>
      <c r="AB127" s="95">
        <f t="shared" si="17"/>
        <v>1747.2660841938041</v>
      </c>
      <c r="AC127" s="94" t="s">
        <v>336</v>
      </c>
      <c r="AD127" s="94">
        <f t="shared" si="18"/>
        <v>0</v>
      </c>
      <c r="AE127" s="96"/>
    </row>
    <row r="128" spans="2:31" x14ac:dyDescent="0.2">
      <c r="B128" s="48" t="s">
        <v>27</v>
      </c>
      <c r="C128" s="48" t="s">
        <v>60</v>
      </c>
      <c r="D128" s="48" t="s">
        <v>69</v>
      </c>
      <c r="E128" s="50" t="s">
        <v>254</v>
      </c>
      <c r="F128" s="50" t="s">
        <v>254</v>
      </c>
      <c r="G128" s="49" t="s">
        <v>255</v>
      </c>
      <c r="H128" s="49" t="s">
        <v>44</v>
      </c>
      <c r="I128" s="49" t="s">
        <v>61</v>
      </c>
      <c r="J128" s="50" t="s">
        <v>229</v>
      </c>
      <c r="K128" s="48" t="s">
        <v>130</v>
      </c>
      <c r="L128" s="49" t="s">
        <v>256</v>
      </c>
      <c r="M128" s="48" t="s">
        <v>34</v>
      </c>
      <c r="N128" s="28" t="s">
        <v>173</v>
      </c>
      <c r="O128" s="29" t="s">
        <v>47</v>
      </c>
      <c r="P128" s="37">
        <v>41.42</v>
      </c>
      <c r="Q128" s="38">
        <f t="shared" si="19"/>
        <v>0.51061234447426196</v>
      </c>
      <c r="R128" s="39">
        <f t="shared" si="20"/>
        <v>20.270436691876071</v>
      </c>
      <c r="S128" s="44">
        <v>0.15</v>
      </c>
      <c r="T128" s="45">
        <v>23.847572578677731</v>
      </c>
      <c r="U128" s="39">
        <f t="shared" si="21"/>
        <v>21.14956330812393</v>
      </c>
      <c r="V128" s="40" t="str">
        <f t="shared" si="22"/>
        <v>1005820100064571361535</v>
      </c>
      <c r="W128" s="41">
        <v>44531</v>
      </c>
      <c r="X128" s="42"/>
      <c r="Y128" s="46"/>
      <c r="Z128" s="47">
        <f t="shared" si="23"/>
        <v>0</v>
      </c>
      <c r="AA128" s="94" t="s">
        <v>335</v>
      </c>
      <c r="AB128" s="95">
        <f t="shared" si="17"/>
        <v>0</v>
      </c>
      <c r="AC128" s="94"/>
      <c r="AD128" s="94">
        <f t="shared" si="18"/>
        <v>0</v>
      </c>
      <c r="AE128" s="96"/>
    </row>
    <row r="129" spans="2:31" x14ac:dyDescent="0.2">
      <c r="B129" s="48" t="s">
        <v>27</v>
      </c>
      <c r="C129" s="48" t="s">
        <v>60</v>
      </c>
      <c r="D129" s="48" t="s">
        <v>69</v>
      </c>
      <c r="E129" s="50" t="s">
        <v>254</v>
      </c>
      <c r="F129" s="50" t="s">
        <v>254</v>
      </c>
      <c r="G129" s="49" t="s">
        <v>251</v>
      </c>
      <c r="H129" s="49" t="s">
        <v>58</v>
      </c>
      <c r="I129" s="49" t="s">
        <v>65</v>
      </c>
      <c r="J129" s="50" t="s">
        <v>230</v>
      </c>
      <c r="K129" s="48" t="s">
        <v>131</v>
      </c>
      <c r="L129" s="49" t="s">
        <v>256</v>
      </c>
      <c r="M129" s="48" t="s">
        <v>29</v>
      </c>
      <c r="N129" s="28" t="s">
        <v>165</v>
      </c>
      <c r="O129" s="29" t="s">
        <v>33</v>
      </c>
      <c r="P129" s="37">
        <v>50.39</v>
      </c>
      <c r="Q129" s="38">
        <f t="shared" si="19"/>
        <v>0.22405239134748955</v>
      </c>
      <c r="R129" s="39">
        <f t="shared" si="20"/>
        <v>39.1</v>
      </c>
      <c r="S129" s="44">
        <v>0.15</v>
      </c>
      <c r="T129" s="45">
        <v>46</v>
      </c>
      <c r="U129" s="39">
        <f t="shared" si="21"/>
        <v>11.29</v>
      </c>
      <c r="V129" s="40" t="str">
        <f t="shared" si="22"/>
        <v>1005820302891452361540</v>
      </c>
      <c r="W129" s="41">
        <v>44531</v>
      </c>
      <c r="X129" s="42">
        <v>70</v>
      </c>
      <c r="Y129" s="46">
        <v>65</v>
      </c>
      <c r="Z129" s="47">
        <f t="shared" si="23"/>
        <v>733.84999999999991</v>
      </c>
      <c r="AA129" s="94">
        <f>260/4</f>
        <v>65</v>
      </c>
      <c r="AB129" s="95">
        <f t="shared" si="17"/>
        <v>733.84999999999991</v>
      </c>
      <c r="AC129" s="94" t="s">
        <v>336</v>
      </c>
      <c r="AD129" s="94">
        <f t="shared" si="18"/>
        <v>0</v>
      </c>
      <c r="AE129" s="96"/>
    </row>
    <row r="130" spans="2:31" x14ac:dyDescent="0.2">
      <c r="B130" s="48" t="s">
        <v>27</v>
      </c>
      <c r="C130" s="48" t="s">
        <v>60</v>
      </c>
      <c r="D130" s="48" t="s">
        <v>69</v>
      </c>
      <c r="E130" s="50" t="s">
        <v>254</v>
      </c>
      <c r="F130" s="50" t="s">
        <v>254</v>
      </c>
      <c r="G130" s="49" t="s">
        <v>251</v>
      </c>
      <c r="H130" s="49" t="s">
        <v>58</v>
      </c>
      <c r="I130" s="49" t="s">
        <v>65</v>
      </c>
      <c r="J130" s="50" t="s">
        <v>230</v>
      </c>
      <c r="K130" s="48" t="s">
        <v>131</v>
      </c>
      <c r="L130" s="49" t="s">
        <v>256</v>
      </c>
      <c r="M130" s="48" t="s">
        <v>34</v>
      </c>
      <c r="N130" s="28" t="s">
        <v>167</v>
      </c>
      <c r="O130" s="29" t="s">
        <v>36</v>
      </c>
      <c r="P130" s="37">
        <v>26.44</v>
      </c>
      <c r="Q130" s="38">
        <f t="shared" si="19"/>
        <v>0.29954328832406674</v>
      </c>
      <c r="R130" s="39">
        <f t="shared" si="20"/>
        <v>18.520075456711677</v>
      </c>
      <c r="S130" s="44">
        <v>0.15</v>
      </c>
      <c r="T130" s="45">
        <v>21.788324066719621</v>
      </c>
      <c r="U130" s="39">
        <f t="shared" si="21"/>
        <v>7.9199245432883245</v>
      </c>
      <c r="V130" s="40" t="str">
        <f t="shared" si="22"/>
        <v>1005820302891452361532</v>
      </c>
      <c r="W130" s="41">
        <v>44531</v>
      </c>
      <c r="X130" s="42">
        <v>150</v>
      </c>
      <c r="Y130" s="46">
        <v>180</v>
      </c>
      <c r="Z130" s="47">
        <f t="shared" si="23"/>
        <v>1425.5864177918984</v>
      </c>
      <c r="AA130" s="94">
        <f>360/2</f>
        <v>180</v>
      </c>
      <c r="AB130" s="95">
        <f t="shared" si="17"/>
        <v>1425.5864177918984</v>
      </c>
      <c r="AC130" s="94" t="s">
        <v>336</v>
      </c>
      <c r="AD130" s="94">
        <f t="shared" si="18"/>
        <v>0</v>
      </c>
      <c r="AE130" s="96"/>
    </row>
    <row r="131" spans="2:31" x14ac:dyDescent="0.2">
      <c r="B131" s="48" t="s">
        <v>27</v>
      </c>
      <c r="C131" s="48" t="s">
        <v>60</v>
      </c>
      <c r="D131" s="48" t="s">
        <v>69</v>
      </c>
      <c r="E131" s="50" t="s">
        <v>254</v>
      </c>
      <c r="F131" s="50" t="s">
        <v>254</v>
      </c>
      <c r="G131" s="49" t="s">
        <v>251</v>
      </c>
      <c r="H131" s="49" t="s">
        <v>58</v>
      </c>
      <c r="I131" s="49" t="s">
        <v>65</v>
      </c>
      <c r="J131" s="50" t="s">
        <v>230</v>
      </c>
      <c r="K131" s="48" t="s">
        <v>131</v>
      </c>
      <c r="L131" s="49" t="s">
        <v>256</v>
      </c>
      <c r="M131" s="48" t="s">
        <v>34</v>
      </c>
      <c r="N131" s="28" t="s">
        <v>173</v>
      </c>
      <c r="O131" s="29" t="s">
        <v>47</v>
      </c>
      <c r="P131" s="37">
        <v>41.42</v>
      </c>
      <c r="Q131" s="38">
        <f t="shared" si="19"/>
        <v>0.56971212490851419</v>
      </c>
      <c r="R131" s="39">
        <f t="shared" si="20"/>
        <v>17.822523786289342</v>
      </c>
      <c r="S131" s="44">
        <v>0.15</v>
      </c>
      <c r="T131" s="45">
        <v>20.967675042693344</v>
      </c>
      <c r="U131" s="39">
        <f t="shared" si="21"/>
        <v>23.59747621371066</v>
      </c>
      <c r="V131" s="40" t="str">
        <f t="shared" si="22"/>
        <v>1005820302891452361535</v>
      </c>
      <c r="W131" s="41">
        <v>44531</v>
      </c>
      <c r="X131" s="42">
        <v>30</v>
      </c>
      <c r="Y131" s="46"/>
      <c r="Z131" s="47">
        <f t="shared" si="23"/>
        <v>0</v>
      </c>
      <c r="AA131" s="94" t="s">
        <v>335</v>
      </c>
      <c r="AB131" s="95">
        <f t="shared" si="17"/>
        <v>0</v>
      </c>
      <c r="AC131" s="94"/>
      <c r="AD131" s="94">
        <f t="shared" si="18"/>
        <v>0</v>
      </c>
      <c r="AE131" s="96"/>
    </row>
    <row r="132" spans="2:31" x14ac:dyDescent="0.2">
      <c r="B132" s="48" t="s">
        <v>27</v>
      </c>
      <c r="C132" s="48" t="s">
        <v>60</v>
      </c>
      <c r="D132" s="48" t="s">
        <v>69</v>
      </c>
      <c r="E132" s="50" t="s">
        <v>254</v>
      </c>
      <c r="F132" s="50" t="s">
        <v>254</v>
      </c>
      <c r="G132" s="49" t="s">
        <v>251</v>
      </c>
      <c r="H132" s="49" t="s">
        <v>58</v>
      </c>
      <c r="I132" s="49" t="s">
        <v>65</v>
      </c>
      <c r="J132" s="50" t="s">
        <v>230</v>
      </c>
      <c r="K132" s="48" t="s">
        <v>131</v>
      </c>
      <c r="L132" s="49" t="s">
        <v>256</v>
      </c>
      <c r="M132" s="48" t="s">
        <v>29</v>
      </c>
      <c r="N132" s="28" t="s">
        <v>162</v>
      </c>
      <c r="O132" s="29" t="s">
        <v>31</v>
      </c>
      <c r="P132" s="37">
        <v>25.86</v>
      </c>
      <c r="Q132" s="38">
        <f t="shared" si="19"/>
        <v>8.290360967869892E-2</v>
      </c>
      <c r="R132" s="39">
        <f t="shared" si="20"/>
        <v>23.716112653708844</v>
      </c>
      <c r="S132" s="44">
        <v>0.15</v>
      </c>
      <c r="T132" s="45">
        <v>27.901309004363348</v>
      </c>
      <c r="U132" s="39">
        <f t="shared" si="21"/>
        <v>2.1438873462911552</v>
      </c>
      <c r="V132" s="40" t="str">
        <f t="shared" si="22"/>
        <v>1005820302891452361571</v>
      </c>
      <c r="W132" s="41">
        <v>44531</v>
      </c>
      <c r="X132" s="42">
        <v>70</v>
      </c>
      <c r="Y132" s="46"/>
      <c r="Z132" s="47">
        <f t="shared" si="23"/>
        <v>0</v>
      </c>
      <c r="AA132" s="94" t="s">
        <v>335</v>
      </c>
      <c r="AB132" s="95">
        <f t="shared" si="17"/>
        <v>0</v>
      </c>
      <c r="AC132" s="94"/>
      <c r="AD132" s="94">
        <f t="shared" si="18"/>
        <v>0</v>
      </c>
      <c r="AE132" s="96"/>
    </row>
    <row r="133" spans="2:31" x14ac:dyDescent="0.2">
      <c r="B133" s="48" t="s">
        <v>27</v>
      </c>
      <c r="C133" s="48" t="s">
        <v>60</v>
      </c>
      <c r="D133" s="48" t="s">
        <v>69</v>
      </c>
      <c r="E133" s="50" t="s">
        <v>254</v>
      </c>
      <c r="F133" s="50" t="s">
        <v>254</v>
      </c>
      <c r="G133" s="49" t="s">
        <v>257</v>
      </c>
      <c r="H133" s="49" t="s">
        <v>44</v>
      </c>
      <c r="I133" s="49" t="s">
        <v>45</v>
      </c>
      <c r="J133" s="50" t="s">
        <v>231</v>
      </c>
      <c r="K133" s="48" t="s">
        <v>132</v>
      </c>
      <c r="L133" s="49" t="s">
        <v>256</v>
      </c>
      <c r="M133" s="48" t="s">
        <v>29</v>
      </c>
      <c r="N133" s="28" t="s">
        <v>183</v>
      </c>
      <c r="O133" s="29" t="s">
        <v>62</v>
      </c>
      <c r="P133" s="37">
        <v>54.46</v>
      </c>
      <c r="Q133" s="38">
        <f t="shared" si="19"/>
        <v>0</v>
      </c>
      <c r="R133" s="39">
        <f t="shared" si="20"/>
        <v>54.460000000000008</v>
      </c>
      <c r="S133" s="44">
        <v>0.15</v>
      </c>
      <c r="T133" s="45">
        <v>64.070588235294125</v>
      </c>
      <c r="U133" s="39">
        <f t="shared" si="21"/>
        <v>0</v>
      </c>
      <c r="V133" s="40" t="str">
        <f t="shared" si="22"/>
        <v>1005820202961518361421</v>
      </c>
      <c r="W133" s="41">
        <v>44531</v>
      </c>
      <c r="X133" s="42"/>
      <c r="Y133" s="46"/>
      <c r="Z133" s="47">
        <f t="shared" si="23"/>
        <v>0</v>
      </c>
      <c r="AA133" s="94" t="s">
        <v>335</v>
      </c>
      <c r="AB133" s="95">
        <f t="shared" si="17"/>
        <v>0</v>
      </c>
      <c r="AC133" s="94"/>
      <c r="AD133" s="94">
        <f t="shared" si="18"/>
        <v>0</v>
      </c>
      <c r="AE133" s="96"/>
    </row>
    <row r="134" spans="2:31" x14ac:dyDescent="0.2">
      <c r="B134" s="48" t="s">
        <v>27</v>
      </c>
      <c r="C134" s="48" t="s">
        <v>60</v>
      </c>
      <c r="D134" s="48" t="s">
        <v>69</v>
      </c>
      <c r="E134" s="50" t="s">
        <v>254</v>
      </c>
      <c r="F134" s="50" t="s">
        <v>254</v>
      </c>
      <c r="G134" s="49" t="s">
        <v>257</v>
      </c>
      <c r="H134" s="49" t="s">
        <v>44</v>
      </c>
      <c r="I134" s="49" t="s">
        <v>45</v>
      </c>
      <c r="J134" s="50" t="s">
        <v>231</v>
      </c>
      <c r="K134" s="48" t="s">
        <v>132</v>
      </c>
      <c r="L134" s="49" t="s">
        <v>256</v>
      </c>
      <c r="M134" s="48" t="s">
        <v>29</v>
      </c>
      <c r="N134" s="28" t="s">
        <v>165</v>
      </c>
      <c r="O134" s="29" t="s">
        <v>33</v>
      </c>
      <c r="P134" s="37">
        <v>50.39</v>
      </c>
      <c r="Q134" s="38">
        <f t="shared" ref="Q134:Q165" si="24">IF(1-R134/P134&lt;0%,0,1-R134/P134)</f>
        <v>0.16197658265528869</v>
      </c>
      <c r="R134" s="39">
        <f t="shared" ref="R134:R165" si="25">+T134*(100%-S134)</f>
        <v>42.228000000000002</v>
      </c>
      <c r="S134" s="44">
        <v>0.15</v>
      </c>
      <c r="T134" s="45">
        <v>49.68</v>
      </c>
      <c r="U134" s="39">
        <f t="shared" ref="U134:U165" si="26">+IF(P134-R134&lt;0,0,P134-R134)</f>
        <v>8.161999999999999</v>
      </c>
      <c r="V134" s="40" t="str">
        <f t="shared" ref="V134:V165" si="27">+CONCATENATE(TRIM(F134),TRIM(J134),TRIM(N134))</f>
        <v>1005820202961518361540</v>
      </c>
      <c r="W134" s="41">
        <v>44531</v>
      </c>
      <c r="X134" s="42"/>
      <c r="Y134" s="46"/>
      <c r="Z134" s="47">
        <f t="shared" ref="Z134:Z165" si="28">IFERROR(U134*Y134,0)</f>
        <v>0</v>
      </c>
      <c r="AA134" s="94" t="s">
        <v>335</v>
      </c>
      <c r="AB134" s="95">
        <f t="shared" si="17"/>
        <v>0</v>
      </c>
      <c r="AC134" s="94"/>
      <c r="AD134" s="94">
        <f t="shared" si="18"/>
        <v>0</v>
      </c>
      <c r="AE134" s="96"/>
    </row>
    <row r="135" spans="2:31" x14ac:dyDescent="0.2">
      <c r="B135" s="48" t="s">
        <v>27</v>
      </c>
      <c r="C135" s="48" t="s">
        <v>60</v>
      </c>
      <c r="D135" s="48" t="s">
        <v>69</v>
      </c>
      <c r="E135" s="50" t="s">
        <v>254</v>
      </c>
      <c r="F135" s="50" t="s">
        <v>254</v>
      </c>
      <c r="G135" s="49" t="s">
        <v>257</v>
      </c>
      <c r="H135" s="49" t="s">
        <v>44</v>
      </c>
      <c r="I135" s="49" t="s">
        <v>45</v>
      </c>
      <c r="J135" s="50" t="s">
        <v>231</v>
      </c>
      <c r="K135" s="48" t="s">
        <v>132</v>
      </c>
      <c r="L135" s="49" t="s">
        <v>256</v>
      </c>
      <c r="M135" s="48" t="s">
        <v>38</v>
      </c>
      <c r="N135" s="28" t="s">
        <v>170</v>
      </c>
      <c r="O135" s="29" t="s">
        <v>40</v>
      </c>
      <c r="P135" s="37">
        <v>58.09</v>
      </c>
      <c r="Q135" s="38">
        <f t="shared" si="24"/>
        <v>0.22719917369598897</v>
      </c>
      <c r="R135" s="39">
        <f t="shared" si="25"/>
        <v>44.892000000000003</v>
      </c>
      <c r="S135" s="44">
        <v>0.13</v>
      </c>
      <c r="T135" s="45">
        <v>51.6</v>
      </c>
      <c r="U135" s="39">
        <f t="shared" si="26"/>
        <v>13.198</v>
      </c>
      <c r="V135" s="40" t="str">
        <f t="shared" si="27"/>
        <v>1005820202961518361424</v>
      </c>
      <c r="W135" s="41">
        <v>44531</v>
      </c>
      <c r="X135" s="42"/>
      <c r="Y135" s="46"/>
      <c r="Z135" s="47">
        <f t="shared" si="28"/>
        <v>0</v>
      </c>
      <c r="AA135" s="94" t="s">
        <v>335</v>
      </c>
      <c r="AB135" s="95">
        <f t="shared" ref="AB135:AB198" si="29">IFERROR(AA135*U135,0)</f>
        <v>0</v>
      </c>
      <c r="AC135" s="94"/>
      <c r="AD135" s="94">
        <f t="shared" ref="AD135:AD198" si="30">IFERROR(Z135-AB135,0)</f>
        <v>0</v>
      </c>
      <c r="AE135" s="96"/>
    </row>
    <row r="136" spans="2:31" x14ac:dyDescent="0.2">
      <c r="B136" s="48" t="s">
        <v>27</v>
      </c>
      <c r="C136" s="48" t="s">
        <v>60</v>
      </c>
      <c r="D136" s="48" t="s">
        <v>69</v>
      </c>
      <c r="E136" s="50" t="s">
        <v>254</v>
      </c>
      <c r="F136" s="50" t="s">
        <v>254</v>
      </c>
      <c r="G136" s="49" t="s">
        <v>253</v>
      </c>
      <c r="H136" s="49" t="s">
        <v>44</v>
      </c>
      <c r="I136" s="49" t="s">
        <v>59</v>
      </c>
      <c r="J136" s="50" t="s">
        <v>232</v>
      </c>
      <c r="K136" s="48" t="s">
        <v>133</v>
      </c>
      <c r="L136" s="49" t="s">
        <v>256</v>
      </c>
      <c r="M136" s="48" t="s">
        <v>29</v>
      </c>
      <c r="N136" s="28" t="s">
        <v>179</v>
      </c>
      <c r="O136" s="29" t="s">
        <v>54</v>
      </c>
      <c r="P136" s="37">
        <v>39.619999999999997</v>
      </c>
      <c r="Q136" s="38">
        <f t="shared" si="24"/>
        <v>0.21736496718828879</v>
      </c>
      <c r="R136" s="39">
        <f t="shared" si="25"/>
        <v>31.007999999999996</v>
      </c>
      <c r="S136" s="44">
        <v>0.15</v>
      </c>
      <c r="T136" s="45">
        <v>36.479999999999997</v>
      </c>
      <c r="U136" s="39">
        <f t="shared" si="26"/>
        <v>8.6120000000000019</v>
      </c>
      <c r="V136" s="40" t="str">
        <f t="shared" si="27"/>
        <v>1005820100032709360374</v>
      </c>
      <c r="W136" s="41">
        <v>44531</v>
      </c>
      <c r="X136" s="42"/>
      <c r="Y136" s="46"/>
      <c r="Z136" s="47">
        <f t="shared" si="28"/>
        <v>0</v>
      </c>
      <c r="AA136" s="94" t="s">
        <v>335</v>
      </c>
      <c r="AB136" s="95">
        <f t="shared" si="29"/>
        <v>0</v>
      </c>
      <c r="AC136" s="94"/>
      <c r="AD136" s="94">
        <f t="shared" si="30"/>
        <v>0</v>
      </c>
      <c r="AE136" s="96"/>
    </row>
    <row r="137" spans="2:31" x14ac:dyDescent="0.2">
      <c r="B137" s="48" t="s">
        <v>27</v>
      </c>
      <c r="C137" s="48" t="s">
        <v>60</v>
      </c>
      <c r="D137" s="48" t="s">
        <v>69</v>
      </c>
      <c r="E137" s="50" t="s">
        <v>254</v>
      </c>
      <c r="F137" s="50" t="s">
        <v>254</v>
      </c>
      <c r="G137" s="49" t="s">
        <v>253</v>
      </c>
      <c r="H137" s="49" t="s">
        <v>44</v>
      </c>
      <c r="I137" s="49" t="s">
        <v>59</v>
      </c>
      <c r="J137" s="50" t="s">
        <v>232</v>
      </c>
      <c r="K137" s="48" t="s">
        <v>133</v>
      </c>
      <c r="L137" s="49" t="s">
        <v>256</v>
      </c>
      <c r="M137" s="48" t="s">
        <v>34</v>
      </c>
      <c r="N137" s="28" t="s">
        <v>166</v>
      </c>
      <c r="O137" s="29" t="s">
        <v>35</v>
      </c>
      <c r="P137" s="37">
        <v>112.81</v>
      </c>
      <c r="Q137" s="38">
        <f t="shared" si="24"/>
        <v>0.16577885391444713</v>
      </c>
      <c r="R137" s="39">
        <f t="shared" si="25"/>
        <v>94.108487489911226</v>
      </c>
      <c r="S137" s="44">
        <v>0.15</v>
      </c>
      <c r="T137" s="45">
        <v>110.71586763518968</v>
      </c>
      <c r="U137" s="39">
        <f t="shared" si="26"/>
        <v>18.701512510088776</v>
      </c>
      <c r="V137" s="40" t="str">
        <f t="shared" si="27"/>
        <v>1005820100032709361531</v>
      </c>
      <c r="W137" s="41">
        <v>44531</v>
      </c>
      <c r="X137" s="42"/>
      <c r="Y137" s="46"/>
      <c r="Z137" s="47">
        <f t="shared" si="28"/>
        <v>0</v>
      </c>
      <c r="AA137" s="94" t="s">
        <v>335</v>
      </c>
      <c r="AB137" s="95">
        <f t="shared" si="29"/>
        <v>0</v>
      </c>
      <c r="AC137" s="94"/>
      <c r="AD137" s="94">
        <f t="shared" si="30"/>
        <v>0</v>
      </c>
      <c r="AE137" s="96"/>
    </row>
    <row r="138" spans="2:31" x14ac:dyDescent="0.2">
      <c r="B138" s="48" t="s">
        <v>27</v>
      </c>
      <c r="C138" s="48" t="s">
        <v>60</v>
      </c>
      <c r="D138" s="48" t="s">
        <v>69</v>
      </c>
      <c r="E138" s="50" t="s">
        <v>254</v>
      </c>
      <c r="F138" s="50" t="s">
        <v>254</v>
      </c>
      <c r="G138" s="49" t="s">
        <v>253</v>
      </c>
      <c r="H138" s="49" t="s">
        <v>44</v>
      </c>
      <c r="I138" s="49" t="s">
        <v>59</v>
      </c>
      <c r="J138" s="50" t="s">
        <v>232</v>
      </c>
      <c r="K138" s="48" t="s">
        <v>133</v>
      </c>
      <c r="L138" s="49" t="s">
        <v>256</v>
      </c>
      <c r="M138" s="48" t="s">
        <v>34</v>
      </c>
      <c r="N138" s="28" t="s">
        <v>178</v>
      </c>
      <c r="O138" s="29" t="s">
        <v>53</v>
      </c>
      <c r="P138" s="37">
        <v>70.59</v>
      </c>
      <c r="Q138" s="38">
        <f t="shared" si="24"/>
        <v>0.31730353280461421</v>
      </c>
      <c r="R138" s="39">
        <f t="shared" si="25"/>
        <v>48.191543619322289</v>
      </c>
      <c r="S138" s="44">
        <v>0.15</v>
      </c>
      <c r="T138" s="45">
        <v>56.695933669790932</v>
      </c>
      <c r="U138" s="39">
        <f t="shared" si="26"/>
        <v>22.398456380677715</v>
      </c>
      <c r="V138" s="40" t="str">
        <f t="shared" si="27"/>
        <v>1005820100032709361533</v>
      </c>
      <c r="W138" s="41">
        <v>44531</v>
      </c>
      <c r="X138" s="42"/>
      <c r="Y138" s="46">
        <v>223</v>
      </c>
      <c r="Z138" s="47">
        <f t="shared" si="28"/>
        <v>4994.8557728911301</v>
      </c>
      <c r="AA138" s="94">
        <f>(25+10+180+16+180+25+10)/2</f>
        <v>223</v>
      </c>
      <c r="AB138" s="95">
        <f t="shared" si="29"/>
        <v>4994.8557728911301</v>
      </c>
      <c r="AC138" s="94" t="s">
        <v>336</v>
      </c>
      <c r="AD138" s="94">
        <f t="shared" si="30"/>
        <v>0</v>
      </c>
      <c r="AE138" s="96"/>
    </row>
    <row r="139" spans="2:31" x14ac:dyDescent="0.2">
      <c r="B139" s="48" t="s">
        <v>27</v>
      </c>
      <c r="C139" s="48" t="s">
        <v>60</v>
      </c>
      <c r="D139" s="48" t="s">
        <v>69</v>
      </c>
      <c r="E139" s="50" t="s">
        <v>254</v>
      </c>
      <c r="F139" s="50" t="s">
        <v>254</v>
      </c>
      <c r="G139" s="49" t="s">
        <v>257</v>
      </c>
      <c r="H139" s="49" t="s">
        <v>44</v>
      </c>
      <c r="I139" s="49" t="s">
        <v>45</v>
      </c>
      <c r="J139" s="50" t="s">
        <v>233</v>
      </c>
      <c r="K139" s="48" t="s">
        <v>134</v>
      </c>
      <c r="L139" s="49" t="s">
        <v>256</v>
      </c>
      <c r="M139" s="48" t="s">
        <v>28</v>
      </c>
      <c r="N139" s="28" t="s">
        <v>267</v>
      </c>
      <c r="O139" s="29" t="s">
        <v>266</v>
      </c>
      <c r="P139" s="37">
        <v>54.03</v>
      </c>
      <c r="Q139" s="38">
        <f t="shared" si="24"/>
        <v>0.34495994037637423</v>
      </c>
      <c r="R139" s="39">
        <f t="shared" si="25"/>
        <v>35.391814421464503</v>
      </c>
      <c r="S139" s="44">
        <v>0.15</v>
      </c>
      <c r="T139" s="45">
        <v>41.637428731134712</v>
      </c>
      <c r="U139" s="39">
        <f t="shared" si="26"/>
        <v>18.638185578535499</v>
      </c>
      <c r="V139" s="40" t="str">
        <f t="shared" si="27"/>
        <v>1005820601657172361311</v>
      </c>
      <c r="W139" s="41">
        <v>44531</v>
      </c>
      <c r="X139" s="42"/>
      <c r="Y139" s="46"/>
      <c r="Z139" s="47">
        <f t="shared" si="28"/>
        <v>0</v>
      </c>
      <c r="AA139" s="94" t="s">
        <v>335</v>
      </c>
      <c r="AB139" s="95">
        <f t="shared" si="29"/>
        <v>0</v>
      </c>
      <c r="AC139" s="94"/>
      <c r="AD139" s="94">
        <f t="shared" si="30"/>
        <v>0</v>
      </c>
      <c r="AE139" s="96"/>
    </row>
    <row r="140" spans="2:31" x14ac:dyDescent="0.2">
      <c r="B140" s="48" t="s">
        <v>27</v>
      </c>
      <c r="C140" s="48" t="s">
        <v>60</v>
      </c>
      <c r="D140" s="48" t="s">
        <v>69</v>
      </c>
      <c r="E140" s="50" t="s">
        <v>254</v>
      </c>
      <c r="F140" s="50" t="s">
        <v>254</v>
      </c>
      <c r="G140" s="49" t="s">
        <v>257</v>
      </c>
      <c r="H140" s="49" t="s">
        <v>44</v>
      </c>
      <c r="I140" s="49" t="s">
        <v>45</v>
      </c>
      <c r="J140" s="50" t="s">
        <v>233</v>
      </c>
      <c r="K140" s="48" t="s">
        <v>134</v>
      </c>
      <c r="L140" s="49" t="s">
        <v>256</v>
      </c>
      <c r="M140" s="48" t="s">
        <v>29</v>
      </c>
      <c r="N140" s="28" t="s">
        <v>172</v>
      </c>
      <c r="O140" s="29" t="s">
        <v>46</v>
      </c>
      <c r="P140" s="37">
        <v>11.89</v>
      </c>
      <c r="Q140" s="38">
        <f t="shared" si="24"/>
        <v>0.25173460537727665</v>
      </c>
      <c r="R140" s="39">
        <f t="shared" si="25"/>
        <v>8.8968755420641816</v>
      </c>
      <c r="S140" s="44">
        <v>0.15</v>
      </c>
      <c r="T140" s="45">
        <v>10.466912402428449</v>
      </c>
      <c r="U140" s="39">
        <f t="shared" si="26"/>
        <v>2.9931244579358189</v>
      </c>
      <c r="V140" s="40" t="str">
        <f t="shared" si="27"/>
        <v>1005820601657172361085</v>
      </c>
      <c r="W140" s="41">
        <v>44531</v>
      </c>
      <c r="X140" s="42"/>
      <c r="Y140" s="46"/>
      <c r="Z140" s="47">
        <f t="shared" si="28"/>
        <v>0</v>
      </c>
      <c r="AA140" s="94" t="s">
        <v>335</v>
      </c>
      <c r="AB140" s="95">
        <f t="shared" si="29"/>
        <v>0</v>
      </c>
      <c r="AC140" s="94"/>
      <c r="AD140" s="94">
        <f t="shared" si="30"/>
        <v>0</v>
      </c>
      <c r="AE140" s="96"/>
    </row>
    <row r="141" spans="2:31" x14ac:dyDescent="0.2">
      <c r="B141" s="48" t="s">
        <v>27</v>
      </c>
      <c r="C141" s="48" t="s">
        <v>60</v>
      </c>
      <c r="D141" s="48" t="s">
        <v>69</v>
      </c>
      <c r="E141" s="50" t="s">
        <v>254</v>
      </c>
      <c r="F141" s="50" t="s">
        <v>254</v>
      </c>
      <c r="G141" s="49" t="s">
        <v>257</v>
      </c>
      <c r="H141" s="49" t="s">
        <v>44</v>
      </c>
      <c r="I141" s="49" t="s">
        <v>45</v>
      </c>
      <c r="J141" s="50" t="s">
        <v>233</v>
      </c>
      <c r="K141" s="48" t="s">
        <v>134</v>
      </c>
      <c r="L141" s="49" t="s">
        <v>256</v>
      </c>
      <c r="M141" s="48" t="s">
        <v>29</v>
      </c>
      <c r="N141" s="28" t="s">
        <v>165</v>
      </c>
      <c r="O141" s="29" t="s">
        <v>33</v>
      </c>
      <c r="P141" s="37">
        <v>50.39</v>
      </c>
      <c r="Q141" s="38">
        <f t="shared" si="24"/>
        <v>0.26116292915260975</v>
      </c>
      <c r="R141" s="39">
        <f t="shared" si="25"/>
        <v>37.229999999999997</v>
      </c>
      <c r="S141" s="44">
        <v>0.15</v>
      </c>
      <c r="T141" s="45">
        <v>43.8</v>
      </c>
      <c r="U141" s="39">
        <f t="shared" si="26"/>
        <v>13.160000000000004</v>
      </c>
      <c r="V141" s="40" t="str">
        <f t="shared" si="27"/>
        <v>1005820601657172361540</v>
      </c>
      <c r="W141" s="41">
        <v>44531</v>
      </c>
      <c r="X141" s="42"/>
      <c r="Y141" s="46"/>
      <c r="Z141" s="47">
        <f t="shared" si="28"/>
        <v>0</v>
      </c>
      <c r="AA141" s="94" t="s">
        <v>335</v>
      </c>
      <c r="AB141" s="95">
        <f t="shared" si="29"/>
        <v>0</v>
      </c>
      <c r="AC141" s="94"/>
      <c r="AD141" s="94">
        <f t="shared" si="30"/>
        <v>0</v>
      </c>
      <c r="AE141" s="96"/>
    </row>
    <row r="142" spans="2:31" x14ac:dyDescent="0.2">
      <c r="B142" s="48" t="s">
        <v>27</v>
      </c>
      <c r="C142" s="48" t="s">
        <v>60</v>
      </c>
      <c r="D142" s="48" t="s">
        <v>69</v>
      </c>
      <c r="E142" s="50" t="s">
        <v>254</v>
      </c>
      <c r="F142" s="50" t="s">
        <v>254</v>
      </c>
      <c r="G142" s="49" t="s">
        <v>257</v>
      </c>
      <c r="H142" s="49" t="s">
        <v>44</v>
      </c>
      <c r="I142" s="49" t="s">
        <v>45</v>
      </c>
      <c r="J142" s="50" t="s">
        <v>233</v>
      </c>
      <c r="K142" s="48" t="s">
        <v>134</v>
      </c>
      <c r="L142" s="49" t="s">
        <v>256</v>
      </c>
      <c r="M142" s="48" t="s">
        <v>34</v>
      </c>
      <c r="N142" s="28" t="s">
        <v>166</v>
      </c>
      <c r="O142" s="29" t="s">
        <v>35</v>
      </c>
      <c r="P142" s="37">
        <v>112.81</v>
      </c>
      <c r="Q142" s="38">
        <f t="shared" si="24"/>
        <v>0.2659402744148508</v>
      </c>
      <c r="R142" s="39">
        <f t="shared" si="25"/>
        <v>82.809277643260685</v>
      </c>
      <c r="S142" s="44">
        <v>0.15</v>
      </c>
      <c r="T142" s="45">
        <v>97.422679580306692</v>
      </c>
      <c r="U142" s="39">
        <f t="shared" si="26"/>
        <v>30.000722356739317</v>
      </c>
      <c r="V142" s="40" t="str">
        <f t="shared" si="27"/>
        <v>1005820601657172361531</v>
      </c>
      <c r="W142" s="41">
        <v>44531</v>
      </c>
      <c r="X142" s="42"/>
      <c r="Y142" s="46"/>
      <c r="Z142" s="47">
        <f t="shared" si="28"/>
        <v>0</v>
      </c>
      <c r="AA142" s="94" t="s">
        <v>335</v>
      </c>
      <c r="AB142" s="95">
        <f t="shared" si="29"/>
        <v>0</v>
      </c>
      <c r="AC142" s="94"/>
      <c r="AD142" s="94">
        <f t="shared" si="30"/>
        <v>0</v>
      </c>
      <c r="AE142" s="96"/>
    </row>
    <row r="143" spans="2:31" x14ac:dyDescent="0.2">
      <c r="B143" s="48" t="s">
        <v>27</v>
      </c>
      <c r="C143" s="48" t="s">
        <v>60</v>
      </c>
      <c r="D143" s="48" t="s">
        <v>69</v>
      </c>
      <c r="E143" s="50" t="s">
        <v>254</v>
      </c>
      <c r="F143" s="50" t="s">
        <v>254</v>
      </c>
      <c r="G143" s="49" t="s">
        <v>257</v>
      </c>
      <c r="H143" s="49" t="s">
        <v>44</v>
      </c>
      <c r="I143" s="49" t="s">
        <v>45</v>
      </c>
      <c r="J143" s="50" t="s">
        <v>233</v>
      </c>
      <c r="K143" s="48" t="s">
        <v>134</v>
      </c>
      <c r="L143" s="49" t="s">
        <v>256</v>
      </c>
      <c r="M143" s="48" t="s">
        <v>34</v>
      </c>
      <c r="N143" s="28" t="s">
        <v>168</v>
      </c>
      <c r="O143" s="29" t="s">
        <v>37</v>
      </c>
      <c r="P143" s="37">
        <v>19.02</v>
      </c>
      <c r="Q143" s="38">
        <f t="shared" si="24"/>
        <v>8.4752891692954746E-2</v>
      </c>
      <c r="R143" s="39">
        <f t="shared" si="25"/>
        <v>17.408000000000001</v>
      </c>
      <c r="S143" s="44">
        <v>0.15</v>
      </c>
      <c r="T143" s="45">
        <v>20.48</v>
      </c>
      <c r="U143" s="39">
        <f t="shared" si="26"/>
        <v>1.6119999999999983</v>
      </c>
      <c r="V143" s="40" t="str">
        <f t="shared" si="27"/>
        <v>1005820601657172361429</v>
      </c>
      <c r="W143" s="41">
        <v>44531</v>
      </c>
      <c r="X143" s="42"/>
      <c r="Y143" s="46"/>
      <c r="Z143" s="47">
        <f t="shared" si="28"/>
        <v>0</v>
      </c>
      <c r="AA143" s="94" t="s">
        <v>335</v>
      </c>
      <c r="AB143" s="95">
        <f t="shared" si="29"/>
        <v>0</v>
      </c>
      <c r="AC143" s="94"/>
      <c r="AD143" s="94">
        <f t="shared" si="30"/>
        <v>0</v>
      </c>
      <c r="AE143" s="96"/>
    </row>
    <row r="144" spans="2:31" x14ac:dyDescent="0.2">
      <c r="B144" s="48" t="s">
        <v>27</v>
      </c>
      <c r="C144" s="48" t="s">
        <v>60</v>
      </c>
      <c r="D144" s="48" t="s">
        <v>69</v>
      </c>
      <c r="E144" s="50" t="s">
        <v>254</v>
      </c>
      <c r="F144" s="50" t="s">
        <v>254</v>
      </c>
      <c r="G144" s="49" t="s">
        <v>255</v>
      </c>
      <c r="H144" s="49" t="s">
        <v>44</v>
      </c>
      <c r="I144" s="49" t="s">
        <v>135</v>
      </c>
      <c r="J144" s="50" t="s">
        <v>234</v>
      </c>
      <c r="K144" s="48" t="s">
        <v>136</v>
      </c>
      <c r="L144" s="49" t="s">
        <v>256</v>
      </c>
      <c r="M144" s="48" t="s">
        <v>29</v>
      </c>
      <c r="N144" s="28" t="s">
        <v>165</v>
      </c>
      <c r="O144" s="29" t="s">
        <v>33</v>
      </c>
      <c r="P144" s="37">
        <v>50.39</v>
      </c>
      <c r="Q144" s="38">
        <f t="shared" si="24"/>
        <v>0.22000396904147645</v>
      </c>
      <c r="R144" s="39">
        <f t="shared" si="25"/>
        <v>39.304000000000002</v>
      </c>
      <c r="S144" s="44">
        <v>0.15</v>
      </c>
      <c r="T144" s="45">
        <v>46.24</v>
      </c>
      <c r="U144" s="39">
        <f t="shared" si="26"/>
        <v>11.085999999999999</v>
      </c>
      <c r="V144" s="40" t="str">
        <f t="shared" si="27"/>
        <v>1005820302241598361540</v>
      </c>
      <c r="W144" s="41">
        <v>44531</v>
      </c>
      <c r="X144" s="42"/>
      <c r="Y144" s="46">
        <v>12.5</v>
      </c>
      <c r="Z144" s="47">
        <f t="shared" si="28"/>
        <v>138.57499999999999</v>
      </c>
      <c r="AA144" s="94">
        <f>50/4</f>
        <v>12.5</v>
      </c>
      <c r="AB144" s="95">
        <f t="shared" si="29"/>
        <v>138.57499999999999</v>
      </c>
      <c r="AC144" s="94" t="s">
        <v>336</v>
      </c>
      <c r="AD144" s="94">
        <f t="shared" si="30"/>
        <v>0</v>
      </c>
      <c r="AE144" s="96"/>
    </row>
    <row r="145" spans="2:31" x14ac:dyDescent="0.2">
      <c r="B145" s="48" t="s">
        <v>27</v>
      </c>
      <c r="C145" s="48" t="s">
        <v>60</v>
      </c>
      <c r="D145" s="48" t="s">
        <v>69</v>
      </c>
      <c r="E145" s="50" t="s">
        <v>254</v>
      </c>
      <c r="F145" s="50" t="s">
        <v>254</v>
      </c>
      <c r="G145" s="49" t="s">
        <v>255</v>
      </c>
      <c r="H145" s="49" t="s">
        <v>44</v>
      </c>
      <c r="I145" s="49" t="s">
        <v>135</v>
      </c>
      <c r="J145" s="50" t="s">
        <v>234</v>
      </c>
      <c r="K145" s="48" t="s">
        <v>136</v>
      </c>
      <c r="L145" s="49" t="s">
        <v>256</v>
      </c>
      <c r="M145" s="48" t="s">
        <v>34</v>
      </c>
      <c r="N145" s="28" t="s">
        <v>167</v>
      </c>
      <c r="O145" s="29" t="s">
        <v>36</v>
      </c>
      <c r="P145" s="37">
        <v>26.44</v>
      </c>
      <c r="Q145" s="38">
        <f t="shared" si="24"/>
        <v>2.1048451151707726E-2</v>
      </c>
      <c r="R145" s="39">
        <f t="shared" si="25"/>
        <v>25.883478951548849</v>
      </c>
      <c r="S145" s="44">
        <v>0.15</v>
      </c>
      <c r="T145" s="45">
        <v>30.451151707704529</v>
      </c>
      <c r="U145" s="39">
        <f t="shared" si="26"/>
        <v>0.55652104845115247</v>
      </c>
      <c r="V145" s="40" t="str">
        <f t="shared" si="27"/>
        <v>1005820302241598361532</v>
      </c>
      <c r="W145" s="41">
        <v>44531</v>
      </c>
      <c r="X145" s="42"/>
      <c r="Y145" s="46">
        <v>40</v>
      </c>
      <c r="Z145" s="47">
        <f t="shared" si="28"/>
        <v>22.260841938046099</v>
      </c>
      <c r="AA145" s="94">
        <f>80/2</f>
        <v>40</v>
      </c>
      <c r="AB145" s="95">
        <f t="shared" si="29"/>
        <v>22.260841938046099</v>
      </c>
      <c r="AC145" s="94" t="s">
        <v>336</v>
      </c>
      <c r="AD145" s="94">
        <f t="shared" si="30"/>
        <v>0</v>
      </c>
      <c r="AE145" s="96"/>
    </row>
    <row r="146" spans="2:31" x14ac:dyDescent="0.2">
      <c r="B146" s="48" t="s">
        <v>27</v>
      </c>
      <c r="C146" s="48" t="s">
        <v>60</v>
      </c>
      <c r="D146" s="48" t="s">
        <v>69</v>
      </c>
      <c r="E146" s="50" t="s">
        <v>254</v>
      </c>
      <c r="F146" s="50" t="s">
        <v>254</v>
      </c>
      <c r="G146" s="49" t="s">
        <v>255</v>
      </c>
      <c r="H146" s="49" t="s">
        <v>44</v>
      </c>
      <c r="I146" s="49" t="s">
        <v>64</v>
      </c>
      <c r="J146" s="50" t="s">
        <v>235</v>
      </c>
      <c r="K146" s="48" t="s">
        <v>137</v>
      </c>
      <c r="L146" s="49" t="s">
        <v>256</v>
      </c>
      <c r="M146" s="48" t="s">
        <v>29</v>
      </c>
      <c r="N146" s="28" t="s">
        <v>162</v>
      </c>
      <c r="O146" s="29" t="s">
        <v>31</v>
      </c>
      <c r="P146" s="37">
        <v>25.86</v>
      </c>
      <c r="Q146" s="38">
        <f t="shared" si="24"/>
        <v>0.10313367711225707</v>
      </c>
      <c r="R146" s="39">
        <f t="shared" si="25"/>
        <v>23.192963109877031</v>
      </c>
      <c r="S146" s="44">
        <v>0.15</v>
      </c>
      <c r="T146" s="45">
        <v>27.285838952796507</v>
      </c>
      <c r="U146" s="39">
        <f t="shared" si="26"/>
        <v>2.6670368901229686</v>
      </c>
      <c r="V146" s="40" t="str">
        <f t="shared" si="27"/>
        <v>1005820100095450361571</v>
      </c>
      <c r="W146" s="41">
        <v>44531</v>
      </c>
      <c r="X146" s="42"/>
      <c r="Y146" s="46"/>
      <c r="Z146" s="47">
        <f t="shared" si="28"/>
        <v>0</v>
      </c>
      <c r="AA146" s="94" t="s">
        <v>335</v>
      </c>
      <c r="AB146" s="95">
        <f t="shared" si="29"/>
        <v>0</v>
      </c>
      <c r="AC146" s="94"/>
      <c r="AD146" s="94">
        <f t="shared" si="30"/>
        <v>0</v>
      </c>
      <c r="AE146" s="96"/>
    </row>
    <row r="147" spans="2:31" x14ac:dyDescent="0.2">
      <c r="B147" s="48" t="s">
        <v>27</v>
      </c>
      <c r="C147" s="48" t="s">
        <v>60</v>
      </c>
      <c r="D147" s="48" t="s">
        <v>69</v>
      </c>
      <c r="E147" s="50" t="s">
        <v>254</v>
      </c>
      <c r="F147" s="50" t="s">
        <v>254</v>
      </c>
      <c r="G147" s="49" t="s">
        <v>255</v>
      </c>
      <c r="H147" s="49" t="s">
        <v>44</v>
      </c>
      <c r="I147" s="49" t="s">
        <v>64</v>
      </c>
      <c r="J147" s="50" t="s">
        <v>235</v>
      </c>
      <c r="K147" s="48" t="s">
        <v>137</v>
      </c>
      <c r="L147" s="49" t="s">
        <v>256</v>
      </c>
      <c r="M147" s="48" t="s">
        <v>29</v>
      </c>
      <c r="N147" s="28" t="s">
        <v>162</v>
      </c>
      <c r="O147" s="29" t="s">
        <v>31</v>
      </c>
      <c r="P147" s="37">
        <v>25.86</v>
      </c>
      <c r="Q147" s="38">
        <f t="shared" si="24"/>
        <v>0.10313367711225707</v>
      </c>
      <c r="R147" s="39">
        <f t="shared" si="25"/>
        <v>23.192963109877031</v>
      </c>
      <c r="S147" s="44">
        <v>0.15</v>
      </c>
      <c r="T147" s="45">
        <v>27.285838952796507</v>
      </c>
      <c r="U147" s="39">
        <f t="shared" si="26"/>
        <v>2.6670368901229686</v>
      </c>
      <c r="V147" s="40" t="str">
        <f t="shared" si="27"/>
        <v>1005820100095450361571</v>
      </c>
      <c r="W147" s="41">
        <v>44531</v>
      </c>
      <c r="X147" s="42"/>
      <c r="Y147" s="46"/>
      <c r="Z147" s="47">
        <f t="shared" si="28"/>
        <v>0</v>
      </c>
      <c r="AA147" s="94" t="s">
        <v>335</v>
      </c>
      <c r="AB147" s="95">
        <f t="shared" si="29"/>
        <v>0</v>
      </c>
      <c r="AC147" s="94"/>
      <c r="AD147" s="94">
        <f t="shared" si="30"/>
        <v>0</v>
      </c>
      <c r="AE147" s="96"/>
    </row>
    <row r="148" spans="2:31" x14ac:dyDescent="0.2">
      <c r="B148" s="48" t="s">
        <v>27</v>
      </c>
      <c r="C148" s="48" t="s">
        <v>60</v>
      </c>
      <c r="D148" s="48" t="s">
        <v>69</v>
      </c>
      <c r="E148" s="50" t="s">
        <v>254</v>
      </c>
      <c r="F148" s="50" t="s">
        <v>254</v>
      </c>
      <c r="G148" s="49" t="s">
        <v>255</v>
      </c>
      <c r="H148" s="49" t="s">
        <v>44</v>
      </c>
      <c r="I148" s="49" t="s">
        <v>64</v>
      </c>
      <c r="J148" s="50" t="s">
        <v>235</v>
      </c>
      <c r="K148" s="48" t="s">
        <v>137</v>
      </c>
      <c r="L148" s="49" t="s">
        <v>256</v>
      </c>
      <c r="M148" s="48" t="s">
        <v>34</v>
      </c>
      <c r="N148" s="28" t="s">
        <v>166</v>
      </c>
      <c r="O148" s="29" t="s">
        <v>35</v>
      </c>
      <c r="P148" s="37">
        <v>112.81</v>
      </c>
      <c r="Q148" s="38">
        <f t="shared" si="24"/>
        <v>0.30710250201775646</v>
      </c>
      <c r="R148" s="39">
        <f t="shared" si="25"/>
        <v>78.165766747376892</v>
      </c>
      <c r="S148" s="44">
        <v>0.15</v>
      </c>
      <c r="T148" s="45">
        <v>91.959725585149286</v>
      </c>
      <c r="U148" s="39">
        <f t="shared" si="26"/>
        <v>34.64423325262311</v>
      </c>
      <c r="V148" s="40" t="str">
        <f t="shared" si="27"/>
        <v>1005820100095450361531</v>
      </c>
      <c r="W148" s="41">
        <v>44531</v>
      </c>
      <c r="X148" s="42"/>
      <c r="Y148" s="46"/>
      <c r="Z148" s="47">
        <f t="shared" si="28"/>
        <v>0</v>
      </c>
      <c r="AA148" s="94" t="s">
        <v>335</v>
      </c>
      <c r="AB148" s="95">
        <f t="shared" si="29"/>
        <v>0</v>
      </c>
      <c r="AC148" s="94"/>
      <c r="AD148" s="94">
        <f t="shared" si="30"/>
        <v>0</v>
      </c>
      <c r="AE148" s="96"/>
    </row>
    <row r="149" spans="2:31" x14ac:dyDescent="0.2">
      <c r="B149" s="48" t="s">
        <v>27</v>
      </c>
      <c r="C149" s="48" t="s">
        <v>60</v>
      </c>
      <c r="D149" s="48" t="s">
        <v>69</v>
      </c>
      <c r="E149" s="50" t="s">
        <v>254</v>
      </c>
      <c r="F149" s="50" t="s">
        <v>254</v>
      </c>
      <c r="G149" s="49" t="s">
        <v>255</v>
      </c>
      <c r="H149" s="49" t="s">
        <v>44</v>
      </c>
      <c r="I149" s="49" t="s">
        <v>64</v>
      </c>
      <c r="J149" s="50" t="s">
        <v>235</v>
      </c>
      <c r="K149" s="48" t="s">
        <v>137</v>
      </c>
      <c r="L149" s="49" t="s">
        <v>256</v>
      </c>
      <c r="M149" s="48" t="s">
        <v>34</v>
      </c>
      <c r="N149" s="28" t="s">
        <v>167</v>
      </c>
      <c r="O149" s="29" t="s">
        <v>36</v>
      </c>
      <c r="P149" s="37">
        <v>26.44</v>
      </c>
      <c r="Q149" s="38">
        <f t="shared" si="24"/>
        <v>0.16957903097696581</v>
      </c>
      <c r="R149" s="39">
        <f t="shared" si="25"/>
        <v>21.956330420969024</v>
      </c>
      <c r="S149" s="44">
        <v>0.15</v>
      </c>
      <c r="T149" s="45">
        <v>25.830976965845913</v>
      </c>
      <c r="U149" s="39">
        <f t="shared" si="26"/>
        <v>4.4836695790309768</v>
      </c>
      <c r="V149" s="40" t="str">
        <f t="shared" si="27"/>
        <v>1005820100095450361532</v>
      </c>
      <c r="W149" s="41">
        <v>44531</v>
      </c>
      <c r="X149" s="42"/>
      <c r="Y149" s="46"/>
      <c r="Z149" s="47">
        <f t="shared" si="28"/>
        <v>0</v>
      </c>
      <c r="AA149" s="94" t="s">
        <v>335</v>
      </c>
      <c r="AB149" s="95">
        <f t="shared" si="29"/>
        <v>0</v>
      </c>
      <c r="AC149" s="94"/>
      <c r="AD149" s="94">
        <f t="shared" si="30"/>
        <v>0</v>
      </c>
      <c r="AE149" s="96"/>
    </row>
    <row r="150" spans="2:31" x14ac:dyDescent="0.2">
      <c r="B150" s="48" t="s">
        <v>27</v>
      </c>
      <c r="C150" s="48" t="s">
        <v>60</v>
      </c>
      <c r="D150" s="48" t="s">
        <v>69</v>
      </c>
      <c r="E150" s="50" t="s">
        <v>254</v>
      </c>
      <c r="F150" s="50" t="s">
        <v>254</v>
      </c>
      <c r="G150" s="49" t="s">
        <v>260</v>
      </c>
      <c r="H150" s="49" t="s">
        <v>44</v>
      </c>
      <c r="I150" s="49" t="s">
        <v>107</v>
      </c>
      <c r="J150" s="50" t="s">
        <v>236</v>
      </c>
      <c r="K150" s="48" t="s">
        <v>138</v>
      </c>
      <c r="L150" s="49" t="s">
        <v>256</v>
      </c>
      <c r="M150" s="48" t="s">
        <v>29</v>
      </c>
      <c r="N150" s="28" t="s">
        <v>179</v>
      </c>
      <c r="O150" s="29" t="s">
        <v>54</v>
      </c>
      <c r="P150" s="37">
        <v>39.619999999999997</v>
      </c>
      <c r="Q150" s="38">
        <f t="shared" si="24"/>
        <v>0.2113579000504795</v>
      </c>
      <c r="R150" s="39">
        <f t="shared" si="25"/>
        <v>31.245999999999999</v>
      </c>
      <c r="S150" s="44">
        <v>0.15</v>
      </c>
      <c r="T150" s="45">
        <v>36.76</v>
      </c>
      <c r="U150" s="39">
        <f t="shared" si="26"/>
        <v>8.3739999999999988</v>
      </c>
      <c r="V150" s="40" t="str">
        <f t="shared" si="27"/>
        <v>1005820100007348360374</v>
      </c>
      <c r="W150" s="41">
        <v>44531</v>
      </c>
      <c r="X150" s="42"/>
      <c r="Y150" s="46">
        <v>12.5</v>
      </c>
      <c r="Z150" s="47">
        <f t="shared" si="28"/>
        <v>104.67499999999998</v>
      </c>
      <c r="AA150" s="94">
        <f>50/4</f>
        <v>12.5</v>
      </c>
      <c r="AB150" s="95">
        <f t="shared" si="29"/>
        <v>104.67499999999998</v>
      </c>
      <c r="AC150" s="94" t="s">
        <v>336</v>
      </c>
      <c r="AD150" s="94">
        <f t="shared" si="30"/>
        <v>0</v>
      </c>
      <c r="AE150" s="96"/>
    </row>
    <row r="151" spans="2:31" x14ac:dyDescent="0.2">
      <c r="B151" s="48" t="s">
        <v>27</v>
      </c>
      <c r="C151" s="48" t="s">
        <v>60</v>
      </c>
      <c r="D151" s="48" t="s">
        <v>69</v>
      </c>
      <c r="E151" s="50" t="s">
        <v>254</v>
      </c>
      <c r="F151" s="50" t="s">
        <v>254</v>
      </c>
      <c r="G151" s="49" t="s">
        <v>260</v>
      </c>
      <c r="H151" s="49" t="s">
        <v>44</v>
      </c>
      <c r="I151" s="49" t="s">
        <v>107</v>
      </c>
      <c r="J151" s="50" t="s">
        <v>236</v>
      </c>
      <c r="K151" s="48" t="s">
        <v>138</v>
      </c>
      <c r="L151" s="49" t="s">
        <v>256</v>
      </c>
      <c r="M151" s="48" t="s">
        <v>34</v>
      </c>
      <c r="N151" s="28" t="s">
        <v>180</v>
      </c>
      <c r="O151" s="29" t="s">
        <v>55</v>
      </c>
      <c r="P151" s="37">
        <v>119.29</v>
      </c>
      <c r="Q151" s="38">
        <f t="shared" si="24"/>
        <v>0.13927955720896468</v>
      </c>
      <c r="R151" s="39">
        <f t="shared" si="25"/>
        <v>102.67534162054261</v>
      </c>
      <c r="S151" s="44">
        <v>0.15</v>
      </c>
      <c r="T151" s="45">
        <v>120.79451955357955</v>
      </c>
      <c r="U151" s="39">
        <f t="shared" si="26"/>
        <v>16.614658379457396</v>
      </c>
      <c r="V151" s="40" t="str">
        <f t="shared" si="27"/>
        <v>1005820100007348360484</v>
      </c>
      <c r="W151" s="41">
        <v>44531</v>
      </c>
      <c r="X151" s="42"/>
      <c r="Y151" s="46">
        <v>2.78</v>
      </c>
      <c r="Z151" s="47">
        <f t="shared" si="28"/>
        <v>46.188750294891555</v>
      </c>
      <c r="AA151" s="94">
        <v>2.78</v>
      </c>
      <c r="AB151" s="95">
        <f t="shared" si="29"/>
        <v>46.188750294891555</v>
      </c>
      <c r="AC151" s="94" t="s">
        <v>336</v>
      </c>
      <c r="AD151" s="94">
        <f t="shared" si="30"/>
        <v>0</v>
      </c>
      <c r="AE151" s="96"/>
    </row>
    <row r="152" spans="2:31" x14ac:dyDescent="0.2">
      <c r="B152" s="48" t="s">
        <v>27</v>
      </c>
      <c r="C152" s="48" t="s">
        <v>60</v>
      </c>
      <c r="D152" s="48" t="s">
        <v>69</v>
      </c>
      <c r="E152" s="50" t="s">
        <v>254</v>
      </c>
      <c r="F152" s="50" t="s">
        <v>254</v>
      </c>
      <c r="G152" s="49" t="s">
        <v>251</v>
      </c>
      <c r="H152" s="49" t="s">
        <v>58</v>
      </c>
      <c r="I152" s="49" t="s">
        <v>65</v>
      </c>
      <c r="J152" s="50" t="s">
        <v>237</v>
      </c>
      <c r="K152" s="48" t="s">
        <v>63</v>
      </c>
      <c r="L152" s="49" t="s">
        <v>256</v>
      </c>
      <c r="M152" s="48" t="s">
        <v>29</v>
      </c>
      <c r="N152" s="28" t="s">
        <v>164</v>
      </c>
      <c r="O152" s="29" t="s">
        <v>32</v>
      </c>
      <c r="P152" s="37">
        <v>56.91</v>
      </c>
      <c r="Q152" s="38">
        <f t="shared" si="24"/>
        <v>0.35477069056404853</v>
      </c>
      <c r="R152" s="39">
        <f t="shared" si="25"/>
        <v>36.72</v>
      </c>
      <c r="S152" s="44">
        <v>0.15</v>
      </c>
      <c r="T152" s="45">
        <v>43.2</v>
      </c>
      <c r="U152" s="39">
        <f t="shared" si="26"/>
        <v>20.189999999999998</v>
      </c>
      <c r="V152" s="40" t="str">
        <f t="shared" si="27"/>
        <v>1005820519260485361377</v>
      </c>
      <c r="W152" s="41">
        <v>44531</v>
      </c>
      <c r="X152" s="42"/>
      <c r="Y152" s="46">
        <v>23.83</v>
      </c>
      <c r="Z152" s="47">
        <f t="shared" si="28"/>
        <v>481.12769999999989</v>
      </c>
      <c r="AA152" s="94">
        <v>23.83</v>
      </c>
      <c r="AB152" s="95">
        <f t="shared" si="29"/>
        <v>481.12769999999989</v>
      </c>
      <c r="AC152" s="94" t="s">
        <v>336</v>
      </c>
      <c r="AD152" s="94">
        <f t="shared" si="30"/>
        <v>0</v>
      </c>
      <c r="AE152" s="96"/>
    </row>
    <row r="153" spans="2:31" x14ac:dyDescent="0.2">
      <c r="B153" s="48" t="s">
        <v>27</v>
      </c>
      <c r="C153" s="48" t="s">
        <v>60</v>
      </c>
      <c r="D153" s="48" t="s">
        <v>69</v>
      </c>
      <c r="E153" s="50" t="s">
        <v>254</v>
      </c>
      <c r="F153" s="50" t="s">
        <v>254</v>
      </c>
      <c r="G153" s="49" t="s">
        <v>251</v>
      </c>
      <c r="H153" s="49" t="s">
        <v>58</v>
      </c>
      <c r="I153" s="49" t="s">
        <v>65</v>
      </c>
      <c r="J153" s="50" t="s">
        <v>237</v>
      </c>
      <c r="K153" s="48" t="s">
        <v>63</v>
      </c>
      <c r="L153" s="49" t="s">
        <v>256</v>
      </c>
      <c r="M153" s="48" t="s">
        <v>29</v>
      </c>
      <c r="N153" s="28" t="s">
        <v>165</v>
      </c>
      <c r="O153" s="29" t="s">
        <v>33</v>
      </c>
      <c r="P153" s="37">
        <v>50.39</v>
      </c>
      <c r="Q153" s="38">
        <f t="shared" si="24"/>
        <v>0.46965667791228416</v>
      </c>
      <c r="R153" s="39">
        <f t="shared" si="25"/>
        <v>26.724</v>
      </c>
      <c r="S153" s="44">
        <v>0.15</v>
      </c>
      <c r="T153" s="45">
        <v>31.44</v>
      </c>
      <c r="U153" s="39">
        <f t="shared" si="26"/>
        <v>23.666</v>
      </c>
      <c r="V153" s="40" t="str">
        <f t="shared" si="27"/>
        <v>1005820519260485361540</v>
      </c>
      <c r="W153" s="41">
        <v>44531</v>
      </c>
      <c r="X153" s="42"/>
      <c r="Y153" s="46">
        <v>31.5</v>
      </c>
      <c r="Z153" s="47">
        <f t="shared" si="28"/>
        <v>745.47900000000004</v>
      </c>
      <c r="AA153" s="94">
        <f>(8+110+8)/4</f>
        <v>31.5</v>
      </c>
      <c r="AB153" s="95">
        <f t="shared" si="29"/>
        <v>745.47900000000004</v>
      </c>
      <c r="AC153" s="94" t="s">
        <v>336</v>
      </c>
      <c r="AD153" s="94">
        <f t="shared" si="30"/>
        <v>0</v>
      </c>
      <c r="AE153" s="96"/>
    </row>
    <row r="154" spans="2:31" x14ac:dyDescent="0.2">
      <c r="B154" s="48" t="s">
        <v>27</v>
      </c>
      <c r="C154" s="48" t="s">
        <v>60</v>
      </c>
      <c r="D154" s="48" t="s">
        <v>69</v>
      </c>
      <c r="E154" s="50" t="s">
        <v>254</v>
      </c>
      <c r="F154" s="50" t="s">
        <v>254</v>
      </c>
      <c r="G154" s="49" t="s">
        <v>251</v>
      </c>
      <c r="H154" s="49" t="s">
        <v>58</v>
      </c>
      <c r="I154" s="49" t="s">
        <v>65</v>
      </c>
      <c r="J154" s="50" t="s">
        <v>237</v>
      </c>
      <c r="K154" s="48" t="s">
        <v>63</v>
      </c>
      <c r="L154" s="49" t="s">
        <v>256</v>
      </c>
      <c r="M154" s="48" t="s">
        <v>34</v>
      </c>
      <c r="N154" s="28" t="s">
        <v>166</v>
      </c>
      <c r="O154" s="29" t="s">
        <v>35</v>
      </c>
      <c r="P154" s="37">
        <v>112.81</v>
      </c>
      <c r="Q154" s="38">
        <f t="shared" si="24"/>
        <v>0.35512510088781268</v>
      </c>
      <c r="R154" s="39">
        <f t="shared" si="25"/>
        <v>72.748337368845853</v>
      </c>
      <c r="S154" s="44">
        <v>0.15</v>
      </c>
      <c r="T154" s="45">
        <v>85.586279257465705</v>
      </c>
      <c r="U154" s="39">
        <f t="shared" si="26"/>
        <v>40.061662631154149</v>
      </c>
      <c r="V154" s="40" t="str">
        <f t="shared" si="27"/>
        <v>1005820519260485361531</v>
      </c>
      <c r="W154" s="41">
        <v>44531</v>
      </c>
      <c r="X154" s="42"/>
      <c r="Y154" s="46">
        <v>13.61</v>
      </c>
      <c r="Z154" s="47">
        <f t="shared" si="28"/>
        <v>545.23922841000797</v>
      </c>
      <c r="AA154" s="94">
        <v>13.61</v>
      </c>
      <c r="AB154" s="95">
        <f t="shared" si="29"/>
        <v>545.23922841000797</v>
      </c>
      <c r="AC154" s="94" t="s">
        <v>336</v>
      </c>
      <c r="AD154" s="94">
        <f t="shared" si="30"/>
        <v>0</v>
      </c>
      <c r="AE154" s="96"/>
    </row>
    <row r="155" spans="2:31" x14ac:dyDescent="0.2">
      <c r="B155" s="48" t="s">
        <v>27</v>
      </c>
      <c r="C155" s="48" t="s">
        <v>60</v>
      </c>
      <c r="D155" s="48" t="s">
        <v>69</v>
      </c>
      <c r="E155" s="50" t="s">
        <v>254</v>
      </c>
      <c r="F155" s="50" t="s">
        <v>254</v>
      </c>
      <c r="G155" s="49" t="s">
        <v>251</v>
      </c>
      <c r="H155" s="49" t="s">
        <v>58</v>
      </c>
      <c r="I155" s="49" t="s">
        <v>65</v>
      </c>
      <c r="J155" s="50" t="s">
        <v>237</v>
      </c>
      <c r="K155" s="48" t="s">
        <v>63</v>
      </c>
      <c r="L155" s="49" t="s">
        <v>256</v>
      </c>
      <c r="M155" s="48" t="s">
        <v>34</v>
      </c>
      <c r="N155" s="28" t="s">
        <v>181</v>
      </c>
      <c r="O155" s="29" t="s">
        <v>56</v>
      </c>
      <c r="P155" s="37">
        <v>116.69</v>
      </c>
      <c r="Q155" s="38">
        <f t="shared" si="24"/>
        <v>0.26947140381282497</v>
      </c>
      <c r="R155" s="39">
        <f t="shared" si="25"/>
        <v>85.245381889081457</v>
      </c>
      <c r="S155" s="44">
        <v>0.15</v>
      </c>
      <c r="T155" s="45">
        <v>100.28868457538995</v>
      </c>
      <c r="U155" s="39">
        <f t="shared" si="26"/>
        <v>31.44461811091854</v>
      </c>
      <c r="V155" s="40" t="str">
        <f t="shared" si="27"/>
        <v>1005820519260485361530</v>
      </c>
      <c r="W155" s="41">
        <v>44531</v>
      </c>
      <c r="X155" s="42"/>
      <c r="Y155" s="46">
        <v>1.67</v>
      </c>
      <c r="Z155" s="47">
        <f t="shared" si="28"/>
        <v>52.512512245233957</v>
      </c>
      <c r="AA155" s="94">
        <v>1.67</v>
      </c>
      <c r="AB155" s="95">
        <f t="shared" si="29"/>
        <v>52.512512245233957</v>
      </c>
      <c r="AC155" s="94" t="s">
        <v>336</v>
      </c>
      <c r="AD155" s="94">
        <f t="shared" si="30"/>
        <v>0</v>
      </c>
      <c r="AE155" s="96"/>
    </row>
    <row r="156" spans="2:31" x14ac:dyDescent="0.2">
      <c r="B156" s="48" t="s">
        <v>27</v>
      </c>
      <c r="C156" s="48" t="s">
        <v>60</v>
      </c>
      <c r="D156" s="48" t="s">
        <v>69</v>
      </c>
      <c r="E156" s="50" t="s">
        <v>254</v>
      </c>
      <c r="F156" s="50" t="s">
        <v>254</v>
      </c>
      <c r="G156" s="49" t="s">
        <v>251</v>
      </c>
      <c r="H156" s="49" t="s">
        <v>58</v>
      </c>
      <c r="I156" s="49" t="s">
        <v>65</v>
      </c>
      <c r="J156" s="50" t="s">
        <v>237</v>
      </c>
      <c r="K156" s="48" t="s">
        <v>63</v>
      </c>
      <c r="L156" s="49" t="s">
        <v>256</v>
      </c>
      <c r="M156" s="48" t="s">
        <v>34</v>
      </c>
      <c r="N156" s="28" t="s">
        <v>167</v>
      </c>
      <c r="O156" s="29" t="s">
        <v>36</v>
      </c>
      <c r="P156" s="37">
        <v>26.44</v>
      </c>
      <c r="Q156" s="38">
        <f t="shared" si="24"/>
        <v>9.8014297061159605E-2</v>
      </c>
      <c r="R156" s="39">
        <f t="shared" si="25"/>
        <v>23.848501985702942</v>
      </c>
      <c r="S156" s="44">
        <v>0.15</v>
      </c>
      <c r="T156" s="45">
        <v>28.057061159650519</v>
      </c>
      <c r="U156" s="39">
        <f t="shared" si="26"/>
        <v>2.5914980142970592</v>
      </c>
      <c r="V156" s="40" t="str">
        <f t="shared" si="27"/>
        <v>1005820519260485361532</v>
      </c>
      <c r="W156" s="41">
        <v>44531</v>
      </c>
      <c r="X156" s="42"/>
      <c r="Y156" s="46">
        <v>164</v>
      </c>
      <c r="Z156" s="47">
        <f t="shared" si="28"/>
        <v>425.0056743447177</v>
      </c>
      <c r="AA156" s="94">
        <f>(328)/2</f>
        <v>164</v>
      </c>
      <c r="AB156" s="95">
        <f t="shared" si="29"/>
        <v>425.0056743447177</v>
      </c>
      <c r="AC156" s="94" t="s">
        <v>336</v>
      </c>
      <c r="AD156" s="94">
        <f t="shared" si="30"/>
        <v>0</v>
      </c>
      <c r="AE156" s="96"/>
    </row>
    <row r="157" spans="2:31" x14ac:dyDescent="0.2">
      <c r="B157" s="48" t="s">
        <v>27</v>
      </c>
      <c r="C157" s="48" t="s">
        <v>60</v>
      </c>
      <c r="D157" s="48" t="s">
        <v>69</v>
      </c>
      <c r="E157" s="50" t="s">
        <v>254</v>
      </c>
      <c r="F157" s="50" t="s">
        <v>254</v>
      </c>
      <c r="G157" s="49" t="s">
        <v>251</v>
      </c>
      <c r="H157" s="49" t="s">
        <v>58</v>
      </c>
      <c r="I157" s="49" t="s">
        <v>65</v>
      </c>
      <c r="J157" s="50" t="s">
        <v>237</v>
      </c>
      <c r="K157" s="48" t="s">
        <v>63</v>
      </c>
      <c r="L157" s="49" t="s">
        <v>256</v>
      </c>
      <c r="M157" s="48" t="s">
        <v>34</v>
      </c>
      <c r="N157" s="28" t="s">
        <v>184</v>
      </c>
      <c r="O157" s="29" t="s">
        <v>66</v>
      </c>
      <c r="P157" s="37">
        <v>53.46</v>
      </c>
      <c r="Q157" s="38">
        <f t="shared" si="24"/>
        <v>0.21232697343808471</v>
      </c>
      <c r="R157" s="39">
        <f t="shared" si="25"/>
        <v>42.108999999999995</v>
      </c>
      <c r="S157" s="44">
        <v>0.15</v>
      </c>
      <c r="T157" s="45">
        <v>49.539999999999992</v>
      </c>
      <c r="U157" s="39">
        <f t="shared" si="26"/>
        <v>11.351000000000006</v>
      </c>
      <c r="V157" s="40" t="str">
        <f t="shared" si="27"/>
        <v>1005820519260485360975</v>
      </c>
      <c r="W157" s="41">
        <v>44531</v>
      </c>
      <c r="X157" s="42"/>
      <c r="Y157" s="46"/>
      <c r="Z157" s="47">
        <f t="shared" si="28"/>
        <v>0</v>
      </c>
      <c r="AA157" s="94" t="s">
        <v>335</v>
      </c>
      <c r="AB157" s="95">
        <f t="shared" si="29"/>
        <v>0</v>
      </c>
      <c r="AC157" s="94"/>
      <c r="AD157" s="94">
        <f t="shared" si="30"/>
        <v>0</v>
      </c>
      <c r="AE157" s="96"/>
    </row>
    <row r="158" spans="2:31" x14ac:dyDescent="0.2">
      <c r="B158" s="48" t="s">
        <v>27</v>
      </c>
      <c r="C158" s="48" t="s">
        <v>60</v>
      </c>
      <c r="D158" s="48" t="s">
        <v>69</v>
      </c>
      <c r="E158" s="50" t="s">
        <v>254</v>
      </c>
      <c r="F158" s="50" t="s">
        <v>254</v>
      </c>
      <c r="G158" s="49" t="s">
        <v>251</v>
      </c>
      <c r="H158" s="49" t="s">
        <v>58</v>
      </c>
      <c r="I158" s="49" t="s">
        <v>65</v>
      </c>
      <c r="J158" s="50" t="s">
        <v>237</v>
      </c>
      <c r="K158" s="48" t="s">
        <v>63</v>
      </c>
      <c r="L158" s="49" t="s">
        <v>256</v>
      </c>
      <c r="M158" s="48" t="s">
        <v>34</v>
      </c>
      <c r="N158" s="28" t="s">
        <v>186</v>
      </c>
      <c r="O158" s="29" t="s">
        <v>139</v>
      </c>
      <c r="P158" s="37">
        <v>21.39</v>
      </c>
      <c r="Q158" s="38">
        <f t="shared" si="24"/>
        <v>0.14403927068723721</v>
      </c>
      <c r="R158" s="39">
        <f t="shared" si="25"/>
        <v>18.308999999999997</v>
      </c>
      <c r="S158" s="44">
        <v>0.15</v>
      </c>
      <c r="T158" s="45">
        <v>21.54</v>
      </c>
      <c r="U158" s="39">
        <f t="shared" si="26"/>
        <v>3.0810000000000031</v>
      </c>
      <c r="V158" s="40" t="str">
        <f t="shared" si="27"/>
        <v>1005820519260485361360</v>
      </c>
      <c r="W158" s="41">
        <v>44531</v>
      </c>
      <c r="X158" s="42"/>
      <c r="Y158" s="46"/>
      <c r="Z158" s="47">
        <f t="shared" si="28"/>
        <v>0</v>
      </c>
      <c r="AA158" s="94" t="s">
        <v>335</v>
      </c>
      <c r="AB158" s="95">
        <f t="shared" si="29"/>
        <v>0</v>
      </c>
      <c r="AC158" s="94"/>
      <c r="AD158" s="94">
        <f t="shared" si="30"/>
        <v>0</v>
      </c>
      <c r="AE158" s="96"/>
    </row>
    <row r="159" spans="2:31" x14ac:dyDescent="0.2">
      <c r="B159" s="48" t="s">
        <v>27</v>
      </c>
      <c r="C159" s="48" t="s">
        <v>60</v>
      </c>
      <c r="D159" s="48" t="s">
        <v>69</v>
      </c>
      <c r="E159" s="50" t="s">
        <v>254</v>
      </c>
      <c r="F159" s="50" t="s">
        <v>254</v>
      </c>
      <c r="G159" s="49" t="s">
        <v>251</v>
      </c>
      <c r="H159" s="49" t="s">
        <v>58</v>
      </c>
      <c r="I159" s="49" t="s">
        <v>65</v>
      </c>
      <c r="J159" s="50" t="s">
        <v>237</v>
      </c>
      <c r="K159" s="48" t="s">
        <v>63</v>
      </c>
      <c r="L159" s="49" t="s">
        <v>256</v>
      </c>
      <c r="M159" s="48" t="s">
        <v>48</v>
      </c>
      <c r="N159" s="28" t="s">
        <v>176</v>
      </c>
      <c r="O159" s="29" t="s">
        <v>51</v>
      </c>
      <c r="P159" s="37">
        <v>133.12</v>
      </c>
      <c r="Q159" s="38">
        <f t="shared" si="24"/>
        <v>0.12163461538461551</v>
      </c>
      <c r="R159" s="39">
        <f t="shared" si="25"/>
        <v>116.92799999999998</v>
      </c>
      <c r="S159" s="44">
        <v>0.13</v>
      </c>
      <c r="T159" s="45">
        <v>134.39999999999998</v>
      </c>
      <c r="U159" s="39">
        <f t="shared" si="26"/>
        <v>16.192000000000021</v>
      </c>
      <c r="V159" s="40" t="str">
        <f t="shared" si="27"/>
        <v>1005820519260485371439</v>
      </c>
      <c r="W159" s="41">
        <v>44531</v>
      </c>
      <c r="X159" s="42"/>
      <c r="Y159" s="46"/>
      <c r="Z159" s="47">
        <f t="shared" si="28"/>
        <v>0</v>
      </c>
      <c r="AA159" s="94" t="s">
        <v>335</v>
      </c>
      <c r="AB159" s="95">
        <f t="shared" si="29"/>
        <v>0</v>
      </c>
      <c r="AC159" s="94"/>
      <c r="AD159" s="94">
        <f t="shared" si="30"/>
        <v>0</v>
      </c>
      <c r="AE159" s="96"/>
    </row>
    <row r="160" spans="2:31" x14ac:dyDescent="0.2">
      <c r="B160" s="48" t="s">
        <v>27</v>
      </c>
      <c r="C160" s="48" t="s">
        <v>60</v>
      </c>
      <c r="D160" s="48" t="s">
        <v>69</v>
      </c>
      <c r="E160" s="50" t="s">
        <v>254</v>
      </c>
      <c r="F160" s="50" t="s">
        <v>254</v>
      </c>
      <c r="G160" s="49" t="s">
        <v>262</v>
      </c>
      <c r="H160" s="49" t="s">
        <v>44</v>
      </c>
      <c r="I160" s="49" t="s">
        <v>140</v>
      </c>
      <c r="J160" s="50" t="s">
        <v>238</v>
      </c>
      <c r="K160" s="48" t="s">
        <v>268</v>
      </c>
      <c r="L160" s="49" t="s">
        <v>256</v>
      </c>
      <c r="M160" s="48" t="s">
        <v>29</v>
      </c>
      <c r="N160" s="28" t="s">
        <v>162</v>
      </c>
      <c r="O160" s="29" t="s">
        <v>31</v>
      </c>
      <c r="P160" s="37">
        <v>25.86</v>
      </c>
      <c r="Q160" s="38">
        <f t="shared" si="24"/>
        <v>8.290360967869892E-2</v>
      </c>
      <c r="R160" s="39">
        <f t="shared" si="25"/>
        <v>23.716112653708844</v>
      </c>
      <c r="S160" s="44">
        <v>0.15</v>
      </c>
      <c r="T160" s="45">
        <v>27.901309004363348</v>
      </c>
      <c r="U160" s="39">
        <f t="shared" si="26"/>
        <v>2.1438873462911552</v>
      </c>
      <c r="V160" s="40" t="str">
        <f t="shared" si="27"/>
        <v>1005820523621212361571</v>
      </c>
      <c r="W160" s="41">
        <v>44531</v>
      </c>
      <c r="X160" s="42"/>
      <c r="Y160" s="46"/>
      <c r="Z160" s="47">
        <f t="shared" si="28"/>
        <v>0</v>
      </c>
      <c r="AA160" s="94" t="s">
        <v>335</v>
      </c>
      <c r="AB160" s="95">
        <f t="shared" si="29"/>
        <v>0</v>
      </c>
      <c r="AC160" s="94"/>
      <c r="AD160" s="94">
        <f t="shared" si="30"/>
        <v>0</v>
      </c>
      <c r="AE160" s="96"/>
    </row>
    <row r="161" spans="2:31" x14ac:dyDescent="0.2">
      <c r="B161" s="48" t="s">
        <v>27</v>
      </c>
      <c r="C161" s="48" t="s">
        <v>60</v>
      </c>
      <c r="D161" s="48" t="s">
        <v>69</v>
      </c>
      <c r="E161" s="50" t="s">
        <v>254</v>
      </c>
      <c r="F161" s="50" t="s">
        <v>254</v>
      </c>
      <c r="G161" s="49" t="s">
        <v>262</v>
      </c>
      <c r="H161" s="49" t="s">
        <v>44</v>
      </c>
      <c r="I161" s="49" t="s">
        <v>140</v>
      </c>
      <c r="J161" s="50" t="s">
        <v>238</v>
      </c>
      <c r="K161" s="48" t="s">
        <v>268</v>
      </c>
      <c r="L161" s="49" t="s">
        <v>256</v>
      </c>
      <c r="M161" s="48" t="s">
        <v>29</v>
      </c>
      <c r="N161" s="28" t="s">
        <v>162</v>
      </c>
      <c r="O161" s="29" t="s">
        <v>31</v>
      </c>
      <c r="P161" s="37">
        <v>25.86</v>
      </c>
      <c r="Q161" s="38">
        <f t="shared" si="24"/>
        <v>8.290360967869892E-2</v>
      </c>
      <c r="R161" s="39">
        <f t="shared" si="25"/>
        <v>23.716112653708844</v>
      </c>
      <c r="S161" s="44">
        <v>0.15</v>
      </c>
      <c r="T161" s="45">
        <v>27.901309004363348</v>
      </c>
      <c r="U161" s="39">
        <f t="shared" si="26"/>
        <v>2.1438873462911552</v>
      </c>
      <c r="V161" s="40" t="str">
        <f t="shared" si="27"/>
        <v>1005820523621212361571</v>
      </c>
      <c r="W161" s="41">
        <v>44531</v>
      </c>
      <c r="X161" s="42"/>
      <c r="Y161" s="46"/>
      <c r="Z161" s="47">
        <f t="shared" si="28"/>
        <v>0</v>
      </c>
      <c r="AA161" s="94" t="s">
        <v>335</v>
      </c>
      <c r="AB161" s="95">
        <f t="shared" si="29"/>
        <v>0</v>
      </c>
      <c r="AC161" s="94"/>
      <c r="AD161" s="94">
        <f t="shared" si="30"/>
        <v>0</v>
      </c>
      <c r="AE161" s="96"/>
    </row>
    <row r="162" spans="2:31" x14ac:dyDescent="0.2">
      <c r="B162" s="48" t="s">
        <v>27</v>
      </c>
      <c r="C162" s="48" t="s">
        <v>60</v>
      </c>
      <c r="D162" s="48" t="s">
        <v>69</v>
      </c>
      <c r="E162" s="50" t="s">
        <v>254</v>
      </c>
      <c r="F162" s="50" t="s">
        <v>254</v>
      </c>
      <c r="G162" s="49" t="s">
        <v>262</v>
      </c>
      <c r="H162" s="49" t="s">
        <v>44</v>
      </c>
      <c r="I162" s="49" t="s">
        <v>140</v>
      </c>
      <c r="J162" s="50" t="s">
        <v>238</v>
      </c>
      <c r="K162" s="48" t="s">
        <v>268</v>
      </c>
      <c r="L162" s="49" t="s">
        <v>256</v>
      </c>
      <c r="M162" s="48" t="s">
        <v>34</v>
      </c>
      <c r="N162" s="28" t="s">
        <v>181</v>
      </c>
      <c r="O162" s="29" t="s">
        <v>56</v>
      </c>
      <c r="P162" s="37">
        <v>116.69</v>
      </c>
      <c r="Q162" s="38">
        <f t="shared" si="24"/>
        <v>0.28622048365302699</v>
      </c>
      <c r="R162" s="39">
        <f t="shared" si="25"/>
        <v>83.290931762528274</v>
      </c>
      <c r="S162" s="44">
        <v>0.15</v>
      </c>
      <c r="T162" s="45">
        <v>97.989331485327384</v>
      </c>
      <c r="U162" s="39">
        <f t="shared" si="26"/>
        <v>33.399068237471724</v>
      </c>
      <c r="V162" s="40" t="str">
        <f t="shared" si="27"/>
        <v>1005820523621212361530</v>
      </c>
      <c r="W162" s="41">
        <v>44531</v>
      </c>
      <c r="X162" s="42">
        <v>120</v>
      </c>
      <c r="Y162" s="46">
        <v>33</v>
      </c>
      <c r="Z162" s="47">
        <f t="shared" si="28"/>
        <v>1102.1692518365669</v>
      </c>
      <c r="AA162" s="94">
        <f>(360+234)/18</f>
        <v>33</v>
      </c>
      <c r="AB162" s="95">
        <f t="shared" si="29"/>
        <v>1102.1692518365669</v>
      </c>
      <c r="AC162" s="94" t="s">
        <v>336</v>
      </c>
      <c r="AD162" s="94">
        <f t="shared" si="30"/>
        <v>0</v>
      </c>
      <c r="AE162" s="96"/>
    </row>
    <row r="163" spans="2:31" x14ac:dyDescent="0.2">
      <c r="B163" s="48" t="s">
        <v>27</v>
      </c>
      <c r="C163" s="48" t="s">
        <v>60</v>
      </c>
      <c r="D163" s="48" t="s">
        <v>69</v>
      </c>
      <c r="E163" s="50" t="s">
        <v>254</v>
      </c>
      <c r="F163" s="50" t="s">
        <v>254</v>
      </c>
      <c r="G163" s="49" t="s">
        <v>253</v>
      </c>
      <c r="H163" s="49" t="s">
        <v>44</v>
      </c>
      <c r="I163" s="49" t="s">
        <v>59</v>
      </c>
      <c r="J163" s="50" t="s">
        <v>239</v>
      </c>
      <c r="K163" s="48" t="s">
        <v>141</v>
      </c>
      <c r="L163" s="49" t="s">
        <v>256</v>
      </c>
      <c r="M163" s="48" t="s">
        <v>29</v>
      </c>
      <c r="N163" s="28" t="s">
        <v>183</v>
      </c>
      <c r="O163" s="29" t="s">
        <v>62</v>
      </c>
      <c r="P163" s="37">
        <v>54.46</v>
      </c>
      <c r="Q163" s="38">
        <f t="shared" si="24"/>
        <v>0</v>
      </c>
      <c r="R163" s="39">
        <f t="shared" si="25"/>
        <v>54.460000000000008</v>
      </c>
      <c r="S163" s="44">
        <v>0.15</v>
      </c>
      <c r="T163" s="45">
        <v>64.070588235294125</v>
      </c>
      <c r="U163" s="39">
        <f t="shared" si="26"/>
        <v>0</v>
      </c>
      <c r="V163" s="40" t="str">
        <f t="shared" si="27"/>
        <v>1005820500985322361421</v>
      </c>
      <c r="W163" s="41">
        <v>44531</v>
      </c>
      <c r="X163" s="42"/>
      <c r="Y163" s="46"/>
      <c r="Z163" s="47">
        <f t="shared" si="28"/>
        <v>0</v>
      </c>
      <c r="AA163" s="94" t="s">
        <v>335</v>
      </c>
      <c r="AB163" s="95">
        <f t="shared" si="29"/>
        <v>0</v>
      </c>
      <c r="AC163" s="94"/>
      <c r="AD163" s="94">
        <f t="shared" si="30"/>
        <v>0</v>
      </c>
      <c r="AE163" s="96"/>
    </row>
    <row r="164" spans="2:31" x14ac:dyDescent="0.2">
      <c r="B164" s="48" t="s">
        <v>27</v>
      </c>
      <c r="C164" s="48" t="s">
        <v>60</v>
      </c>
      <c r="D164" s="48" t="s">
        <v>69</v>
      </c>
      <c r="E164" s="50" t="s">
        <v>254</v>
      </c>
      <c r="F164" s="50" t="s">
        <v>254</v>
      </c>
      <c r="G164" s="49" t="s">
        <v>253</v>
      </c>
      <c r="H164" s="49" t="s">
        <v>44</v>
      </c>
      <c r="I164" s="49" t="s">
        <v>59</v>
      </c>
      <c r="J164" s="50" t="s">
        <v>239</v>
      </c>
      <c r="K164" s="48" t="s">
        <v>141</v>
      </c>
      <c r="L164" s="49" t="s">
        <v>256</v>
      </c>
      <c r="M164" s="48" t="s">
        <v>29</v>
      </c>
      <c r="N164" s="28" t="s">
        <v>172</v>
      </c>
      <c r="O164" s="29" t="s">
        <v>46</v>
      </c>
      <c r="P164" s="37">
        <v>11.89</v>
      </c>
      <c r="Q164" s="38">
        <f t="shared" si="24"/>
        <v>0.12640936686903725</v>
      </c>
      <c r="R164" s="39">
        <f t="shared" si="25"/>
        <v>10.386992627927148</v>
      </c>
      <c r="S164" s="44">
        <v>0.15</v>
      </c>
      <c r="T164" s="45">
        <v>12.219991326973116</v>
      </c>
      <c r="U164" s="39">
        <f t="shared" si="26"/>
        <v>1.5030073720728527</v>
      </c>
      <c r="V164" s="40" t="str">
        <f t="shared" si="27"/>
        <v>1005820500985322361085</v>
      </c>
      <c r="W164" s="41">
        <v>44531</v>
      </c>
      <c r="X164" s="42"/>
      <c r="Y164" s="46"/>
      <c r="Z164" s="47">
        <f t="shared" si="28"/>
        <v>0</v>
      </c>
      <c r="AA164" s="94" t="s">
        <v>335</v>
      </c>
      <c r="AB164" s="95">
        <f t="shared" si="29"/>
        <v>0</v>
      </c>
      <c r="AC164" s="94"/>
      <c r="AD164" s="94">
        <f t="shared" si="30"/>
        <v>0</v>
      </c>
      <c r="AE164" s="96"/>
    </row>
    <row r="165" spans="2:31" x14ac:dyDescent="0.2">
      <c r="B165" s="48" t="s">
        <v>27</v>
      </c>
      <c r="C165" s="48" t="s">
        <v>60</v>
      </c>
      <c r="D165" s="48" t="s">
        <v>69</v>
      </c>
      <c r="E165" s="50" t="s">
        <v>254</v>
      </c>
      <c r="F165" s="50" t="s">
        <v>254</v>
      </c>
      <c r="G165" s="49" t="s">
        <v>253</v>
      </c>
      <c r="H165" s="49" t="s">
        <v>44</v>
      </c>
      <c r="I165" s="49" t="s">
        <v>59</v>
      </c>
      <c r="J165" s="50" t="s">
        <v>239</v>
      </c>
      <c r="K165" s="48" t="s">
        <v>141</v>
      </c>
      <c r="L165" s="49" t="s">
        <v>256</v>
      </c>
      <c r="M165" s="48" t="s">
        <v>29</v>
      </c>
      <c r="N165" s="28" t="s">
        <v>165</v>
      </c>
      <c r="O165" s="29" t="s">
        <v>33</v>
      </c>
      <c r="P165" s="37">
        <v>50.39</v>
      </c>
      <c r="Q165" s="38">
        <f t="shared" si="24"/>
        <v>0.18356816828735856</v>
      </c>
      <c r="R165" s="39">
        <f t="shared" si="25"/>
        <v>41.14</v>
      </c>
      <c r="S165" s="44">
        <v>0.15</v>
      </c>
      <c r="T165" s="45">
        <v>48.4</v>
      </c>
      <c r="U165" s="39">
        <f t="shared" si="26"/>
        <v>9.25</v>
      </c>
      <c r="V165" s="40" t="str">
        <f t="shared" si="27"/>
        <v>1005820500985322361540</v>
      </c>
      <c r="W165" s="41">
        <v>44531</v>
      </c>
      <c r="X165" s="42"/>
      <c r="Y165" s="46"/>
      <c r="Z165" s="47">
        <f t="shared" si="28"/>
        <v>0</v>
      </c>
      <c r="AA165" s="94" t="s">
        <v>335</v>
      </c>
      <c r="AB165" s="95">
        <f t="shared" si="29"/>
        <v>0</v>
      </c>
      <c r="AC165" s="94"/>
      <c r="AD165" s="94">
        <f t="shared" si="30"/>
        <v>0</v>
      </c>
      <c r="AE165" s="96"/>
    </row>
    <row r="166" spans="2:31" x14ac:dyDescent="0.2">
      <c r="B166" s="48" t="s">
        <v>27</v>
      </c>
      <c r="C166" s="48" t="s">
        <v>60</v>
      </c>
      <c r="D166" s="48" t="s">
        <v>69</v>
      </c>
      <c r="E166" s="50" t="s">
        <v>254</v>
      </c>
      <c r="F166" s="50" t="s">
        <v>254</v>
      </c>
      <c r="G166" s="49" t="s">
        <v>253</v>
      </c>
      <c r="H166" s="49" t="s">
        <v>44</v>
      </c>
      <c r="I166" s="49" t="s">
        <v>59</v>
      </c>
      <c r="J166" s="50" t="s">
        <v>239</v>
      </c>
      <c r="K166" s="48" t="s">
        <v>141</v>
      </c>
      <c r="L166" s="49" t="s">
        <v>256</v>
      </c>
      <c r="M166" s="48" t="s">
        <v>29</v>
      </c>
      <c r="N166" s="28" t="s">
        <v>179</v>
      </c>
      <c r="O166" s="29" t="s">
        <v>54</v>
      </c>
      <c r="P166" s="37">
        <v>39.619999999999997</v>
      </c>
      <c r="Q166" s="38">
        <f t="shared" ref="Q166:Q197" si="31">IF(1-R166/P166&lt;0%,0,1-R166/P166)</f>
        <v>0.22959363957597179</v>
      </c>
      <c r="R166" s="39">
        <f t="shared" ref="R166:R197" si="32">+T166*(100%-S166)</f>
        <v>30.523499999999995</v>
      </c>
      <c r="S166" s="44">
        <v>0.15</v>
      </c>
      <c r="T166" s="45">
        <v>35.909999999999997</v>
      </c>
      <c r="U166" s="39">
        <f t="shared" ref="U166:U201" si="33">+IF(P166-R166&lt;0,0,P166-R166)</f>
        <v>9.0965000000000025</v>
      </c>
      <c r="V166" s="40" t="str">
        <f t="shared" ref="V166:V201" si="34">+CONCATENATE(TRIM(F166),TRIM(J166),TRIM(N166))</f>
        <v>1005820500985322360374</v>
      </c>
      <c r="W166" s="41">
        <v>44531</v>
      </c>
      <c r="X166" s="42"/>
      <c r="Y166" s="46">
        <v>100</v>
      </c>
      <c r="Z166" s="47">
        <f t="shared" ref="Z166:Z197" si="35">IFERROR(U166*Y166,0)</f>
        <v>909.6500000000002</v>
      </c>
      <c r="AA166" s="94">
        <f>5+35+60</f>
        <v>100</v>
      </c>
      <c r="AB166" s="95">
        <f t="shared" si="29"/>
        <v>909.6500000000002</v>
      </c>
      <c r="AC166" s="94" t="s">
        <v>336</v>
      </c>
      <c r="AD166" s="94">
        <f t="shared" si="30"/>
        <v>0</v>
      </c>
      <c r="AE166" s="96"/>
    </row>
    <row r="167" spans="2:31" x14ac:dyDescent="0.2">
      <c r="B167" s="48" t="s">
        <v>27</v>
      </c>
      <c r="C167" s="48" t="s">
        <v>60</v>
      </c>
      <c r="D167" s="48" t="s">
        <v>69</v>
      </c>
      <c r="E167" s="50" t="s">
        <v>254</v>
      </c>
      <c r="F167" s="50" t="s">
        <v>254</v>
      </c>
      <c r="G167" s="49" t="s">
        <v>253</v>
      </c>
      <c r="H167" s="49" t="s">
        <v>44</v>
      </c>
      <c r="I167" s="49" t="s">
        <v>59</v>
      </c>
      <c r="J167" s="50" t="s">
        <v>239</v>
      </c>
      <c r="K167" s="48" t="s">
        <v>141</v>
      </c>
      <c r="L167" s="49" t="s">
        <v>256</v>
      </c>
      <c r="M167" s="48" t="s">
        <v>34</v>
      </c>
      <c r="N167" s="28" t="s">
        <v>166</v>
      </c>
      <c r="O167" s="29" t="s">
        <v>35</v>
      </c>
      <c r="P167" s="37">
        <v>112.81</v>
      </c>
      <c r="Q167" s="38">
        <f t="shared" si="31"/>
        <v>0.21791767554479413</v>
      </c>
      <c r="R167" s="39">
        <f t="shared" si="32"/>
        <v>88.226707021791782</v>
      </c>
      <c r="S167" s="44">
        <v>0.15</v>
      </c>
      <c r="T167" s="45">
        <v>103.79612590799033</v>
      </c>
      <c r="U167" s="39">
        <f t="shared" si="33"/>
        <v>24.58329297820822</v>
      </c>
      <c r="V167" s="40" t="str">
        <f t="shared" si="34"/>
        <v>1005820500985322361531</v>
      </c>
      <c r="W167" s="41">
        <v>44531</v>
      </c>
      <c r="X167" s="42"/>
      <c r="Y167" s="46">
        <v>9</v>
      </c>
      <c r="Z167" s="47">
        <f t="shared" si="35"/>
        <v>221.24963680387398</v>
      </c>
      <c r="AA167" s="94">
        <f>(18+108+36)/18</f>
        <v>9</v>
      </c>
      <c r="AB167" s="95">
        <f t="shared" si="29"/>
        <v>221.24963680387398</v>
      </c>
      <c r="AC167" s="94" t="s">
        <v>336</v>
      </c>
      <c r="AD167" s="94">
        <f t="shared" si="30"/>
        <v>0</v>
      </c>
      <c r="AE167" s="96"/>
    </row>
    <row r="168" spans="2:31" x14ac:dyDescent="0.2">
      <c r="B168" s="48" t="s">
        <v>27</v>
      </c>
      <c r="C168" s="48" t="s">
        <v>60</v>
      </c>
      <c r="D168" s="48" t="s">
        <v>69</v>
      </c>
      <c r="E168" s="50" t="s">
        <v>254</v>
      </c>
      <c r="F168" s="50" t="s">
        <v>254</v>
      </c>
      <c r="G168" s="49" t="s">
        <v>253</v>
      </c>
      <c r="H168" s="49" t="s">
        <v>44</v>
      </c>
      <c r="I168" s="49" t="s">
        <v>59</v>
      </c>
      <c r="J168" s="50" t="s">
        <v>239</v>
      </c>
      <c r="K168" s="48" t="s">
        <v>141</v>
      </c>
      <c r="L168" s="49" t="s">
        <v>256</v>
      </c>
      <c r="M168" s="48" t="s">
        <v>34</v>
      </c>
      <c r="N168" s="28" t="s">
        <v>177</v>
      </c>
      <c r="O168" s="29" t="s">
        <v>52</v>
      </c>
      <c r="P168" s="37">
        <v>77.8</v>
      </c>
      <c r="Q168" s="38">
        <f t="shared" si="31"/>
        <v>0.22453003812278172</v>
      </c>
      <c r="R168" s="39">
        <f t="shared" si="32"/>
        <v>60.331563034047583</v>
      </c>
      <c r="S168" s="44">
        <v>0.15</v>
      </c>
      <c r="T168" s="45">
        <v>70.978309451820692</v>
      </c>
      <c r="U168" s="39">
        <f t="shared" si="33"/>
        <v>17.468436965952414</v>
      </c>
      <c r="V168" s="40" t="str">
        <f t="shared" si="34"/>
        <v>1005820500985322361537</v>
      </c>
      <c r="W168" s="41">
        <v>44531</v>
      </c>
      <c r="X168" s="42"/>
      <c r="Y168" s="46">
        <v>145</v>
      </c>
      <c r="Z168" s="47">
        <f t="shared" si="35"/>
        <v>2532.9233600631001</v>
      </c>
      <c r="AA168" s="94">
        <f>(40+250)/2</f>
        <v>145</v>
      </c>
      <c r="AB168" s="95">
        <f t="shared" si="29"/>
        <v>2532.9233600631001</v>
      </c>
      <c r="AC168" s="94" t="s">
        <v>336</v>
      </c>
      <c r="AD168" s="94">
        <f t="shared" si="30"/>
        <v>0</v>
      </c>
      <c r="AE168" s="96"/>
    </row>
    <row r="169" spans="2:31" x14ac:dyDescent="0.2">
      <c r="B169" s="48" t="s">
        <v>27</v>
      </c>
      <c r="C169" s="48" t="s">
        <v>60</v>
      </c>
      <c r="D169" s="48" t="s">
        <v>69</v>
      </c>
      <c r="E169" s="50" t="s">
        <v>254</v>
      </c>
      <c r="F169" s="50" t="s">
        <v>254</v>
      </c>
      <c r="G169" s="49" t="s">
        <v>251</v>
      </c>
      <c r="H169" s="49" t="s">
        <v>42</v>
      </c>
      <c r="I169" s="49" t="s">
        <v>43</v>
      </c>
      <c r="J169" s="50" t="s">
        <v>240</v>
      </c>
      <c r="K169" s="48" t="s">
        <v>142</v>
      </c>
      <c r="L169" s="49" t="s">
        <v>256</v>
      </c>
      <c r="M169" s="48" t="s">
        <v>29</v>
      </c>
      <c r="N169" s="28" t="s">
        <v>165</v>
      </c>
      <c r="O169" s="29" t="s">
        <v>33</v>
      </c>
      <c r="P169" s="37">
        <v>50.39</v>
      </c>
      <c r="Q169" s="38">
        <f t="shared" si="31"/>
        <v>0.41095455447509421</v>
      </c>
      <c r="R169" s="39">
        <f t="shared" si="32"/>
        <v>29.682000000000002</v>
      </c>
      <c r="S169" s="44">
        <v>0.15</v>
      </c>
      <c r="T169" s="45">
        <v>34.92</v>
      </c>
      <c r="U169" s="39">
        <f t="shared" si="33"/>
        <v>20.707999999999998</v>
      </c>
      <c r="V169" s="40" t="str">
        <f t="shared" si="34"/>
        <v>1005820531521987361540</v>
      </c>
      <c r="W169" s="41">
        <v>44531</v>
      </c>
      <c r="X169" s="42"/>
      <c r="Y169" s="46">
        <v>38</v>
      </c>
      <c r="Z169" s="47">
        <f t="shared" si="35"/>
        <v>786.904</v>
      </c>
      <c r="AA169" s="94">
        <f>(12+4+12+20+16+12)/2</f>
        <v>38</v>
      </c>
      <c r="AB169" s="95">
        <f t="shared" si="29"/>
        <v>786.904</v>
      </c>
      <c r="AC169" s="94" t="s">
        <v>336</v>
      </c>
      <c r="AD169" s="94">
        <f t="shared" si="30"/>
        <v>0</v>
      </c>
      <c r="AE169" s="96"/>
    </row>
    <row r="170" spans="2:31" x14ac:dyDescent="0.2">
      <c r="B170" s="48" t="s">
        <v>27</v>
      </c>
      <c r="C170" s="48" t="s">
        <v>60</v>
      </c>
      <c r="D170" s="48" t="s">
        <v>69</v>
      </c>
      <c r="E170" s="50" t="s">
        <v>254</v>
      </c>
      <c r="F170" s="50" t="s">
        <v>254</v>
      </c>
      <c r="G170" s="49" t="s">
        <v>251</v>
      </c>
      <c r="H170" s="49" t="s">
        <v>42</v>
      </c>
      <c r="I170" s="49" t="s">
        <v>43</v>
      </c>
      <c r="J170" s="50" t="s">
        <v>240</v>
      </c>
      <c r="K170" s="48" t="s">
        <v>142</v>
      </c>
      <c r="L170" s="49" t="s">
        <v>256</v>
      </c>
      <c r="M170" s="48" t="s">
        <v>34</v>
      </c>
      <c r="N170" s="28" t="s">
        <v>181</v>
      </c>
      <c r="O170" s="29" t="s">
        <v>56</v>
      </c>
      <c r="P170" s="37">
        <v>116.69</v>
      </c>
      <c r="Q170" s="38">
        <f t="shared" si="31"/>
        <v>0.17931542461005212</v>
      </c>
      <c r="R170" s="39">
        <f t="shared" si="32"/>
        <v>95.765683102253021</v>
      </c>
      <c r="S170" s="44">
        <v>0.15</v>
      </c>
      <c r="T170" s="45">
        <v>112.66550953206239</v>
      </c>
      <c r="U170" s="39">
        <f t="shared" si="33"/>
        <v>20.924316897746976</v>
      </c>
      <c r="V170" s="40" t="str">
        <f t="shared" si="34"/>
        <v>1005820531521987361530</v>
      </c>
      <c r="W170" s="41">
        <v>44531</v>
      </c>
      <c r="X170" s="42"/>
      <c r="Y170" s="46"/>
      <c r="Z170" s="47">
        <f t="shared" si="35"/>
        <v>0</v>
      </c>
      <c r="AA170" s="94" t="s">
        <v>335</v>
      </c>
      <c r="AB170" s="95">
        <f t="shared" si="29"/>
        <v>0</v>
      </c>
      <c r="AC170" s="94"/>
      <c r="AD170" s="94">
        <f t="shared" si="30"/>
        <v>0</v>
      </c>
      <c r="AE170" s="96"/>
    </row>
    <row r="171" spans="2:31" x14ac:dyDescent="0.2">
      <c r="B171" s="48" t="s">
        <v>27</v>
      </c>
      <c r="C171" s="48" t="s">
        <v>60</v>
      </c>
      <c r="D171" s="48" t="s">
        <v>69</v>
      </c>
      <c r="E171" s="50" t="s">
        <v>254</v>
      </c>
      <c r="F171" s="50" t="s">
        <v>254</v>
      </c>
      <c r="G171" s="49" t="s">
        <v>255</v>
      </c>
      <c r="H171" s="49" t="s">
        <v>44</v>
      </c>
      <c r="I171" s="49" t="s">
        <v>263</v>
      </c>
      <c r="J171" s="50" t="s">
        <v>241</v>
      </c>
      <c r="K171" s="48" t="s">
        <v>143</v>
      </c>
      <c r="L171" s="49" t="s">
        <v>256</v>
      </c>
      <c r="M171" s="48" t="s">
        <v>29</v>
      </c>
      <c r="N171" s="28" t="s">
        <v>162</v>
      </c>
      <c r="O171" s="29" t="s">
        <v>31</v>
      </c>
      <c r="P171" s="37">
        <v>25.86</v>
      </c>
      <c r="Q171" s="38">
        <f t="shared" si="31"/>
        <v>0.14359381197937326</v>
      </c>
      <c r="R171" s="39">
        <f t="shared" si="32"/>
        <v>22.146664022213407</v>
      </c>
      <c r="S171" s="44">
        <v>0.15</v>
      </c>
      <c r="T171" s="45">
        <v>26.054898849662834</v>
      </c>
      <c r="U171" s="39">
        <f t="shared" si="33"/>
        <v>3.713335977786592</v>
      </c>
      <c r="V171" s="40" t="str">
        <f t="shared" si="34"/>
        <v>1005820335315759361571</v>
      </c>
      <c r="W171" s="41">
        <v>44531</v>
      </c>
      <c r="X171" s="42"/>
      <c r="Y171" s="46">
        <v>25</v>
      </c>
      <c r="Z171" s="47">
        <f t="shared" si="35"/>
        <v>92.833399444664792</v>
      </c>
      <c r="AA171" s="94">
        <f>(20+20+60)/4</f>
        <v>25</v>
      </c>
      <c r="AB171" s="95">
        <f t="shared" si="29"/>
        <v>92.833399444664792</v>
      </c>
      <c r="AC171" s="94" t="s">
        <v>336</v>
      </c>
      <c r="AD171" s="94">
        <f t="shared" si="30"/>
        <v>0</v>
      </c>
      <c r="AE171" s="96"/>
    </row>
    <row r="172" spans="2:31" x14ac:dyDescent="0.2">
      <c r="B172" s="48" t="s">
        <v>27</v>
      </c>
      <c r="C172" s="48" t="s">
        <v>60</v>
      </c>
      <c r="D172" s="48" t="s">
        <v>69</v>
      </c>
      <c r="E172" s="50" t="s">
        <v>254</v>
      </c>
      <c r="F172" s="50" t="s">
        <v>254</v>
      </c>
      <c r="G172" s="49" t="s">
        <v>255</v>
      </c>
      <c r="H172" s="49" t="s">
        <v>44</v>
      </c>
      <c r="I172" s="49" t="s">
        <v>263</v>
      </c>
      <c r="J172" s="50" t="s">
        <v>241</v>
      </c>
      <c r="K172" s="48" t="s">
        <v>143</v>
      </c>
      <c r="L172" s="49" t="s">
        <v>256</v>
      </c>
      <c r="M172" s="48" t="s">
        <v>29</v>
      </c>
      <c r="N172" s="28" t="s">
        <v>162</v>
      </c>
      <c r="O172" s="29" t="s">
        <v>31</v>
      </c>
      <c r="P172" s="37">
        <v>25.86</v>
      </c>
      <c r="Q172" s="38">
        <f t="shared" si="31"/>
        <v>0.14359381197937326</v>
      </c>
      <c r="R172" s="39">
        <f t="shared" si="32"/>
        <v>22.146664022213407</v>
      </c>
      <c r="S172" s="44">
        <v>0.15</v>
      </c>
      <c r="T172" s="45">
        <v>26.054898849662834</v>
      </c>
      <c r="U172" s="39">
        <f t="shared" si="33"/>
        <v>3.713335977786592</v>
      </c>
      <c r="V172" s="40" t="str">
        <f t="shared" si="34"/>
        <v>1005820335315759361571</v>
      </c>
      <c r="W172" s="41">
        <v>44531</v>
      </c>
      <c r="X172" s="42"/>
      <c r="Y172" s="46"/>
      <c r="Z172" s="47">
        <f t="shared" si="35"/>
        <v>0</v>
      </c>
      <c r="AA172" s="94" t="s">
        <v>335</v>
      </c>
      <c r="AB172" s="95">
        <f t="shared" si="29"/>
        <v>0</v>
      </c>
      <c r="AC172" s="94"/>
      <c r="AD172" s="94">
        <f t="shared" si="30"/>
        <v>0</v>
      </c>
      <c r="AE172" s="96"/>
    </row>
    <row r="173" spans="2:31" x14ac:dyDescent="0.2">
      <c r="B173" s="48" t="s">
        <v>27</v>
      </c>
      <c r="C173" s="48" t="s">
        <v>60</v>
      </c>
      <c r="D173" s="48" t="s">
        <v>69</v>
      </c>
      <c r="E173" s="50" t="s">
        <v>254</v>
      </c>
      <c r="F173" s="50" t="s">
        <v>254</v>
      </c>
      <c r="G173" s="49" t="s">
        <v>255</v>
      </c>
      <c r="H173" s="49" t="s">
        <v>44</v>
      </c>
      <c r="I173" s="49" t="s">
        <v>263</v>
      </c>
      <c r="J173" s="50" t="s">
        <v>241</v>
      </c>
      <c r="K173" s="48" t="s">
        <v>143</v>
      </c>
      <c r="L173" s="49" t="s">
        <v>256</v>
      </c>
      <c r="M173" s="48" t="s">
        <v>34</v>
      </c>
      <c r="N173" s="28" t="s">
        <v>173</v>
      </c>
      <c r="O173" s="29" t="s">
        <v>47</v>
      </c>
      <c r="P173" s="37">
        <v>41.42</v>
      </c>
      <c r="Q173" s="38">
        <f t="shared" si="31"/>
        <v>0.49194925591607719</v>
      </c>
      <c r="R173" s="39">
        <f t="shared" si="32"/>
        <v>21.043461819956082</v>
      </c>
      <c r="S173" s="44">
        <v>0.15</v>
      </c>
      <c r="T173" s="45">
        <v>24.757013905830686</v>
      </c>
      <c r="U173" s="39">
        <f t="shared" si="33"/>
        <v>20.376538180043919</v>
      </c>
      <c r="V173" s="40" t="str">
        <f t="shared" si="34"/>
        <v>1005820335315759361535</v>
      </c>
      <c r="W173" s="41">
        <v>44531</v>
      </c>
      <c r="X173" s="42"/>
      <c r="Y173" s="46">
        <v>132</v>
      </c>
      <c r="Z173" s="47">
        <f t="shared" si="35"/>
        <v>2689.7030397657973</v>
      </c>
      <c r="AA173" s="94">
        <f>(10+84+84+26+60)/2</f>
        <v>132</v>
      </c>
      <c r="AB173" s="95">
        <f t="shared" si="29"/>
        <v>2689.7030397657973</v>
      </c>
      <c r="AC173" s="94" t="s">
        <v>336</v>
      </c>
      <c r="AD173" s="94">
        <f t="shared" si="30"/>
        <v>0</v>
      </c>
      <c r="AE173" s="96"/>
    </row>
    <row r="174" spans="2:31" x14ac:dyDescent="0.2">
      <c r="B174" s="48" t="s">
        <v>27</v>
      </c>
      <c r="C174" s="48" t="s">
        <v>60</v>
      </c>
      <c r="D174" s="48" t="s">
        <v>69</v>
      </c>
      <c r="E174" s="50" t="s">
        <v>254</v>
      </c>
      <c r="F174" s="50" t="s">
        <v>254</v>
      </c>
      <c r="G174" s="49" t="s">
        <v>255</v>
      </c>
      <c r="H174" s="49" t="s">
        <v>44</v>
      </c>
      <c r="I174" s="49" t="s">
        <v>144</v>
      </c>
      <c r="J174" s="50" t="s">
        <v>160</v>
      </c>
      <c r="K174" s="48" t="s">
        <v>145</v>
      </c>
      <c r="L174" s="49" t="s">
        <v>256</v>
      </c>
      <c r="M174" s="48" t="s">
        <v>29</v>
      </c>
      <c r="N174" s="28" t="s">
        <v>172</v>
      </c>
      <c r="O174" s="29" t="s">
        <v>46</v>
      </c>
      <c r="P174" s="37">
        <v>11.89</v>
      </c>
      <c r="Q174" s="38">
        <f t="shared" si="31"/>
        <v>0.3217692974848223</v>
      </c>
      <c r="R174" s="39">
        <f t="shared" si="32"/>
        <v>8.0641630529054638</v>
      </c>
      <c r="S174" s="44">
        <v>0.15</v>
      </c>
      <c r="T174" s="45">
        <v>9.4872506504770158</v>
      </c>
      <c r="U174" s="39">
        <f t="shared" si="33"/>
        <v>3.8258369470945368</v>
      </c>
      <c r="V174" s="40" t="str">
        <f t="shared" si="34"/>
        <v>1005820259829594361085</v>
      </c>
      <c r="W174" s="41">
        <v>44531</v>
      </c>
      <c r="X174" s="42"/>
      <c r="Y174" s="46"/>
      <c r="Z174" s="47">
        <f t="shared" si="35"/>
        <v>0</v>
      </c>
      <c r="AA174" s="94" t="s">
        <v>335</v>
      </c>
      <c r="AB174" s="95">
        <f t="shared" si="29"/>
        <v>0</v>
      </c>
      <c r="AC174" s="94"/>
      <c r="AD174" s="94">
        <f t="shared" si="30"/>
        <v>0</v>
      </c>
      <c r="AE174" s="96"/>
    </row>
    <row r="175" spans="2:31" x14ac:dyDescent="0.2">
      <c r="B175" s="48" t="s">
        <v>27</v>
      </c>
      <c r="C175" s="48" t="s">
        <v>60</v>
      </c>
      <c r="D175" s="48" t="s">
        <v>69</v>
      </c>
      <c r="E175" s="50" t="s">
        <v>254</v>
      </c>
      <c r="F175" s="50" t="s">
        <v>254</v>
      </c>
      <c r="G175" s="49" t="s">
        <v>255</v>
      </c>
      <c r="H175" s="49" t="s">
        <v>44</v>
      </c>
      <c r="I175" s="49" t="s">
        <v>144</v>
      </c>
      <c r="J175" s="50" t="s">
        <v>160</v>
      </c>
      <c r="K175" s="48" t="s">
        <v>145</v>
      </c>
      <c r="L175" s="49" t="s">
        <v>256</v>
      </c>
      <c r="M175" s="48" t="s">
        <v>29</v>
      </c>
      <c r="N175" s="28" t="s">
        <v>162</v>
      </c>
      <c r="O175" s="29" t="s">
        <v>31</v>
      </c>
      <c r="P175" s="37">
        <v>25.86</v>
      </c>
      <c r="Q175" s="38">
        <f t="shared" si="31"/>
        <v>0.15303451011503366</v>
      </c>
      <c r="R175" s="39">
        <f t="shared" si="32"/>
        <v>21.902527568425228</v>
      </c>
      <c r="S175" s="44">
        <v>0.15</v>
      </c>
      <c r="T175" s="45">
        <v>25.767679492264975</v>
      </c>
      <c r="U175" s="39">
        <f t="shared" si="33"/>
        <v>3.9574724315747716</v>
      </c>
      <c r="V175" s="40" t="str">
        <f t="shared" si="34"/>
        <v>1005820259829594361571</v>
      </c>
      <c r="W175" s="41">
        <v>44531</v>
      </c>
      <c r="X175" s="42"/>
      <c r="Y175" s="46"/>
      <c r="Z175" s="47">
        <f t="shared" si="35"/>
        <v>0</v>
      </c>
      <c r="AA175" s="94" t="s">
        <v>335</v>
      </c>
      <c r="AB175" s="95">
        <f t="shared" si="29"/>
        <v>0</v>
      </c>
      <c r="AC175" s="94"/>
      <c r="AD175" s="94">
        <f t="shared" si="30"/>
        <v>0</v>
      </c>
      <c r="AE175" s="96"/>
    </row>
    <row r="176" spans="2:31" x14ac:dyDescent="0.2">
      <c r="B176" s="48" t="s">
        <v>27</v>
      </c>
      <c r="C176" s="48" t="s">
        <v>60</v>
      </c>
      <c r="D176" s="48" t="s">
        <v>69</v>
      </c>
      <c r="E176" s="50" t="s">
        <v>254</v>
      </c>
      <c r="F176" s="50" t="s">
        <v>254</v>
      </c>
      <c r="G176" s="49" t="s">
        <v>255</v>
      </c>
      <c r="H176" s="49" t="s">
        <v>44</v>
      </c>
      <c r="I176" s="49" t="s">
        <v>144</v>
      </c>
      <c r="J176" s="50" t="s">
        <v>160</v>
      </c>
      <c r="K176" s="48" t="s">
        <v>145</v>
      </c>
      <c r="L176" s="49" t="s">
        <v>256</v>
      </c>
      <c r="M176" s="48" t="s">
        <v>29</v>
      </c>
      <c r="N176" s="28" t="s">
        <v>162</v>
      </c>
      <c r="O176" s="29" t="s">
        <v>31</v>
      </c>
      <c r="P176" s="37">
        <v>25.86</v>
      </c>
      <c r="Q176" s="38">
        <f t="shared" si="31"/>
        <v>0.15303451011503366</v>
      </c>
      <c r="R176" s="39">
        <f t="shared" si="32"/>
        <v>21.902527568425228</v>
      </c>
      <c r="S176" s="44">
        <v>0.15</v>
      </c>
      <c r="T176" s="45">
        <v>25.767679492264975</v>
      </c>
      <c r="U176" s="39">
        <f t="shared" si="33"/>
        <v>3.9574724315747716</v>
      </c>
      <c r="V176" s="40" t="str">
        <f t="shared" si="34"/>
        <v>1005820259829594361571</v>
      </c>
      <c r="W176" s="41">
        <v>44531</v>
      </c>
      <c r="X176" s="42"/>
      <c r="Y176" s="46"/>
      <c r="Z176" s="47">
        <f t="shared" si="35"/>
        <v>0</v>
      </c>
      <c r="AA176" s="94" t="s">
        <v>335</v>
      </c>
      <c r="AB176" s="95">
        <f t="shared" si="29"/>
        <v>0</v>
      </c>
      <c r="AC176" s="94"/>
      <c r="AD176" s="94">
        <f t="shared" si="30"/>
        <v>0</v>
      </c>
      <c r="AE176" s="96"/>
    </row>
    <row r="177" spans="1:31" x14ac:dyDescent="0.2">
      <c r="B177" s="48" t="s">
        <v>27</v>
      </c>
      <c r="C177" s="48" t="s">
        <v>60</v>
      </c>
      <c r="D177" s="48" t="s">
        <v>69</v>
      </c>
      <c r="E177" s="50" t="s">
        <v>254</v>
      </c>
      <c r="F177" s="50" t="s">
        <v>254</v>
      </c>
      <c r="G177" s="49" t="s">
        <v>255</v>
      </c>
      <c r="H177" s="49" t="s">
        <v>44</v>
      </c>
      <c r="I177" s="49" t="s">
        <v>144</v>
      </c>
      <c r="J177" s="50" t="s">
        <v>160</v>
      </c>
      <c r="K177" s="48" t="s">
        <v>145</v>
      </c>
      <c r="L177" s="49" t="s">
        <v>256</v>
      </c>
      <c r="M177" s="48" t="s">
        <v>34</v>
      </c>
      <c r="N177" s="28" t="s">
        <v>167</v>
      </c>
      <c r="O177" s="29" t="s">
        <v>36</v>
      </c>
      <c r="P177" s="37">
        <v>26.44</v>
      </c>
      <c r="Q177" s="38">
        <f t="shared" si="31"/>
        <v>0.30258141382049253</v>
      </c>
      <c r="R177" s="39">
        <f t="shared" si="32"/>
        <v>18.43974741858618</v>
      </c>
      <c r="S177" s="44">
        <v>0.15</v>
      </c>
      <c r="T177" s="45">
        <v>21.693820492454329</v>
      </c>
      <c r="U177" s="39">
        <f t="shared" si="33"/>
        <v>8.0002525814138217</v>
      </c>
      <c r="V177" s="40" t="str">
        <f t="shared" si="34"/>
        <v>1005820259829594361532</v>
      </c>
      <c r="W177" s="41">
        <v>44531</v>
      </c>
      <c r="X177" s="42"/>
      <c r="Y177" s="46">
        <v>200</v>
      </c>
      <c r="Z177" s="47">
        <f t="shared" si="35"/>
        <v>1600.0505162827644</v>
      </c>
      <c r="AA177" s="94">
        <f>400/2</f>
        <v>200</v>
      </c>
      <c r="AB177" s="95">
        <f t="shared" si="29"/>
        <v>1600.0505162827644</v>
      </c>
      <c r="AC177" s="94" t="s">
        <v>336</v>
      </c>
      <c r="AD177" s="94">
        <f t="shared" si="30"/>
        <v>0</v>
      </c>
      <c r="AE177" s="96"/>
    </row>
    <row r="178" spans="1:31" x14ac:dyDescent="0.2">
      <c r="B178" s="48" t="s">
        <v>27</v>
      </c>
      <c r="C178" s="48" t="s">
        <v>60</v>
      </c>
      <c r="D178" s="48" t="s">
        <v>69</v>
      </c>
      <c r="E178" s="50" t="s">
        <v>254</v>
      </c>
      <c r="F178" s="50" t="s">
        <v>254</v>
      </c>
      <c r="G178" s="49" t="s">
        <v>253</v>
      </c>
      <c r="H178" s="49" t="s">
        <v>44</v>
      </c>
      <c r="I178" s="49" t="s">
        <v>59</v>
      </c>
      <c r="J178" s="50" t="s">
        <v>242</v>
      </c>
      <c r="K178" s="48" t="s">
        <v>146</v>
      </c>
      <c r="L178" s="49" t="s">
        <v>256</v>
      </c>
      <c r="M178" s="48" t="s">
        <v>29</v>
      </c>
      <c r="N178" s="28" t="s">
        <v>162</v>
      </c>
      <c r="O178" s="29" t="s">
        <v>31</v>
      </c>
      <c r="P178" s="37">
        <v>25.86</v>
      </c>
      <c r="Q178" s="38">
        <f t="shared" si="31"/>
        <v>0.13010710035700124</v>
      </c>
      <c r="R178" s="39">
        <f t="shared" si="32"/>
        <v>22.495430384767946</v>
      </c>
      <c r="S178" s="44">
        <v>0.15</v>
      </c>
      <c r="T178" s="45">
        <v>26.465212217374056</v>
      </c>
      <c r="U178" s="39">
        <f t="shared" si="33"/>
        <v>3.3645696152320532</v>
      </c>
      <c r="V178" s="40" t="str">
        <f t="shared" si="34"/>
        <v>1005820136222725361571</v>
      </c>
      <c r="W178" s="41">
        <v>44531</v>
      </c>
      <c r="X178" s="42"/>
      <c r="Y178" s="46">
        <v>30</v>
      </c>
      <c r="Z178" s="47">
        <f t="shared" si="35"/>
        <v>100.93708845696159</v>
      </c>
      <c r="AA178" s="94">
        <f>120/4</f>
        <v>30</v>
      </c>
      <c r="AB178" s="95">
        <f t="shared" si="29"/>
        <v>100.93708845696159</v>
      </c>
      <c r="AC178" s="94" t="s">
        <v>336</v>
      </c>
      <c r="AD178" s="94">
        <f t="shared" si="30"/>
        <v>0</v>
      </c>
      <c r="AE178" s="96"/>
    </row>
    <row r="179" spans="1:31" x14ac:dyDescent="0.2">
      <c r="B179" s="48" t="s">
        <v>27</v>
      </c>
      <c r="C179" s="48" t="s">
        <v>60</v>
      </c>
      <c r="D179" s="48" t="s">
        <v>69</v>
      </c>
      <c r="E179" s="50" t="s">
        <v>254</v>
      </c>
      <c r="F179" s="50" t="s">
        <v>254</v>
      </c>
      <c r="G179" s="49" t="s">
        <v>253</v>
      </c>
      <c r="H179" s="49" t="s">
        <v>44</v>
      </c>
      <c r="I179" s="49" t="s">
        <v>59</v>
      </c>
      <c r="J179" s="50" t="s">
        <v>242</v>
      </c>
      <c r="K179" s="48" t="s">
        <v>146</v>
      </c>
      <c r="L179" s="49" t="s">
        <v>256</v>
      </c>
      <c r="M179" s="48" t="s">
        <v>29</v>
      </c>
      <c r="N179" s="28" t="s">
        <v>162</v>
      </c>
      <c r="O179" s="29" t="s">
        <v>31</v>
      </c>
      <c r="P179" s="37">
        <v>25.86</v>
      </c>
      <c r="Q179" s="38">
        <f t="shared" si="31"/>
        <v>0.13010710035700124</v>
      </c>
      <c r="R179" s="39">
        <f t="shared" si="32"/>
        <v>22.495430384767946</v>
      </c>
      <c r="S179" s="44">
        <v>0.15</v>
      </c>
      <c r="T179" s="45">
        <v>26.465212217374056</v>
      </c>
      <c r="U179" s="39">
        <f t="shared" si="33"/>
        <v>3.3645696152320532</v>
      </c>
      <c r="V179" s="40" t="str">
        <f t="shared" si="34"/>
        <v>1005820136222725361571</v>
      </c>
      <c r="W179" s="41">
        <v>44531</v>
      </c>
      <c r="X179" s="42"/>
      <c r="Y179" s="46"/>
      <c r="Z179" s="47">
        <f t="shared" si="35"/>
        <v>0</v>
      </c>
      <c r="AA179" s="94" t="s">
        <v>335</v>
      </c>
      <c r="AB179" s="95">
        <f t="shared" si="29"/>
        <v>0</v>
      </c>
      <c r="AC179" s="94"/>
      <c r="AD179" s="94">
        <f t="shared" si="30"/>
        <v>0</v>
      </c>
      <c r="AE179" s="96"/>
    </row>
    <row r="180" spans="1:31" x14ac:dyDescent="0.2">
      <c r="B180" s="48" t="s">
        <v>27</v>
      </c>
      <c r="C180" s="48" t="s">
        <v>60</v>
      </c>
      <c r="D180" s="48" t="s">
        <v>69</v>
      </c>
      <c r="E180" s="50" t="s">
        <v>254</v>
      </c>
      <c r="F180" s="50" t="s">
        <v>254</v>
      </c>
      <c r="G180" s="49" t="s">
        <v>253</v>
      </c>
      <c r="H180" s="49" t="s">
        <v>44</v>
      </c>
      <c r="I180" s="49" t="s">
        <v>59</v>
      </c>
      <c r="J180" s="50" t="s">
        <v>242</v>
      </c>
      <c r="K180" s="48" t="s">
        <v>146</v>
      </c>
      <c r="L180" s="49" t="s">
        <v>256</v>
      </c>
      <c r="M180" s="48" t="s">
        <v>34</v>
      </c>
      <c r="N180" s="28" t="s">
        <v>167</v>
      </c>
      <c r="O180" s="29" t="s">
        <v>36</v>
      </c>
      <c r="P180" s="37">
        <v>26.44</v>
      </c>
      <c r="Q180" s="38">
        <f t="shared" si="31"/>
        <v>0.16282764098490876</v>
      </c>
      <c r="R180" s="39">
        <f t="shared" si="32"/>
        <v>22.134837172359013</v>
      </c>
      <c r="S180" s="44">
        <v>0.15</v>
      </c>
      <c r="T180" s="45">
        <v>26.040984908657663</v>
      </c>
      <c r="U180" s="39">
        <f t="shared" si="33"/>
        <v>4.3051628276409879</v>
      </c>
      <c r="V180" s="40" t="str">
        <f t="shared" si="34"/>
        <v>1005820136222725361532</v>
      </c>
      <c r="W180" s="41">
        <v>44531</v>
      </c>
      <c r="X180" s="42"/>
      <c r="Y180" s="46">
        <v>75</v>
      </c>
      <c r="Z180" s="47">
        <f t="shared" si="35"/>
        <v>322.88721207307407</v>
      </c>
      <c r="AA180" s="94">
        <f>150/2</f>
        <v>75</v>
      </c>
      <c r="AB180" s="95">
        <f t="shared" si="29"/>
        <v>322.88721207307407</v>
      </c>
      <c r="AC180" s="94" t="s">
        <v>336</v>
      </c>
      <c r="AD180" s="94">
        <f t="shared" si="30"/>
        <v>0</v>
      </c>
      <c r="AE180" s="96"/>
    </row>
    <row r="181" spans="1:31" x14ac:dyDescent="0.2">
      <c r="B181" s="48" t="s">
        <v>27</v>
      </c>
      <c r="C181" s="48" t="s">
        <v>60</v>
      </c>
      <c r="D181" s="48" t="s">
        <v>69</v>
      </c>
      <c r="E181" s="50" t="s">
        <v>254</v>
      </c>
      <c r="F181" s="50" t="s">
        <v>254</v>
      </c>
      <c r="G181" s="49" t="s">
        <v>251</v>
      </c>
      <c r="H181" s="49" t="s">
        <v>58</v>
      </c>
      <c r="I181" s="49" t="s">
        <v>147</v>
      </c>
      <c r="J181" s="50" t="s">
        <v>243</v>
      </c>
      <c r="K181" s="48" t="s">
        <v>148</v>
      </c>
      <c r="L181" s="49" t="s">
        <v>256</v>
      </c>
      <c r="M181" s="48" t="s">
        <v>29</v>
      </c>
      <c r="N181" s="28" t="s">
        <v>162</v>
      </c>
      <c r="O181" s="29" t="s">
        <v>31</v>
      </c>
      <c r="P181" s="37">
        <v>25.86</v>
      </c>
      <c r="Q181" s="38">
        <f t="shared" si="31"/>
        <v>1.9833399444665334E-3</v>
      </c>
      <c r="R181" s="39">
        <f t="shared" si="32"/>
        <v>25.808710829036094</v>
      </c>
      <c r="S181" s="44">
        <v>0.15</v>
      </c>
      <c r="T181" s="45">
        <v>30.363189210630701</v>
      </c>
      <c r="U181" s="39">
        <f t="shared" si="33"/>
        <v>5.1289170963904951E-2</v>
      </c>
      <c r="V181" s="40" t="str">
        <f t="shared" si="34"/>
        <v>1005820117920144361571</v>
      </c>
      <c r="W181" s="41">
        <v>44531</v>
      </c>
      <c r="X181" s="42"/>
      <c r="Y181" s="46"/>
      <c r="Z181" s="47">
        <f t="shared" si="35"/>
        <v>0</v>
      </c>
      <c r="AA181" s="94" t="s">
        <v>335</v>
      </c>
      <c r="AB181" s="95">
        <f t="shared" si="29"/>
        <v>0</v>
      </c>
      <c r="AC181" s="94"/>
      <c r="AD181" s="94">
        <f t="shared" si="30"/>
        <v>0</v>
      </c>
      <c r="AE181" s="96"/>
    </row>
    <row r="182" spans="1:31" x14ac:dyDescent="0.2">
      <c r="B182" s="48" t="s">
        <v>27</v>
      </c>
      <c r="C182" s="48" t="s">
        <v>60</v>
      </c>
      <c r="D182" s="48" t="s">
        <v>69</v>
      </c>
      <c r="E182" s="50" t="s">
        <v>254</v>
      </c>
      <c r="F182" s="50" t="s">
        <v>254</v>
      </c>
      <c r="G182" s="49" t="s">
        <v>251</v>
      </c>
      <c r="H182" s="49" t="s">
        <v>58</v>
      </c>
      <c r="I182" s="49" t="s">
        <v>147</v>
      </c>
      <c r="J182" s="50" t="s">
        <v>243</v>
      </c>
      <c r="K182" s="48" t="s">
        <v>148</v>
      </c>
      <c r="L182" s="49" t="s">
        <v>256</v>
      </c>
      <c r="M182" s="48" t="s">
        <v>29</v>
      </c>
      <c r="N182" s="28" t="s">
        <v>162</v>
      </c>
      <c r="O182" s="29" t="s">
        <v>31</v>
      </c>
      <c r="P182" s="37">
        <v>25.86</v>
      </c>
      <c r="Q182" s="38">
        <f t="shared" si="31"/>
        <v>1.9833399444665334E-3</v>
      </c>
      <c r="R182" s="39">
        <f t="shared" si="32"/>
        <v>25.808710829036094</v>
      </c>
      <c r="S182" s="44">
        <v>0.15</v>
      </c>
      <c r="T182" s="45">
        <v>30.363189210630701</v>
      </c>
      <c r="U182" s="39">
        <f t="shared" si="33"/>
        <v>5.1289170963904951E-2</v>
      </c>
      <c r="V182" s="40" t="str">
        <f t="shared" si="34"/>
        <v>1005820117920144361571</v>
      </c>
      <c r="W182" s="41">
        <v>44531</v>
      </c>
      <c r="X182" s="42"/>
      <c r="Y182" s="46"/>
      <c r="Z182" s="47">
        <f t="shared" si="35"/>
        <v>0</v>
      </c>
      <c r="AA182" s="94" t="s">
        <v>335</v>
      </c>
      <c r="AB182" s="95">
        <f t="shared" si="29"/>
        <v>0</v>
      </c>
      <c r="AC182" s="94"/>
      <c r="AD182" s="94">
        <f t="shared" si="30"/>
        <v>0</v>
      </c>
      <c r="AE182" s="96"/>
    </row>
    <row r="183" spans="1:31" x14ac:dyDescent="0.2">
      <c r="B183" s="48" t="s">
        <v>27</v>
      </c>
      <c r="C183" s="48" t="s">
        <v>60</v>
      </c>
      <c r="D183" s="48" t="s">
        <v>69</v>
      </c>
      <c r="E183" s="50" t="s">
        <v>254</v>
      </c>
      <c r="F183" s="50" t="s">
        <v>254</v>
      </c>
      <c r="G183" s="49" t="s">
        <v>251</v>
      </c>
      <c r="H183" s="49" t="s">
        <v>58</v>
      </c>
      <c r="I183" s="49" t="s">
        <v>147</v>
      </c>
      <c r="J183" s="50" t="s">
        <v>243</v>
      </c>
      <c r="K183" s="48" t="s">
        <v>148</v>
      </c>
      <c r="L183" s="49" t="s">
        <v>256</v>
      </c>
      <c r="M183" s="48" t="s">
        <v>34</v>
      </c>
      <c r="N183" s="28" t="s">
        <v>167</v>
      </c>
      <c r="O183" s="29" t="s">
        <v>36</v>
      </c>
      <c r="P183" s="37">
        <v>26.44</v>
      </c>
      <c r="Q183" s="38">
        <f t="shared" si="31"/>
        <v>0.20333598093725169</v>
      </c>
      <c r="R183" s="39">
        <f t="shared" si="32"/>
        <v>21.063796664019065</v>
      </c>
      <c r="S183" s="44">
        <v>0.15</v>
      </c>
      <c r="T183" s="45">
        <v>24.780937251787137</v>
      </c>
      <c r="U183" s="39">
        <f t="shared" si="33"/>
        <v>5.3762033359809358</v>
      </c>
      <c r="V183" s="40" t="str">
        <f t="shared" si="34"/>
        <v>1005820117920144361532</v>
      </c>
      <c r="W183" s="41">
        <v>44531</v>
      </c>
      <c r="X183" s="42"/>
      <c r="Y183" s="46">
        <v>36</v>
      </c>
      <c r="Z183" s="47">
        <f t="shared" si="35"/>
        <v>193.54332009531367</v>
      </c>
      <c r="AA183" s="94">
        <f>72/2</f>
        <v>36</v>
      </c>
      <c r="AB183" s="95">
        <f t="shared" si="29"/>
        <v>193.54332009531367</v>
      </c>
      <c r="AC183" s="94" t="s">
        <v>336</v>
      </c>
      <c r="AD183" s="94">
        <f t="shared" si="30"/>
        <v>0</v>
      </c>
      <c r="AE183" s="96"/>
    </row>
    <row r="184" spans="1:31" x14ac:dyDescent="0.2">
      <c r="B184" s="48" t="s">
        <v>27</v>
      </c>
      <c r="C184" s="48" t="s">
        <v>60</v>
      </c>
      <c r="D184" s="48" t="s">
        <v>69</v>
      </c>
      <c r="E184" s="50" t="s">
        <v>254</v>
      </c>
      <c r="F184" s="50" t="s">
        <v>254</v>
      </c>
      <c r="G184" s="49" t="s">
        <v>251</v>
      </c>
      <c r="H184" s="49" t="s">
        <v>58</v>
      </c>
      <c r="I184" s="49" t="s">
        <v>65</v>
      </c>
      <c r="J184" s="50" t="s">
        <v>244</v>
      </c>
      <c r="K184" s="48" t="s">
        <v>149</v>
      </c>
      <c r="L184" s="49" t="s">
        <v>256</v>
      </c>
      <c r="M184" s="48" t="s">
        <v>29</v>
      </c>
      <c r="N184" s="28" t="s">
        <v>162</v>
      </c>
      <c r="O184" s="29" t="s">
        <v>31</v>
      </c>
      <c r="P184" s="37">
        <v>25.86</v>
      </c>
      <c r="Q184" s="38">
        <f t="shared" si="31"/>
        <v>0.11122570408568033</v>
      </c>
      <c r="R184" s="39">
        <f t="shared" si="32"/>
        <v>22.983703292344305</v>
      </c>
      <c r="S184" s="44">
        <v>0.15</v>
      </c>
      <c r="T184" s="45">
        <v>27.039650932169771</v>
      </c>
      <c r="U184" s="39">
        <f t="shared" si="33"/>
        <v>2.876296707655694</v>
      </c>
      <c r="V184" s="40" t="str">
        <f t="shared" si="34"/>
        <v>1005820340144938361571</v>
      </c>
      <c r="W184" s="41">
        <v>44531</v>
      </c>
      <c r="X184" s="42"/>
      <c r="Y184" s="46">
        <v>75</v>
      </c>
      <c r="Z184" s="47">
        <f t="shared" si="35"/>
        <v>215.72225307417705</v>
      </c>
      <c r="AA184" s="94">
        <f>300/4</f>
        <v>75</v>
      </c>
      <c r="AB184" s="95">
        <f t="shared" si="29"/>
        <v>215.72225307417705</v>
      </c>
      <c r="AC184" s="94" t="s">
        <v>336</v>
      </c>
      <c r="AD184" s="94">
        <f t="shared" si="30"/>
        <v>0</v>
      </c>
      <c r="AE184" s="96"/>
    </row>
    <row r="185" spans="1:31" x14ac:dyDescent="0.2">
      <c r="A185" s="43"/>
      <c r="B185" s="48" t="s">
        <v>27</v>
      </c>
      <c r="C185" s="48" t="s">
        <v>60</v>
      </c>
      <c r="D185" s="48" t="s">
        <v>69</v>
      </c>
      <c r="E185" s="50" t="s">
        <v>254</v>
      </c>
      <c r="F185" s="50" t="s">
        <v>254</v>
      </c>
      <c r="G185" s="49" t="s">
        <v>251</v>
      </c>
      <c r="H185" s="49" t="s">
        <v>58</v>
      </c>
      <c r="I185" s="49" t="s">
        <v>65</v>
      </c>
      <c r="J185" s="50" t="s">
        <v>244</v>
      </c>
      <c r="K185" s="48" t="s">
        <v>149</v>
      </c>
      <c r="L185" s="49" t="s">
        <v>256</v>
      </c>
      <c r="M185" s="48" t="s">
        <v>29</v>
      </c>
      <c r="N185" s="28" t="s">
        <v>162</v>
      </c>
      <c r="O185" s="29" t="s">
        <v>31</v>
      </c>
      <c r="P185" s="37">
        <v>25.86</v>
      </c>
      <c r="Q185" s="38">
        <f t="shared" si="31"/>
        <v>0.11122570408568033</v>
      </c>
      <c r="R185" s="39">
        <f t="shared" si="32"/>
        <v>22.983703292344305</v>
      </c>
      <c r="S185" s="44">
        <v>0.15</v>
      </c>
      <c r="T185" s="45">
        <v>27.039650932169771</v>
      </c>
      <c r="U185" s="39">
        <f t="shared" si="33"/>
        <v>2.876296707655694</v>
      </c>
      <c r="V185" s="40" t="str">
        <f t="shared" si="34"/>
        <v>1005820340144938361571</v>
      </c>
      <c r="W185" s="41">
        <v>44531</v>
      </c>
      <c r="X185" s="42"/>
      <c r="Y185" s="46"/>
      <c r="Z185" s="47">
        <f t="shared" si="35"/>
        <v>0</v>
      </c>
      <c r="AA185" s="94" t="s">
        <v>335</v>
      </c>
      <c r="AB185" s="95">
        <f t="shared" si="29"/>
        <v>0</v>
      </c>
      <c r="AC185" s="94"/>
      <c r="AD185" s="94">
        <f t="shared" si="30"/>
        <v>0</v>
      </c>
      <c r="AE185" s="96"/>
    </row>
    <row r="186" spans="1:31" x14ac:dyDescent="0.2">
      <c r="A186" s="43"/>
      <c r="B186" s="48" t="s">
        <v>27</v>
      </c>
      <c r="C186" s="48" t="s">
        <v>60</v>
      </c>
      <c r="D186" s="48" t="s">
        <v>69</v>
      </c>
      <c r="E186" s="50" t="s">
        <v>254</v>
      </c>
      <c r="F186" s="50" t="s">
        <v>254</v>
      </c>
      <c r="G186" s="49" t="s">
        <v>251</v>
      </c>
      <c r="H186" s="49" t="s">
        <v>58</v>
      </c>
      <c r="I186" s="49" t="s">
        <v>65</v>
      </c>
      <c r="J186" s="50" t="s">
        <v>244</v>
      </c>
      <c r="K186" s="48" t="s">
        <v>149</v>
      </c>
      <c r="L186" s="49" t="s">
        <v>256</v>
      </c>
      <c r="M186" s="48" t="s">
        <v>29</v>
      </c>
      <c r="N186" s="28" t="s">
        <v>165</v>
      </c>
      <c r="O186" s="29" t="s">
        <v>33</v>
      </c>
      <c r="P186" s="37">
        <v>50.39</v>
      </c>
      <c r="Q186" s="38">
        <f t="shared" si="31"/>
        <v>0.19368922405239142</v>
      </c>
      <c r="R186" s="39">
        <f t="shared" si="32"/>
        <v>40.629999999999995</v>
      </c>
      <c r="S186" s="44">
        <v>0.15</v>
      </c>
      <c r="T186" s="45">
        <v>47.8</v>
      </c>
      <c r="U186" s="39">
        <f t="shared" si="33"/>
        <v>9.7600000000000051</v>
      </c>
      <c r="V186" s="40" t="str">
        <f t="shared" si="34"/>
        <v>1005820340144938361540</v>
      </c>
      <c r="W186" s="41">
        <v>44531</v>
      </c>
      <c r="X186" s="42"/>
      <c r="Y186" s="46"/>
      <c r="Z186" s="47">
        <f t="shared" si="35"/>
        <v>0</v>
      </c>
      <c r="AA186" s="94" t="s">
        <v>335</v>
      </c>
      <c r="AB186" s="95">
        <f t="shared" si="29"/>
        <v>0</v>
      </c>
      <c r="AC186" s="94"/>
      <c r="AD186" s="94">
        <f t="shared" si="30"/>
        <v>0</v>
      </c>
      <c r="AE186" s="96"/>
    </row>
    <row r="187" spans="1:31" x14ac:dyDescent="0.2">
      <c r="A187" s="43"/>
      <c r="B187" s="48" t="s">
        <v>27</v>
      </c>
      <c r="C187" s="48" t="s">
        <v>60</v>
      </c>
      <c r="D187" s="48" t="s">
        <v>69</v>
      </c>
      <c r="E187" s="50" t="s">
        <v>254</v>
      </c>
      <c r="F187" s="50" t="s">
        <v>254</v>
      </c>
      <c r="G187" s="49" t="s">
        <v>251</v>
      </c>
      <c r="H187" s="49" t="s">
        <v>58</v>
      </c>
      <c r="I187" s="49" t="s">
        <v>65</v>
      </c>
      <c r="J187" s="50" t="s">
        <v>244</v>
      </c>
      <c r="K187" s="48" t="s">
        <v>149</v>
      </c>
      <c r="L187" s="49" t="s">
        <v>256</v>
      </c>
      <c r="M187" s="48" t="s">
        <v>34</v>
      </c>
      <c r="N187" s="28" t="s">
        <v>177</v>
      </c>
      <c r="O187" s="29" t="s">
        <v>52</v>
      </c>
      <c r="P187" s="37">
        <v>77.8</v>
      </c>
      <c r="Q187" s="38">
        <f t="shared" si="31"/>
        <v>0.22899960562639665</v>
      </c>
      <c r="R187" s="39">
        <f t="shared" si="32"/>
        <v>59.983830682266337</v>
      </c>
      <c r="S187" s="44">
        <v>0.15</v>
      </c>
      <c r="T187" s="45">
        <v>70.569212567372162</v>
      </c>
      <c r="U187" s="39">
        <f t="shared" si="33"/>
        <v>17.81616931773366</v>
      </c>
      <c r="V187" s="40" t="str">
        <f t="shared" si="34"/>
        <v>1005820340144938361537</v>
      </c>
      <c r="W187" s="41">
        <v>44531</v>
      </c>
      <c r="X187" s="42"/>
      <c r="Y187" s="46"/>
      <c r="Z187" s="47">
        <f t="shared" si="35"/>
        <v>0</v>
      </c>
      <c r="AA187" s="94" t="s">
        <v>335</v>
      </c>
      <c r="AB187" s="95">
        <f t="shared" si="29"/>
        <v>0</v>
      </c>
      <c r="AC187" s="94"/>
      <c r="AD187" s="94">
        <f t="shared" si="30"/>
        <v>0</v>
      </c>
      <c r="AE187" s="96"/>
    </row>
    <row r="188" spans="1:31" x14ac:dyDescent="0.2">
      <c r="A188" s="43"/>
      <c r="B188" s="48" t="s">
        <v>27</v>
      </c>
      <c r="C188" s="48" t="s">
        <v>60</v>
      </c>
      <c r="D188" s="48" t="s">
        <v>69</v>
      </c>
      <c r="E188" s="50" t="s">
        <v>254</v>
      </c>
      <c r="F188" s="50" t="s">
        <v>254</v>
      </c>
      <c r="G188" s="49" t="s">
        <v>260</v>
      </c>
      <c r="H188" s="49" t="s">
        <v>44</v>
      </c>
      <c r="I188" s="49" t="s">
        <v>261</v>
      </c>
      <c r="J188" s="50" t="s">
        <v>245</v>
      </c>
      <c r="K188" s="48" t="s">
        <v>150</v>
      </c>
      <c r="L188" s="49" t="s">
        <v>256</v>
      </c>
      <c r="M188" s="48" t="s">
        <v>29</v>
      </c>
      <c r="N188" s="28" t="s">
        <v>164</v>
      </c>
      <c r="O188" s="29" t="s">
        <v>32</v>
      </c>
      <c r="P188" s="37">
        <v>56.91</v>
      </c>
      <c r="Q188" s="38">
        <f t="shared" si="31"/>
        <v>0.24275171323141809</v>
      </c>
      <c r="R188" s="39">
        <f t="shared" si="32"/>
        <v>43.094999999999992</v>
      </c>
      <c r="S188" s="44">
        <v>0.15</v>
      </c>
      <c r="T188" s="45">
        <v>50.699999999999989</v>
      </c>
      <c r="U188" s="39">
        <f t="shared" si="33"/>
        <v>13.815000000000005</v>
      </c>
      <c r="V188" s="40" t="str">
        <f t="shared" si="34"/>
        <v>1005820100147514361377</v>
      </c>
      <c r="W188" s="41">
        <v>44531</v>
      </c>
      <c r="X188" s="42"/>
      <c r="Y188" s="46">
        <v>15</v>
      </c>
      <c r="Z188" s="47">
        <f t="shared" si="35"/>
        <v>207.22500000000008</v>
      </c>
      <c r="AA188" s="94">
        <f>90/6</f>
        <v>15</v>
      </c>
      <c r="AB188" s="95">
        <f t="shared" si="29"/>
        <v>207.22500000000008</v>
      </c>
      <c r="AC188" s="94" t="s">
        <v>336</v>
      </c>
      <c r="AD188" s="94">
        <f t="shared" si="30"/>
        <v>0</v>
      </c>
      <c r="AE188" s="96"/>
    </row>
    <row r="189" spans="1:31" x14ac:dyDescent="0.2">
      <c r="A189" s="43"/>
      <c r="B189" s="48" t="s">
        <v>27</v>
      </c>
      <c r="C189" s="48" t="s">
        <v>60</v>
      </c>
      <c r="D189" s="48" t="s">
        <v>69</v>
      </c>
      <c r="E189" s="50" t="s">
        <v>254</v>
      </c>
      <c r="F189" s="50" t="s">
        <v>254</v>
      </c>
      <c r="G189" s="49" t="s">
        <v>260</v>
      </c>
      <c r="H189" s="49" t="s">
        <v>44</v>
      </c>
      <c r="I189" s="49" t="s">
        <v>261</v>
      </c>
      <c r="J189" s="50" t="s">
        <v>245</v>
      </c>
      <c r="K189" s="48" t="s">
        <v>150</v>
      </c>
      <c r="L189" s="49" t="s">
        <v>256</v>
      </c>
      <c r="M189" s="48" t="s">
        <v>29</v>
      </c>
      <c r="N189" s="28" t="s">
        <v>165</v>
      </c>
      <c r="O189" s="29" t="s">
        <v>33</v>
      </c>
      <c r="P189" s="37">
        <v>50.39</v>
      </c>
      <c r="Q189" s="38">
        <f t="shared" si="31"/>
        <v>0.30839452272276247</v>
      </c>
      <c r="R189" s="39">
        <f t="shared" si="32"/>
        <v>34.85</v>
      </c>
      <c r="S189" s="44">
        <v>0.15</v>
      </c>
      <c r="T189" s="45">
        <v>41</v>
      </c>
      <c r="U189" s="39">
        <f t="shared" si="33"/>
        <v>15.54</v>
      </c>
      <c r="V189" s="40" t="str">
        <f t="shared" si="34"/>
        <v>1005820100147514361540</v>
      </c>
      <c r="W189" s="41">
        <v>44531</v>
      </c>
      <c r="X189" s="42"/>
      <c r="Y189" s="46"/>
      <c r="Z189" s="47">
        <f t="shared" si="35"/>
        <v>0</v>
      </c>
      <c r="AA189" s="94" t="s">
        <v>335</v>
      </c>
      <c r="AB189" s="95">
        <f t="shared" si="29"/>
        <v>0</v>
      </c>
      <c r="AC189" s="94"/>
      <c r="AD189" s="94">
        <f t="shared" si="30"/>
        <v>0</v>
      </c>
      <c r="AE189" s="96"/>
    </row>
    <row r="190" spans="1:31" x14ac:dyDescent="0.2">
      <c r="A190" s="43"/>
      <c r="B190" s="48" t="s">
        <v>27</v>
      </c>
      <c r="C190" s="48" t="s">
        <v>60</v>
      </c>
      <c r="D190" s="48" t="s">
        <v>69</v>
      </c>
      <c r="E190" s="50" t="s">
        <v>254</v>
      </c>
      <c r="F190" s="50" t="s">
        <v>254</v>
      </c>
      <c r="G190" s="49" t="s">
        <v>255</v>
      </c>
      <c r="H190" s="49" t="s">
        <v>44</v>
      </c>
      <c r="I190" s="49" t="s">
        <v>61</v>
      </c>
      <c r="J190" s="50" t="s">
        <v>246</v>
      </c>
      <c r="K190" s="48" t="s">
        <v>151</v>
      </c>
      <c r="L190" s="49" t="s">
        <v>256</v>
      </c>
      <c r="M190" s="48" t="s">
        <v>29</v>
      </c>
      <c r="N190" s="28" t="s">
        <v>162</v>
      </c>
      <c r="O190" s="29" t="s">
        <v>31</v>
      </c>
      <c r="P190" s="37">
        <v>25.86</v>
      </c>
      <c r="Q190" s="38">
        <f t="shared" si="31"/>
        <v>0.14359381197937326</v>
      </c>
      <c r="R190" s="39">
        <f t="shared" si="32"/>
        <v>22.146664022213407</v>
      </c>
      <c r="S190" s="44">
        <v>0.15</v>
      </c>
      <c r="T190" s="45">
        <v>26.054898849662834</v>
      </c>
      <c r="U190" s="39">
        <f t="shared" si="33"/>
        <v>3.713335977786592</v>
      </c>
      <c r="V190" s="40" t="str">
        <f t="shared" si="34"/>
        <v>1005820536692399361571</v>
      </c>
      <c r="W190" s="41">
        <v>44531</v>
      </c>
      <c r="X190" s="42"/>
      <c r="Y190" s="46">
        <v>4</v>
      </c>
      <c r="Z190" s="47">
        <f t="shared" si="35"/>
        <v>14.853343911146368</v>
      </c>
      <c r="AA190" s="94">
        <f>16/4</f>
        <v>4</v>
      </c>
      <c r="AB190" s="95">
        <f t="shared" si="29"/>
        <v>14.853343911146368</v>
      </c>
      <c r="AC190" s="94" t="s">
        <v>336</v>
      </c>
      <c r="AD190" s="94">
        <f t="shared" si="30"/>
        <v>0</v>
      </c>
      <c r="AE190" s="96"/>
    </row>
    <row r="191" spans="1:31" x14ac:dyDescent="0.2">
      <c r="A191" s="43"/>
      <c r="B191" s="48" t="s">
        <v>27</v>
      </c>
      <c r="C191" s="48" t="s">
        <v>60</v>
      </c>
      <c r="D191" s="48" t="s">
        <v>69</v>
      </c>
      <c r="E191" s="50" t="s">
        <v>254</v>
      </c>
      <c r="F191" s="50" t="s">
        <v>254</v>
      </c>
      <c r="G191" s="49" t="s">
        <v>255</v>
      </c>
      <c r="H191" s="49" t="s">
        <v>44</v>
      </c>
      <c r="I191" s="49" t="s">
        <v>61</v>
      </c>
      <c r="J191" s="50" t="s">
        <v>246</v>
      </c>
      <c r="K191" s="48" t="s">
        <v>151</v>
      </c>
      <c r="L191" s="49" t="s">
        <v>256</v>
      </c>
      <c r="M191" s="48" t="s">
        <v>29</v>
      </c>
      <c r="N191" s="28" t="s">
        <v>162</v>
      </c>
      <c r="O191" s="29" t="s">
        <v>31</v>
      </c>
      <c r="P191" s="37">
        <v>25.86</v>
      </c>
      <c r="Q191" s="38">
        <f t="shared" si="31"/>
        <v>0.14359381197937326</v>
      </c>
      <c r="R191" s="39">
        <f t="shared" si="32"/>
        <v>22.146664022213407</v>
      </c>
      <c r="S191" s="44">
        <v>0.15</v>
      </c>
      <c r="T191" s="45">
        <v>26.054898849662834</v>
      </c>
      <c r="U191" s="39">
        <f t="shared" si="33"/>
        <v>3.713335977786592</v>
      </c>
      <c r="V191" s="40" t="str">
        <f t="shared" si="34"/>
        <v>1005820536692399361571</v>
      </c>
      <c r="W191" s="41">
        <v>44531</v>
      </c>
      <c r="X191" s="42"/>
      <c r="Y191" s="46"/>
      <c r="Z191" s="47">
        <f t="shared" si="35"/>
        <v>0</v>
      </c>
      <c r="AA191" s="94" t="s">
        <v>335</v>
      </c>
      <c r="AB191" s="95">
        <f t="shared" si="29"/>
        <v>0</v>
      </c>
      <c r="AC191" s="94"/>
      <c r="AD191" s="94">
        <f t="shared" si="30"/>
        <v>0</v>
      </c>
      <c r="AE191" s="96"/>
    </row>
    <row r="192" spans="1:31" x14ac:dyDescent="0.2">
      <c r="B192" s="48" t="s">
        <v>27</v>
      </c>
      <c r="C192" s="48" t="s">
        <v>60</v>
      </c>
      <c r="D192" s="48" t="s">
        <v>69</v>
      </c>
      <c r="E192" s="50" t="s">
        <v>254</v>
      </c>
      <c r="F192" s="50" t="s">
        <v>254</v>
      </c>
      <c r="G192" s="49" t="s">
        <v>255</v>
      </c>
      <c r="H192" s="49" t="s">
        <v>44</v>
      </c>
      <c r="I192" s="49" t="s">
        <v>61</v>
      </c>
      <c r="J192" s="50" t="s">
        <v>246</v>
      </c>
      <c r="K192" s="48" t="s">
        <v>151</v>
      </c>
      <c r="L192" s="49" t="s">
        <v>256</v>
      </c>
      <c r="M192" s="48" t="s">
        <v>34</v>
      </c>
      <c r="N192" s="28" t="s">
        <v>173</v>
      </c>
      <c r="O192" s="29" t="s">
        <v>47</v>
      </c>
      <c r="P192" s="37">
        <v>41.42</v>
      </c>
      <c r="Q192" s="38">
        <f t="shared" si="31"/>
        <v>0.49194925591607719</v>
      </c>
      <c r="R192" s="39">
        <f t="shared" si="32"/>
        <v>21.043461819956082</v>
      </c>
      <c r="S192" s="44">
        <v>0.15</v>
      </c>
      <c r="T192" s="45">
        <v>24.757013905830686</v>
      </c>
      <c r="U192" s="39">
        <f t="shared" si="33"/>
        <v>20.376538180043919</v>
      </c>
      <c r="V192" s="40" t="str">
        <f t="shared" si="34"/>
        <v>1005820536692399361535</v>
      </c>
      <c r="W192" s="41">
        <v>44531</v>
      </c>
      <c r="X192" s="42"/>
      <c r="Y192" s="46">
        <v>4</v>
      </c>
      <c r="Z192" s="47">
        <f t="shared" si="35"/>
        <v>81.506152720175677</v>
      </c>
      <c r="AA192" s="94">
        <f>8/2</f>
        <v>4</v>
      </c>
      <c r="AB192" s="95">
        <f t="shared" si="29"/>
        <v>81.506152720175677</v>
      </c>
      <c r="AC192" s="94" t="s">
        <v>336</v>
      </c>
      <c r="AD192" s="94">
        <f t="shared" si="30"/>
        <v>0</v>
      </c>
      <c r="AE192" s="96"/>
    </row>
    <row r="193" spans="1:31" x14ac:dyDescent="0.2">
      <c r="B193" s="48" t="s">
        <v>27</v>
      </c>
      <c r="C193" s="48" t="s">
        <v>60</v>
      </c>
      <c r="D193" s="48" t="s">
        <v>69</v>
      </c>
      <c r="E193" s="50" t="s">
        <v>254</v>
      </c>
      <c r="F193" s="50" t="s">
        <v>254</v>
      </c>
      <c r="G193" s="49" t="s">
        <v>251</v>
      </c>
      <c r="H193" s="49" t="s">
        <v>68</v>
      </c>
      <c r="I193" s="49" t="s">
        <v>156</v>
      </c>
      <c r="J193" s="50" t="s">
        <v>247</v>
      </c>
      <c r="K193" s="48" t="s">
        <v>152</v>
      </c>
      <c r="L193" s="49" t="s">
        <v>256</v>
      </c>
      <c r="M193" s="48" t="s">
        <v>29</v>
      </c>
      <c r="N193" s="28" t="s">
        <v>162</v>
      </c>
      <c r="O193" s="29" t="s">
        <v>31</v>
      </c>
      <c r="P193" s="37">
        <v>25.86</v>
      </c>
      <c r="Q193" s="38">
        <f t="shared" si="31"/>
        <v>0</v>
      </c>
      <c r="R193" s="39">
        <f t="shared" si="32"/>
        <v>26.452000000000002</v>
      </c>
      <c r="S193" s="44">
        <v>0.15</v>
      </c>
      <c r="T193" s="45">
        <v>31.12</v>
      </c>
      <c r="U193" s="39">
        <f t="shared" si="33"/>
        <v>0</v>
      </c>
      <c r="V193" s="40" t="str">
        <f t="shared" si="34"/>
        <v>1005820172627421361571</v>
      </c>
      <c r="W193" s="41">
        <v>43831</v>
      </c>
      <c r="X193" s="42"/>
      <c r="Y193" s="46"/>
      <c r="Z193" s="47">
        <f t="shared" si="35"/>
        <v>0</v>
      </c>
      <c r="AA193" s="94" t="s">
        <v>335</v>
      </c>
      <c r="AB193" s="95">
        <f t="shared" si="29"/>
        <v>0</v>
      </c>
      <c r="AC193" s="94"/>
      <c r="AD193" s="94">
        <f t="shared" si="30"/>
        <v>0</v>
      </c>
      <c r="AE193" s="96"/>
    </row>
    <row r="194" spans="1:31" x14ac:dyDescent="0.2">
      <c r="B194" s="48" t="s">
        <v>27</v>
      </c>
      <c r="C194" s="48" t="s">
        <v>60</v>
      </c>
      <c r="D194" s="48" t="s">
        <v>69</v>
      </c>
      <c r="E194" s="50" t="s">
        <v>254</v>
      </c>
      <c r="F194" s="50" t="s">
        <v>254</v>
      </c>
      <c r="G194" s="49" t="s">
        <v>251</v>
      </c>
      <c r="H194" s="49" t="s">
        <v>68</v>
      </c>
      <c r="I194" s="49" t="s">
        <v>156</v>
      </c>
      <c r="J194" s="50" t="s">
        <v>248</v>
      </c>
      <c r="K194" s="48" t="s">
        <v>153</v>
      </c>
      <c r="L194" s="49" t="s">
        <v>256</v>
      </c>
      <c r="M194" s="48" t="s">
        <v>29</v>
      </c>
      <c r="N194" s="28" t="s">
        <v>162</v>
      </c>
      <c r="O194" s="29" t="s">
        <v>31</v>
      </c>
      <c r="P194" s="37">
        <v>25.86</v>
      </c>
      <c r="Q194" s="38">
        <f t="shared" si="31"/>
        <v>8.290360967869892E-2</v>
      </c>
      <c r="R194" s="39">
        <f t="shared" si="32"/>
        <v>23.716112653708844</v>
      </c>
      <c r="S194" s="44">
        <v>0.15</v>
      </c>
      <c r="T194" s="45">
        <v>27.901309004363348</v>
      </c>
      <c r="U194" s="39">
        <f t="shared" si="33"/>
        <v>2.1438873462911552</v>
      </c>
      <c r="V194" s="40" t="str">
        <f t="shared" si="34"/>
        <v>1005820111580996361571</v>
      </c>
      <c r="W194" s="41">
        <v>44531</v>
      </c>
      <c r="X194" s="42"/>
      <c r="Y194" s="46"/>
      <c r="Z194" s="47">
        <f t="shared" si="35"/>
        <v>0</v>
      </c>
      <c r="AA194" s="94" t="s">
        <v>335</v>
      </c>
      <c r="AB194" s="95">
        <f t="shared" si="29"/>
        <v>0</v>
      </c>
      <c r="AC194" s="94"/>
      <c r="AD194" s="94">
        <f t="shared" si="30"/>
        <v>0</v>
      </c>
      <c r="AE194" s="96"/>
    </row>
    <row r="195" spans="1:31" x14ac:dyDescent="0.2">
      <c r="B195" s="48" t="s">
        <v>27</v>
      </c>
      <c r="C195" s="48" t="s">
        <v>60</v>
      </c>
      <c r="D195" s="48" t="s">
        <v>69</v>
      </c>
      <c r="E195" s="50" t="s">
        <v>254</v>
      </c>
      <c r="F195" s="50" t="s">
        <v>254</v>
      </c>
      <c r="G195" s="49" t="s">
        <v>251</v>
      </c>
      <c r="H195" s="49" t="s">
        <v>68</v>
      </c>
      <c r="I195" s="49" t="s">
        <v>156</v>
      </c>
      <c r="J195" s="50" t="s">
        <v>248</v>
      </c>
      <c r="K195" s="48" t="s">
        <v>153</v>
      </c>
      <c r="L195" s="49" t="s">
        <v>256</v>
      </c>
      <c r="M195" s="48" t="s">
        <v>29</v>
      </c>
      <c r="N195" s="28" t="s">
        <v>162</v>
      </c>
      <c r="O195" s="29" t="s">
        <v>31</v>
      </c>
      <c r="P195" s="37">
        <v>25.86</v>
      </c>
      <c r="Q195" s="38">
        <f t="shared" si="31"/>
        <v>8.290360967869892E-2</v>
      </c>
      <c r="R195" s="39">
        <f t="shared" si="32"/>
        <v>23.716112653708844</v>
      </c>
      <c r="S195" s="44">
        <v>0.15</v>
      </c>
      <c r="T195" s="45">
        <v>27.901309004363348</v>
      </c>
      <c r="U195" s="39">
        <f t="shared" si="33"/>
        <v>2.1438873462911552</v>
      </c>
      <c r="V195" s="40" t="str">
        <f t="shared" si="34"/>
        <v>1005820111580996361571</v>
      </c>
      <c r="W195" s="41">
        <v>44531</v>
      </c>
      <c r="X195" s="42"/>
      <c r="Y195" s="46"/>
      <c r="Z195" s="47">
        <f t="shared" si="35"/>
        <v>0</v>
      </c>
      <c r="AA195" s="94" t="s">
        <v>335</v>
      </c>
      <c r="AB195" s="95">
        <f t="shared" si="29"/>
        <v>0</v>
      </c>
      <c r="AC195" s="94"/>
      <c r="AD195" s="94">
        <f t="shared" si="30"/>
        <v>0</v>
      </c>
      <c r="AE195" s="96"/>
    </row>
    <row r="196" spans="1:31" x14ac:dyDescent="0.2">
      <c r="B196" s="48" t="s">
        <v>27</v>
      </c>
      <c r="C196" s="48" t="s">
        <v>60</v>
      </c>
      <c r="D196" s="48" t="s">
        <v>69</v>
      </c>
      <c r="E196" s="50" t="s">
        <v>254</v>
      </c>
      <c r="F196" s="50" t="s">
        <v>254</v>
      </c>
      <c r="G196" s="49" t="s">
        <v>251</v>
      </c>
      <c r="H196" s="49" t="s">
        <v>68</v>
      </c>
      <c r="I196" s="49" t="s">
        <v>156</v>
      </c>
      <c r="J196" s="50" t="s">
        <v>248</v>
      </c>
      <c r="K196" s="48" t="s">
        <v>153</v>
      </c>
      <c r="L196" s="49" t="s">
        <v>256</v>
      </c>
      <c r="M196" s="48" t="s">
        <v>34</v>
      </c>
      <c r="N196" s="28" t="s">
        <v>180</v>
      </c>
      <c r="O196" s="29" t="s">
        <v>55</v>
      </c>
      <c r="P196" s="37">
        <v>119.29</v>
      </c>
      <c r="Q196" s="38">
        <f t="shared" si="31"/>
        <v>0.28504672897196259</v>
      </c>
      <c r="R196" s="39">
        <f t="shared" si="32"/>
        <v>85.286775700934584</v>
      </c>
      <c r="S196" s="44">
        <v>0.15</v>
      </c>
      <c r="T196" s="45">
        <v>100.3373831775701</v>
      </c>
      <c r="U196" s="39">
        <f t="shared" si="33"/>
        <v>34.003224299065423</v>
      </c>
      <c r="V196" s="40" t="str">
        <f t="shared" si="34"/>
        <v>1005820111580996360484</v>
      </c>
      <c r="W196" s="41">
        <v>44531</v>
      </c>
      <c r="X196" s="42"/>
      <c r="Y196" s="46"/>
      <c r="Z196" s="47">
        <f t="shared" si="35"/>
        <v>0</v>
      </c>
      <c r="AA196" s="94" t="s">
        <v>335</v>
      </c>
      <c r="AB196" s="95">
        <f t="shared" si="29"/>
        <v>0</v>
      </c>
      <c r="AC196" s="94"/>
      <c r="AD196" s="94">
        <f t="shared" si="30"/>
        <v>0</v>
      </c>
      <c r="AE196" s="96"/>
    </row>
    <row r="197" spans="1:31" x14ac:dyDescent="0.2">
      <c r="B197" s="48" t="s">
        <v>27</v>
      </c>
      <c r="C197" s="48" t="s">
        <v>60</v>
      </c>
      <c r="D197" s="48" t="s">
        <v>69</v>
      </c>
      <c r="E197" s="50" t="s">
        <v>254</v>
      </c>
      <c r="F197" s="50" t="s">
        <v>254</v>
      </c>
      <c r="G197" s="49" t="s">
        <v>251</v>
      </c>
      <c r="H197" s="49" t="s">
        <v>68</v>
      </c>
      <c r="I197" s="49" t="s">
        <v>156</v>
      </c>
      <c r="J197" s="50" t="s">
        <v>249</v>
      </c>
      <c r="K197" s="48" t="s">
        <v>154</v>
      </c>
      <c r="L197" s="49" t="s">
        <v>256</v>
      </c>
      <c r="M197" s="48" t="s">
        <v>29</v>
      </c>
      <c r="N197" s="28" t="s">
        <v>162</v>
      </c>
      <c r="O197" s="29" t="s">
        <v>31</v>
      </c>
      <c r="P197" s="37">
        <v>25.86</v>
      </c>
      <c r="Q197" s="38">
        <f t="shared" si="31"/>
        <v>6.5370884569615373E-2</v>
      </c>
      <c r="R197" s="39">
        <f t="shared" si="32"/>
        <v>24.169508925029746</v>
      </c>
      <c r="S197" s="44">
        <v>0.15</v>
      </c>
      <c r="T197" s="45">
        <v>28.434716382387936</v>
      </c>
      <c r="U197" s="39">
        <f t="shared" si="33"/>
        <v>1.6904910749702537</v>
      </c>
      <c r="V197" s="40" t="str">
        <f t="shared" si="34"/>
        <v>1005820110768151361571</v>
      </c>
      <c r="W197" s="41">
        <v>44531</v>
      </c>
      <c r="X197" s="42"/>
      <c r="Y197" s="46">
        <v>38</v>
      </c>
      <c r="Z197" s="47">
        <f t="shared" si="35"/>
        <v>64.238660848869642</v>
      </c>
      <c r="AA197" s="94">
        <f>152/4</f>
        <v>38</v>
      </c>
      <c r="AB197" s="95">
        <f t="shared" si="29"/>
        <v>64.238660848869642</v>
      </c>
      <c r="AC197" s="94" t="s">
        <v>336</v>
      </c>
      <c r="AD197" s="94">
        <f t="shared" si="30"/>
        <v>0</v>
      </c>
      <c r="AE197" s="96"/>
    </row>
    <row r="198" spans="1:31" x14ac:dyDescent="0.2">
      <c r="B198" s="48" t="s">
        <v>27</v>
      </c>
      <c r="C198" s="48" t="s">
        <v>60</v>
      </c>
      <c r="D198" s="48" t="s">
        <v>69</v>
      </c>
      <c r="E198" s="50" t="s">
        <v>254</v>
      </c>
      <c r="F198" s="50" t="s">
        <v>254</v>
      </c>
      <c r="G198" s="49" t="s">
        <v>251</v>
      </c>
      <c r="H198" s="49" t="s">
        <v>68</v>
      </c>
      <c r="I198" s="49" t="s">
        <v>156</v>
      </c>
      <c r="J198" s="50" t="s">
        <v>249</v>
      </c>
      <c r="K198" s="48" t="s">
        <v>154</v>
      </c>
      <c r="L198" s="49" t="s">
        <v>256</v>
      </c>
      <c r="M198" s="48" t="s">
        <v>29</v>
      </c>
      <c r="N198" s="28" t="s">
        <v>162</v>
      </c>
      <c r="O198" s="29" t="s">
        <v>31</v>
      </c>
      <c r="P198" s="37">
        <v>25.86</v>
      </c>
      <c r="Q198" s="38">
        <f t="shared" ref="Q198:Q201" si="36">IF(1-R198/P198&lt;0%,0,1-R198/P198)</f>
        <v>6.5370884569615373E-2</v>
      </c>
      <c r="R198" s="39">
        <f t="shared" ref="R198:R201" si="37">+T198*(100%-S198)</f>
        <v>24.169508925029746</v>
      </c>
      <c r="S198" s="44">
        <v>0.15</v>
      </c>
      <c r="T198" s="45">
        <v>28.434716382387936</v>
      </c>
      <c r="U198" s="39">
        <f t="shared" si="33"/>
        <v>1.6904910749702537</v>
      </c>
      <c r="V198" s="40" t="str">
        <f t="shared" si="34"/>
        <v>1005820110768151361571</v>
      </c>
      <c r="W198" s="41">
        <v>44531</v>
      </c>
      <c r="X198" s="42"/>
      <c r="Y198" s="46"/>
      <c r="Z198" s="47">
        <f t="shared" ref="Z198:Z201" si="38">IFERROR(U198*Y198,0)</f>
        <v>0</v>
      </c>
      <c r="AA198" s="94" t="s">
        <v>335</v>
      </c>
      <c r="AB198" s="95">
        <f t="shared" si="29"/>
        <v>0</v>
      </c>
      <c r="AC198" s="94"/>
      <c r="AD198" s="94">
        <f t="shared" si="30"/>
        <v>0</v>
      </c>
      <c r="AE198" s="96"/>
    </row>
    <row r="199" spans="1:31" x14ac:dyDescent="0.2">
      <c r="B199" s="48" t="s">
        <v>27</v>
      </c>
      <c r="C199" s="48" t="s">
        <v>60</v>
      </c>
      <c r="D199" s="48" t="s">
        <v>69</v>
      </c>
      <c r="E199" s="50" t="s">
        <v>254</v>
      </c>
      <c r="F199" s="50" t="s">
        <v>254</v>
      </c>
      <c r="G199" s="49" t="s">
        <v>251</v>
      </c>
      <c r="H199" s="49" t="s">
        <v>68</v>
      </c>
      <c r="I199" s="49" t="s">
        <v>156</v>
      </c>
      <c r="J199" s="50" t="s">
        <v>249</v>
      </c>
      <c r="K199" s="48" t="s">
        <v>154</v>
      </c>
      <c r="L199" s="49" t="s">
        <v>256</v>
      </c>
      <c r="M199" s="48" t="s">
        <v>34</v>
      </c>
      <c r="N199" s="28" t="s">
        <v>173</v>
      </c>
      <c r="O199" s="29" t="s">
        <v>47</v>
      </c>
      <c r="P199" s="37">
        <v>41.42</v>
      </c>
      <c r="Q199" s="38">
        <f t="shared" si="36"/>
        <v>0.55208587460356195</v>
      </c>
      <c r="R199" s="39">
        <f t="shared" si="37"/>
        <v>18.552603073920466</v>
      </c>
      <c r="S199" s="44">
        <v>0.15</v>
      </c>
      <c r="T199" s="45">
        <v>21.826591851671136</v>
      </c>
      <c r="U199" s="39">
        <f t="shared" si="33"/>
        <v>22.867396926079536</v>
      </c>
      <c r="V199" s="40" t="str">
        <f t="shared" si="34"/>
        <v>1005820110768151361535</v>
      </c>
      <c r="W199" s="41">
        <v>44531</v>
      </c>
      <c r="X199" s="42"/>
      <c r="Y199" s="46"/>
      <c r="Z199" s="47">
        <f t="shared" si="38"/>
        <v>0</v>
      </c>
      <c r="AA199" s="94" t="s">
        <v>335</v>
      </c>
      <c r="AB199" s="95">
        <f t="shared" ref="AB199:AB201" si="39">IFERROR(AA199*U199,0)</f>
        <v>0</v>
      </c>
      <c r="AC199" s="94"/>
      <c r="AD199" s="94">
        <f t="shared" ref="AD199:AD201" si="40">IFERROR(Z199-AB199,0)</f>
        <v>0</v>
      </c>
      <c r="AE199" s="96"/>
    </row>
    <row r="200" spans="1:31" x14ac:dyDescent="0.2">
      <c r="B200" s="48" t="s">
        <v>27</v>
      </c>
      <c r="C200" s="48" t="s">
        <v>60</v>
      </c>
      <c r="D200" s="48" t="s">
        <v>69</v>
      </c>
      <c r="E200" s="50" t="s">
        <v>254</v>
      </c>
      <c r="F200" s="50" t="s">
        <v>254</v>
      </c>
      <c r="G200" s="49" t="s">
        <v>251</v>
      </c>
      <c r="H200" s="49" t="s">
        <v>81</v>
      </c>
      <c r="I200" s="49" t="s">
        <v>155</v>
      </c>
      <c r="J200" s="50" t="s">
        <v>250</v>
      </c>
      <c r="K200" s="48" t="s">
        <v>159</v>
      </c>
      <c r="L200" s="49" t="s">
        <v>256</v>
      </c>
      <c r="M200" s="48" t="s">
        <v>28</v>
      </c>
      <c r="N200" s="28" t="s">
        <v>267</v>
      </c>
      <c r="O200" s="29" t="s">
        <v>266</v>
      </c>
      <c r="P200" s="37">
        <v>54.03</v>
      </c>
      <c r="Q200" s="38">
        <f t="shared" si="36"/>
        <v>0.32352396816583373</v>
      </c>
      <c r="R200" s="39">
        <f t="shared" si="37"/>
        <v>36.550000000000004</v>
      </c>
      <c r="S200" s="44">
        <v>0.15</v>
      </c>
      <c r="T200" s="45">
        <v>43.000000000000007</v>
      </c>
      <c r="U200" s="39">
        <f t="shared" si="33"/>
        <v>17.479999999999997</v>
      </c>
      <c r="V200" s="40" t="str">
        <f t="shared" si="34"/>
        <v>1005820514964778361311</v>
      </c>
      <c r="W200" s="41">
        <v>44256</v>
      </c>
      <c r="X200" s="42">
        <v>500</v>
      </c>
      <c r="Y200" s="46"/>
      <c r="Z200" s="47">
        <f t="shared" si="38"/>
        <v>0</v>
      </c>
      <c r="AA200" s="94" t="s">
        <v>335</v>
      </c>
      <c r="AB200" s="95">
        <f t="shared" si="39"/>
        <v>0</v>
      </c>
      <c r="AC200" s="94"/>
      <c r="AD200" s="94">
        <f t="shared" si="40"/>
        <v>0</v>
      </c>
      <c r="AE200" s="96"/>
    </row>
    <row r="201" spans="1:31" x14ac:dyDescent="0.2">
      <c r="A201" s="43"/>
      <c r="B201" s="48" t="s">
        <v>27</v>
      </c>
      <c r="C201" s="48" t="s">
        <v>60</v>
      </c>
      <c r="D201" s="48" t="s">
        <v>69</v>
      </c>
      <c r="E201" s="50" t="s">
        <v>254</v>
      </c>
      <c r="F201" s="50" t="s">
        <v>254</v>
      </c>
      <c r="G201" s="49" t="s">
        <v>251</v>
      </c>
      <c r="H201" s="49" t="s">
        <v>58</v>
      </c>
      <c r="I201" s="49" t="s">
        <v>269</v>
      </c>
      <c r="J201" s="50" t="s">
        <v>264</v>
      </c>
      <c r="K201" s="48" t="s">
        <v>265</v>
      </c>
      <c r="L201" s="49" t="s">
        <v>256</v>
      </c>
      <c r="M201" s="48" t="s">
        <v>28</v>
      </c>
      <c r="N201" s="28" t="s">
        <v>267</v>
      </c>
      <c r="O201" s="29" t="s">
        <v>266</v>
      </c>
      <c r="P201" s="37">
        <v>54.03</v>
      </c>
      <c r="Q201" s="38">
        <f t="shared" si="36"/>
        <v>0.28451648965902743</v>
      </c>
      <c r="R201" s="39">
        <f t="shared" si="37"/>
        <v>38.657574063722748</v>
      </c>
      <c r="S201" s="44">
        <v>0.15</v>
      </c>
      <c r="T201" s="45">
        <v>45.479498898497354</v>
      </c>
      <c r="U201" s="39">
        <f t="shared" si="33"/>
        <v>15.372425936277253</v>
      </c>
      <c r="V201" s="40" t="str">
        <f t="shared" si="34"/>
        <v>1005820547566239361311</v>
      </c>
      <c r="W201" s="41">
        <v>44531</v>
      </c>
      <c r="X201" s="42">
        <v>150</v>
      </c>
      <c r="Y201" s="46"/>
      <c r="Z201" s="47">
        <f t="shared" si="38"/>
        <v>0</v>
      </c>
      <c r="AA201" s="94" t="s">
        <v>335</v>
      </c>
      <c r="AB201" s="95">
        <f t="shared" si="39"/>
        <v>0</v>
      </c>
      <c r="AC201" s="94"/>
      <c r="AD201" s="94">
        <f t="shared" si="40"/>
        <v>0</v>
      </c>
      <c r="AE201" s="96"/>
    </row>
    <row r="202" spans="1:31" x14ac:dyDescent="0.2">
      <c r="Z202" s="3">
        <f>+SUM(Z6:Z201)</f>
        <v>102164.70825644876</v>
      </c>
    </row>
  </sheetData>
  <autoFilter ref="B5:AE202"/>
  <mergeCells count="5">
    <mergeCell ref="Y3:Z3"/>
    <mergeCell ref="AA1:AB2"/>
    <mergeCell ref="AC1:AD2"/>
    <mergeCell ref="AA3:AB3"/>
    <mergeCell ref="AC3:AD3"/>
  </mergeCells>
  <dataValidations count="1">
    <dataValidation type="list" allowBlank="1" showInputMessage="1" showErrorMessage="1" sqref="AC6:AC201">
      <formula1>" , OK, NO HAY FACTURA, ERROR EN CANTIDADES, FACTURA PASADA"</formula1>
    </dataValidation>
  </dataValidations>
  <pageMargins left="0.7" right="0.7" top="0.75" bottom="0.75" header="0.3" footer="0.3"/>
  <pageSetup paperSize="9" orientation="portrait" r:id="rId1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8"/>
  <sheetViews>
    <sheetView zoomScale="90" zoomScaleNormal="90" workbookViewId="0"/>
  </sheetViews>
  <sheetFormatPr baseColWidth="10" defaultRowHeight="15" x14ac:dyDescent="0.25"/>
  <cols>
    <col min="1" max="1" width="1.7109375" customWidth="1"/>
    <col min="2" max="2" width="11.5703125" bestFit="1" customWidth="1"/>
    <col min="3" max="3" width="35.7109375" customWidth="1"/>
    <col min="4" max="4" width="20" customWidth="1"/>
    <col min="5" max="5" width="14.42578125" bestFit="1" customWidth="1"/>
    <col min="6" max="6" width="6.85546875" bestFit="1" customWidth="1"/>
    <col min="7" max="7" width="44" bestFit="1" customWidth="1"/>
    <col min="8" max="8" width="34.7109375" customWidth="1"/>
    <col min="9" max="9" width="20.140625" customWidth="1"/>
  </cols>
  <sheetData>
    <row r="2" spans="2:9" ht="24" x14ac:dyDescent="0.25">
      <c r="B2" s="51" t="s">
        <v>10</v>
      </c>
      <c r="C2" s="51" t="s">
        <v>11</v>
      </c>
      <c r="D2" s="51" t="s">
        <v>12</v>
      </c>
      <c r="E2" s="51" t="s">
        <v>13</v>
      </c>
      <c r="F2" s="51" t="s">
        <v>272</v>
      </c>
      <c r="G2" s="51" t="s">
        <v>15</v>
      </c>
      <c r="H2" s="51" t="s">
        <v>273</v>
      </c>
      <c r="I2" s="51" t="s">
        <v>25</v>
      </c>
    </row>
    <row r="3" spans="2:9" x14ac:dyDescent="0.25">
      <c r="B3" s="50" t="s">
        <v>187</v>
      </c>
      <c r="C3" s="48" t="s">
        <v>70</v>
      </c>
      <c r="D3" s="49" t="s">
        <v>71</v>
      </c>
      <c r="E3" s="48" t="s">
        <v>29</v>
      </c>
      <c r="F3" s="28" t="s">
        <v>163</v>
      </c>
      <c r="G3" s="29" t="s">
        <v>30</v>
      </c>
      <c r="H3" s="52"/>
      <c r="I3" s="52"/>
    </row>
    <row r="4" spans="2:9" x14ac:dyDescent="0.25">
      <c r="B4" s="50" t="s">
        <v>187</v>
      </c>
      <c r="C4" s="48" t="s">
        <v>70</v>
      </c>
      <c r="D4" s="49" t="s">
        <v>71</v>
      </c>
      <c r="E4" s="48" t="s">
        <v>29</v>
      </c>
      <c r="F4" s="28" t="s">
        <v>162</v>
      </c>
      <c r="G4" s="29" t="s">
        <v>31</v>
      </c>
      <c r="H4" s="52"/>
      <c r="I4" s="52"/>
    </row>
    <row r="5" spans="2:9" x14ac:dyDescent="0.25">
      <c r="B5" s="50" t="s">
        <v>187</v>
      </c>
      <c r="C5" s="48" t="s">
        <v>70</v>
      </c>
      <c r="D5" s="49" t="s">
        <v>71</v>
      </c>
      <c r="E5" s="48" t="s">
        <v>29</v>
      </c>
      <c r="F5" s="28" t="s">
        <v>162</v>
      </c>
      <c r="G5" s="29" t="s">
        <v>31</v>
      </c>
      <c r="H5" s="52"/>
      <c r="I5" s="52"/>
    </row>
    <row r="6" spans="2:9" x14ac:dyDescent="0.25">
      <c r="B6" s="50" t="s">
        <v>187</v>
      </c>
      <c r="C6" s="48" t="s">
        <v>70</v>
      </c>
      <c r="D6" s="49" t="s">
        <v>71</v>
      </c>
      <c r="E6" s="48" t="s">
        <v>34</v>
      </c>
      <c r="F6" s="28" t="s">
        <v>166</v>
      </c>
      <c r="G6" s="29" t="s">
        <v>35</v>
      </c>
      <c r="H6" s="52"/>
      <c r="I6" s="52"/>
    </row>
    <row r="7" spans="2:9" x14ac:dyDescent="0.25">
      <c r="B7" s="50" t="s">
        <v>188</v>
      </c>
      <c r="C7" s="48" t="s">
        <v>72</v>
      </c>
      <c r="D7" s="49" t="s">
        <v>73</v>
      </c>
      <c r="E7" s="48" t="s">
        <v>29</v>
      </c>
      <c r="F7" s="28" t="s">
        <v>165</v>
      </c>
      <c r="G7" s="29" t="s">
        <v>33</v>
      </c>
      <c r="H7" s="52" t="s">
        <v>276</v>
      </c>
      <c r="I7" s="52">
        <v>414</v>
      </c>
    </row>
    <row r="8" spans="2:9" x14ac:dyDescent="0.25">
      <c r="B8" s="50" t="s">
        <v>188</v>
      </c>
      <c r="C8" s="48" t="s">
        <v>72</v>
      </c>
      <c r="D8" s="49" t="s">
        <v>73</v>
      </c>
      <c r="E8" s="48" t="s">
        <v>34</v>
      </c>
      <c r="F8" s="28" t="s">
        <v>173</v>
      </c>
      <c r="G8" s="29" t="s">
        <v>47</v>
      </c>
      <c r="H8" s="52" t="s">
        <v>276</v>
      </c>
      <c r="I8" s="52">
        <v>1327</v>
      </c>
    </row>
    <row r="9" spans="2:9" x14ac:dyDescent="0.25">
      <c r="B9" s="50" t="s">
        <v>189</v>
      </c>
      <c r="C9" s="48" t="s">
        <v>74</v>
      </c>
      <c r="D9" s="49" t="s">
        <v>73</v>
      </c>
      <c r="E9" s="48" t="s">
        <v>29</v>
      </c>
      <c r="F9" s="28" t="s">
        <v>165</v>
      </c>
      <c r="G9" s="29" t="s">
        <v>33</v>
      </c>
      <c r="H9" s="52" t="s">
        <v>305</v>
      </c>
      <c r="I9" s="52">
        <v>86</v>
      </c>
    </row>
    <row r="10" spans="2:9" x14ac:dyDescent="0.25">
      <c r="B10" s="50" t="s">
        <v>189</v>
      </c>
      <c r="C10" s="48" t="s">
        <v>74</v>
      </c>
      <c r="D10" s="49" t="s">
        <v>73</v>
      </c>
      <c r="E10" s="48" t="s">
        <v>34</v>
      </c>
      <c r="F10" s="28" t="s">
        <v>173</v>
      </c>
      <c r="G10" s="29" t="s">
        <v>47</v>
      </c>
      <c r="H10" s="52" t="s">
        <v>305</v>
      </c>
      <c r="I10" s="52">
        <v>6</v>
      </c>
    </row>
    <row r="11" spans="2:9" x14ac:dyDescent="0.25">
      <c r="B11" s="50" t="s">
        <v>190</v>
      </c>
      <c r="C11" s="48" t="s">
        <v>75</v>
      </c>
      <c r="D11" s="49" t="s">
        <v>73</v>
      </c>
      <c r="E11" s="48" t="s">
        <v>34</v>
      </c>
      <c r="F11" s="28" t="s">
        <v>173</v>
      </c>
      <c r="G11" s="29" t="s">
        <v>47</v>
      </c>
      <c r="H11" s="52"/>
      <c r="I11" s="52"/>
    </row>
    <row r="12" spans="2:9" x14ac:dyDescent="0.25">
      <c r="B12" s="50" t="s">
        <v>191</v>
      </c>
      <c r="C12" s="48" t="s">
        <v>76</v>
      </c>
      <c r="D12" s="49" t="s">
        <v>73</v>
      </c>
      <c r="E12" s="48" t="s">
        <v>29</v>
      </c>
      <c r="F12" s="28" t="s">
        <v>165</v>
      </c>
      <c r="G12" s="29" t="s">
        <v>33</v>
      </c>
      <c r="H12" s="52" t="s">
        <v>322</v>
      </c>
      <c r="I12" s="52">
        <v>24</v>
      </c>
    </row>
    <row r="13" spans="2:9" x14ac:dyDescent="0.25">
      <c r="B13" s="50" t="s">
        <v>191</v>
      </c>
      <c r="C13" s="48" t="s">
        <v>76</v>
      </c>
      <c r="D13" s="49" t="s">
        <v>73</v>
      </c>
      <c r="E13" s="48" t="s">
        <v>34</v>
      </c>
      <c r="F13" s="28" t="s">
        <v>166</v>
      </c>
      <c r="G13" s="29" t="s">
        <v>35</v>
      </c>
      <c r="H13" s="52" t="s">
        <v>322</v>
      </c>
      <c r="I13" s="52">
        <v>12</v>
      </c>
    </row>
    <row r="14" spans="2:9" x14ac:dyDescent="0.25">
      <c r="B14" s="50" t="s">
        <v>192</v>
      </c>
      <c r="C14" s="48" t="s">
        <v>77</v>
      </c>
      <c r="D14" s="49" t="s">
        <v>78</v>
      </c>
      <c r="E14" s="48" t="s">
        <v>29</v>
      </c>
      <c r="F14" s="28" t="s">
        <v>162</v>
      </c>
      <c r="G14" s="29" t="s">
        <v>31</v>
      </c>
      <c r="H14" s="52"/>
      <c r="I14" s="52"/>
    </row>
    <row r="15" spans="2:9" x14ac:dyDescent="0.25">
      <c r="B15" s="50" t="s">
        <v>192</v>
      </c>
      <c r="C15" s="48" t="s">
        <v>77</v>
      </c>
      <c r="D15" s="49" t="s">
        <v>78</v>
      </c>
      <c r="E15" s="48" t="s">
        <v>29</v>
      </c>
      <c r="F15" s="28" t="s">
        <v>162</v>
      </c>
      <c r="G15" s="29" t="s">
        <v>31</v>
      </c>
      <c r="H15" s="52"/>
      <c r="I15" s="52"/>
    </row>
    <row r="16" spans="2:9" x14ac:dyDescent="0.25">
      <c r="B16" s="50" t="s">
        <v>192</v>
      </c>
      <c r="C16" s="48" t="s">
        <v>77</v>
      </c>
      <c r="D16" s="49" t="s">
        <v>78</v>
      </c>
      <c r="E16" s="48" t="s">
        <v>34</v>
      </c>
      <c r="F16" s="28" t="s">
        <v>173</v>
      </c>
      <c r="G16" s="29" t="s">
        <v>47</v>
      </c>
      <c r="H16" s="52"/>
      <c r="I16" s="52"/>
    </row>
    <row r="17" spans="2:9" x14ac:dyDescent="0.25">
      <c r="B17" s="50" t="s">
        <v>193</v>
      </c>
      <c r="C17" s="48" t="s">
        <v>79</v>
      </c>
      <c r="D17" s="49" t="s">
        <v>78</v>
      </c>
      <c r="E17" s="48" t="s">
        <v>29</v>
      </c>
      <c r="F17" s="28" t="s">
        <v>162</v>
      </c>
      <c r="G17" s="29" t="s">
        <v>31</v>
      </c>
      <c r="H17" s="52"/>
      <c r="I17" s="52"/>
    </row>
    <row r="18" spans="2:9" x14ac:dyDescent="0.25">
      <c r="B18" s="50" t="s">
        <v>193</v>
      </c>
      <c r="C18" s="48" t="s">
        <v>79</v>
      </c>
      <c r="D18" s="49" t="s">
        <v>78</v>
      </c>
      <c r="E18" s="48" t="s">
        <v>29</v>
      </c>
      <c r="F18" s="28" t="s">
        <v>162</v>
      </c>
      <c r="G18" s="29" t="s">
        <v>31</v>
      </c>
      <c r="H18" s="52"/>
      <c r="I18" s="52"/>
    </row>
    <row r="19" spans="2:9" x14ac:dyDescent="0.25">
      <c r="B19" s="50" t="s">
        <v>193</v>
      </c>
      <c r="C19" s="48" t="s">
        <v>79</v>
      </c>
      <c r="D19" s="49" t="s">
        <v>78</v>
      </c>
      <c r="E19" s="48" t="s">
        <v>34</v>
      </c>
      <c r="F19" s="28" t="s">
        <v>173</v>
      </c>
      <c r="G19" s="29" t="s">
        <v>47</v>
      </c>
      <c r="H19" s="52"/>
      <c r="I19" s="52"/>
    </row>
    <row r="20" spans="2:9" x14ac:dyDescent="0.25">
      <c r="B20" s="50" t="s">
        <v>194</v>
      </c>
      <c r="C20" s="48" t="s">
        <v>80</v>
      </c>
      <c r="D20" s="49" t="s">
        <v>78</v>
      </c>
      <c r="E20" s="48" t="s">
        <v>29</v>
      </c>
      <c r="F20" s="28" t="s">
        <v>162</v>
      </c>
      <c r="G20" s="29" t="s">
        <v>31</v>
      </c>
      <c r="H20" s="52"/>
      <c r="I20" s="52"/>
    </row>
    <row r="21" spans="2:9" x14ac:dyDescent="0.25">
      <c r="B21" s="50" t="s">
        <v>194</v>
      </c>
      <c r="C21" s="48" t="s">
        <v>80</v>
      </c>
      <c r="D21" s="49" t="s">
        <v>78</v>
      </c>
      <c r="E21" s="48" t="s">
        <v>29</v>
      </c>
      <c r="F21" s="28" t="s">
        <v>162</v>
      </c>
      <c r="G21" s="29" t="s">
        <v>31</v>
      </c>
      <c r="H21" s="52"/>
      <c r="I21" s="52"/>
    </row>
    <row r="22" spans="2:9" x14ac:dyDescent="0.25">
      <c r="B22" s="50" t="s">
        <v>194</v>
      </c>
      <c r="C22" s="48" t="s">
        <v>80</v>
      </c>
      <c r="D22" s="49" t="s">
        <v>78</v>
      </c>
      <c r="E22" s="48" t="s">
        <v>34</v>
      </c>
      <c r="F22" s="28" t="s">
        <v>173</v>
      </c>
      <c r="G22" s="29" t="s">
        <v>47</v>
      </c>
      <c r="H22" s="52"/>
      <c r="I22" s="52"/>
    </row>
    <row r="23" spans="2:9" x14ac:dyDescent="0.25">
      <c r="B23" s="50" t="s">
        <v>195</v>
      </c>
      <c r="C23" s="48" t="s">
        <v>82</v>
      </c>
      <c r="D23" s="49" t="s">
        <v>83</v>
      </c>
      <c r="E23" s="48" t="s">
        <v>28</v>
      </c>
      <c r="F23" s="28" t="s">
        <v>267</v>
      </c>
      <c r="G23" s="29" t="s">
        <v>266</v>
      </c>
      <c r="H23" s="52" t="s">
        <v>293</v>
      </c>
      <c r="I23" s="52">
        <v>90</v>
      </c>
    </row>
    <row r="24" spans="2:9" x14ac:dyDescent="0.25">
      <c r="B24" s="50" t="s">
        <v>195</v>
      </c>
      <c r="C24" s="48" t="s">
        <v>82</v>
      </c>
      <c r="D24" s="49" t="s">
        <v>83</v>
      </c>
      <c r="E24" s="48" t="s">
        <v>34</v>
      </c>
      <c r="F24" s="28" t="s">
        <v>167</v>
      </c>
      <c r="G24" s="29" t="s">
        <v>36</v>
      </c>
      <c r="H24" s="52" t="s">
        <v>293</v>
      </c>
      <c r="I24" s="52">
        <v>400</v>
      </c>
    </row>
    <row r="25" spans="2:9" x14ac:dyDescent="0.25">
      <c r="B25" s="50" t="s">
        <v>196</v>
      </c>
      <c r="C25" s="48" t="s">
        <v>84</v>
      </c>
      <c r="D25" s="49" t="s">
        <v>85</v>
      </c>
      <c r="E25" s="48" t="s">
        <v>29</v>
      </c>
      <c r="F25" s="28" t="s">
        <v>165</v>
      </c>
      <c r="G25" s="29" t="s">
        <v>33</v>
      </c>
      <c r="H25" s="52"/>
      <c r="I25" s="52"/>
    </row>
    <row r="26" spans="2:9" x14ac:dyDescent="0.25">
      <c r="B26" s="50" t="s">
        <v>196</v>
      </c>
      <c r="C26" s="48" t="s">
        <v>84</v>
      </c>
      <c r="D26" s="49" t="s">
        <v>85</v>
      </c>
      <c r="E26" s="48" t="s">
        <v>34</v>
      </c>
      <c r="F26" s="28" t="s">
        <v>178</v>
      </c>
      <c r="G26" s="29" t="s">
        <v>53</v>
      </c>
      <c r="H26" s="52"/>
      <c r="I26" s="52"/>
    </row>
    <row r="27" spans="2:9" x14ac:dyDescent="0.25">
      <c r="B27" s="50" t="s">
        <v>197</v>
      </c>
      <c r="C27" s="48" t="s">
        <v>86</v>
      </c>
      <c r="D27" s="49" t="s">
        <v>87</v>
      </c>
      <c r="E27" s="48" t="s">
        <v>29</v>
      </c>
      <c r="F27" s="28" t="s">
        <v>172</v>
      </c>
      <c r="G27" s="29" t="s">
        <v>46</v>
      </c>
      <c r="H27" s="52" t="s">
        <v>299</v>
      </c>
      <c r="I27" s="52">
        <v>198</v>
      </c>
    </row>
    <row r="28" spans="2:9" x14ac:dyDescent="0.25">
      <c r="B28" s="50" t="s">
        <v>197</v>
      </c>
      <c r="C28" s="48" t="s">
        <v>86</v>
      </c>
      <c r="D28" s="49" t="s">
        <v>87</v>
      </c>
      <c r="E28" s="48" t="s">
        <v>29</v>
      </c>
      <c r="F28" s="28" t="s">
        <v>162</v>
      </c>
      <c r="G28" s="29" t="s">
        <v>31</v>
      </c>
      <c r="H28" s="52" t="s">
        <v>299</v>
      </c>
      <c r="I28" s="52">
        <v>18.75</v>
      </c>
    </row>
    <row r="29" spans="2:9" x14ac:dyDescent="0.25">
      <c r="B29" s="50" t="s">
        <v>197</v>
      </c>
      <c r="C29" s="48" t="s">
        <v>86</v>
      </c>
      <c r="D29" s="49" t="s">
        <v>87</v>
      </c>
      <c r="E29" s="48" t="s">
        <v>29</v>
      </c>
      <c r="F29" s="28" t="s">
        <v>162</v>
      </c>
      <c r="G29" s="29" t="s">
        <v>31</v>
      </c>
      <c r="H29" s="52"/>
      <c r="I29" s="52"/>
    </row>
    <row r="30" spans="2:9" x14ac:dyDescent="0.25">
      <c r="B30" s="50" t="s">
        <v>197</v>
      </c>
      <c r="C30" s="48" t="s">
        <v>86</v>
      </c>
      <c r="D30" s="49" t="s">
        <v>87</v>
      </c>
      <c r="E30" s="48" t="s">
        <v>34</v>
      </c>
      <c r="F30" s="28" t="s">
        <v>180</v>
      </c>
      <c r="G30" s="29" t="s">
        <v>55</v>
      </c>
      <c r="H30" s="52" t="s">
        <v>299</v>
      </c>
      <c r="I30" s="52">
        <v>12</v>
      </c>
    </row>
    <row r="31" spans="2:9" x14ac:dyDescent="0.25">
      <c r="B31" s="50" t="s">
        <v>198</v>
      </c>
      <c r="C31" s="48" t="s">
        <v>88</v>
      </c>
      <c r="D31" s="49" t="s">
        <v>87</v>
      </c>
      <c r="E31" s="48" t="s">
        <v>29</v>
      </c>
      <c r="F31" s="28" t="s">
        <v>162</v>
      </c>
      <c r="G31" s="29" t="s">
        <v>31</v>
      </c>
      <c r="H31" s="52"/>
      <c r="I31" s="52"/>
    </row>
    <row r="32" spans="2:9" x14ac:dyDescent="0.25">
      <c r="B32" s="50" t="s">
        <v>198</v>
      </c>
      <c r="C32" s="48" t="s">
        <v>88</v>
      </c>
      <c r="D32" s="49" t="s">
        <v>87</v>
      </c>
      <c r="E32" s="48" t="s">
        <v>29</v>
      </c>
      <c r="F32" s="28" t="s">
        <v>162</v>
      </c>
      <c r="G32" s="29" t="s">
        <v>31</v>
      </c>
      <c r="H32" s="52"/>
      <c r="I32" s="52"/>
    </row>
    <row r="33" spans="2:9" x14ac:dyDescent="0.25">
      <c r="B33" s="50" t="s">
        <v>198</v>
      </c>
      <c r="C33" s="48" t="s">
        <v>88</v>
      </c>
      <c r="D33" s="49" t="s">
        <v>87</v>
      </c>
      <c r="E33" s="48" t="s">
        <v>34</v>
      </c>
      <c r="F33" s="28" t="s">
        <v>180</v>
      </c>
      <c r="G33" s="29" t="s">
        <v>55</v>
      </c>
      <c r="H33" s="52" t="s">
        <v>325</v>
      </c>
      <c r="I33" s="52">
        <v>4</v>
      </c>
    </row>
    <row r="34" spans="2:9" x14ac:dyDescent="0.25">
      <c r="B34" s="50" t="s">
        <v>199</v>
      </c>
      <c r="C34" s="48" t="s">
        <v>89</v>
      </c>
      <c r="D34" s="49" t="s">
        <v>90</v>
      </c>
      <c r="E34" s="48" t="s">
        <v>29</v>
      </c>
      <c r="F34" s="28" t="s">
        <v>162</v>
      </c>
      <c r="G34" s="29" t="s">
        <v>31</v>
      </c>
      <c r="H34" s="52" t="s">
        <v>306</v>
      </c>
      <c r="I34" s="52">
        <v>37.5</v>
      </c>
    </row>
    <row r="35" spans="2:9" x14ac:dyDescent="0.25">
      <c r="B35" s="50" t="s">
        <v>199</v>
      </c>
      <c r="C35" s="48" t="s">
        <v>89</v>
      </c>
      <c r="D35" s="49" t="s">
        <v>90</v>
      </c>
      <c r="E35" s="48" t="s">
        <v>29</v>
      </c>
      <c r="F35" s="28" t="s">
        <v>162</v>
      </c>
      <c r="G35" s="29" t="s">
        <v>31</v>
      </c>
      <c r="H35" s="52"/>
      <c r="I35" s="52"/>
    </row>
    <row r="36" spans="2:9" x14ac:dyDescent="0.25">
      <c r="B36" s="50" t="s">
        <v>199</v>
      </c>
      <c r="C36" s="48" t="s">
        <v>89</v>
      </c>
      <c r="D36" s="49" t="s">
        <v>90</v>
      </c>
      <c r="E36" s="48" t="s">
        <v>34</v>
      </c>
      <c r="F36" s="28" t="s">
        <v>166</v>
      </c>
      <c r="G36" s="29" t="s">
        <v>35</v>
      </c>
      <c r="H36" s="52" t="s">
        <v>306</v>
      </c>
      <c r="I36" s="52">
        <v>13.89</v>
      </c>
    </row>
    <row r="37" spans="2:9" x14ac:dyDescent="0.25">
      <c r="B37" s="50" t="s">
        <v>199</v>
      </c>
      <c r="C37" s="48" t="s">
        <v>89</v>
      </c>
      <c r="D37" s="49" t="s">
        <v>90</v>
      </c>
      <c r="E37" s="48" t="s">
        <v>34</v>
      </c>
      <c r="F37" s="28" t="s">
        <v>167</v>
      </c>
      <c r="G37" s="29" t="s">
        <v>36</v>
      </c>
      <c r="H37" s="52"/>
      <c r="I37" s="52"/>
    </row>
    <row r="38" spans="2:9" x14ac:dyDescent="0.25">
      <c r="B38" s="50" t="s">
        <v>199</v>
      </c>
      <c r="C38" s="48" t="s">
        <v>89</v>
      </c>
      <c r="D38" s="49" t="s">
        <v>90</v>
      </c>
      <c r="E38" s="48" t="s">
        <v>38</v>
      </c>
      <c r="F38" s="28" t="s">
        <v>169</v>
      </c>
      <c r="G38" s="29" t="s">
        <v>39</v>
      </c>
      <c r="H38" s="52"/>
      <c r="I38" s="52"/>
    </row>
    <row r="39" spans="2:9" x14ac:dyDescent="0.25">
      <c r="B39" s="50" t="s">
        <v>200</v>
      </c>
      <c r="C39" s="48" t="s">
        <v>91</v>
      </c>
      <c r="D39" s="49" t="s">
        <v>90</v>
      </c>
      <c r="E39" s="48" t="s">
        <v>29</v>
      </c>
      <c r="F39" s="28" t="s">
        <v>162</v>
      </c>
      <c r="G39" s="29" t="s">
        <v>31</v>
      </c>
      <c r="H39" s="52" t="s">
        <v>307</v>
      </c>
      <c r="I39" s="52">
        <v>33</v>
      </c>
    </row>
    <row r="40" spans="2:9" x14ac:dyDescent="0.25">
      <c r="B40" s="50" t="s">
        <v>200</v>
      </c>
      <c r="C40" s="48" t="s">
        <v>91</v>
      </c>
      <c r="D40" s="49" t="s">
        <v>90</v>
      </c>
      <c r="E40" s="48" t="s">
        <v>29</v>
      </c>
      <c r="F40" s="28" t="s">
        <v>162</v>
      </c>
      <c r="G40" s="29" t="s">
        <v>31</v>
      </c>
      <c r="H40" s="52"/>
      <c r="I40" s="52"/>
    </row>
    <row r="41" spans="2:9" x14ac:dyDescent="0.25">
      <c r="B41" s="50" t="s">
        <v>200</v>
      </c>
      <c r="C41" s="48" t="s">
        <v>91</v>
      </c>
      <c r="D41" s="49" t="s">
        <v>90</v>
      </c>
      <c r="E41" s="48" t="s">
        <v>34</v>
      </c>
      <c r="F41" s="28" t="s">
        <v>166</v>
      </c>
      <c r="G41" s="29" t="s">
        <v>35</v>
      </c>
      <c r="H41" s="52"/>
      <c r="I41" s="52"/>
    </row>
    <row r="42" spans="2:9" x14ac:dyDescent="0.25">
      <c r="B42" s="50" t="s">
        <v>200</v>
      </c>
      <c r="C42" s="48" t="s">
        <v>91</v>
      </c>
      <c r="D42" s="49" t="s">
        <v>90</v>
      </c>
      <c r="E42" s="48" t="s">
        <v>34</v>
      </c>
      <c r="F42" s="28" t="s">
        <v>167</v>
      </c>
      <c r="G42" s="29" t="s">
        <v>36</v>
      </c>
      <c r="H42" s="52" t="s">
        <v>307</v>
      </c>
      <c r="I42" s="52">
        <v>64</v>
      </c>
    </row>
    <row r="43" spans="2:9" x14ac:dyDescent="0.25">
      <c r="B43" s="50" t="s">
        <v>200</v>
      </c>
      <c r="C43" s="48" t="s">
        <v>91</v>
      </c>
      <c r="D43" s="49" t="s">
        <v>90</v>
      </c>
      <c r="E43" s="48" t="s">
        <v>48</v>
      </c>
      <c r="F43" s="28" t="s">
        <v>182</v>
      </c>
      <c r="G43" s="29" t="s">
        <v>57</v>
      </c>
      <c r="H43" s="52"/>
      <c r="I43" s="52"/>
    </row>
    <row r="44" spans="2:9" x14ac:dyDescent="0.25">
      <c r="B44" s="50" t="s">
        <v>201</v>
      </c>
      <c r="C44" s="48" t="s">
        <v>93</v>
      </c>
      <c r="D44" s="49" t="s">
        <v>94</v>
      </c>
      <c r="E44" s="48" t="s">
        <v>29</v>
      </c>
      <c r="F44" s="28" t="s">
        <v>183</v>
      </c>
      <c r="G44" s="29" t="s">
        <v>62</v>
      </c>
      <c r="H44" s="52"/>
      <c r="I44" s="52"/>
    </row>
    <row r="45" spans="2:9" x14ac:dyDescent="0.25">
      <c r="B45" s="50" t="s">
        <v>201</v>
      </c>
      <c r="C45" s="48" t="s">
        <v>93</v>
      </c>
      <c r="D45" s="49" t="s">
        <v>94</v>
      </c>
      <c r="E45" s="48" t="s">
        <v>29</v>
      </c>
      <c r="F45" s="28" t="s">
        <v>162</v>
      </c>
      <c r="G45" s="29" t="s">
        <v>31</v>
      </c>
      <c r="H45" s="52" t="s">
        <v>277</v>
      </c>
      <c r="I45" s="52">
        <v>26</v>
      </c>
    </row>
    <row r="46" spans="2:9" x14ac:dyDescent="0.25">
      <c r="B46" s="50" t="s">
        <v>201</v>
      </c>
      <c r="C46" s="48" t="s">
        <v>93</v>
      </c>
      <c r="D46" s="49" t="s">
        <v>94</v>
      </c>
      <c r="E46" s="48" t="s">
        <v>29</v>
      </c>
      <c r="F46" s="28" t="s">
        <v>162</v>
      </c>
      <c r="G46" s="29" t="s">
        <v>31</v>
      </c>
      <c r="H46" s="52"/>
      <c r="I46" s="52"/>
    </row>
    <row r="47" spans="2:9" x14ac:dyDescent="0.25">
      <c r="B47" s="50" t="s">
        <v>201</v>
      </c>
      <c r="C47" s="48" t="s">
        <v>93</v>
      </c>
      <c r="D47" s="49" t="s">
        <v>94</v>
      </c>
      <c r="E47" s="48" t="s">
        <v>34</v>
      </c>
      <c r="F47" s="28" t="s">
        <v>173</v>
      </c>
      <c r="G47" s="29" t="s">
        <v>47</v>
      </c>
      <c r="H47" s="52"/>
      <c r="I47" s="52"/>
    </row>
    <row r="48" spans="2:9" x14ac:dyDescent="0.25">
      <c r="B48" s="50" t="s">
        <v>202</v>
      </c>
      <c r="C48" s="48" t="s">
        <v>95</v>
      </c>
      <c r="D48" s="49" t="s">
        <v>94</v>
      </c>
      <c r="E48" s="48" t="s">
        <v>29</v>
      </c>
      <c r="F48" s="28" t="s">
        <v>183</v>
      </c>
      <c r="G48" s="29" t="s">
        <v>62</v>
      </c>
      <c r="H48" s="52"/>
      <c r="I48" s="52"/>
    </row>
    <row r="49" spans="2:9" x14ac:dyDescent="0.25">
      <c r="B49" s="50" t="s">
        <v>202</v>
      </c>
      <c r="C49" s="48" t="s">
        <v>95</v>
      </c>
      <c r="D49" s="49" t="s">
        <v>94</v>
      </c>
      <c r="E49" s="48" t="s">
        <v>29</v>
      </c>
      <c r="F49" s="28" t="s">
        <v>162</v>
      </c>
      <c r="G49" s="29" t="s">
        <v>31</v>
      </c>
      <c r="H49" s="52" t="s">
        <v>314</v>
      </c>
      <c r="I49" s="52">
        <v>40.75</v>
      </c>
    </row>
    <row r="50" spans="2:9" x14ac:dyDescent="0.25">
      <c r="B50" s="50" t="s">
        <v>202</v>
      </c>
      <c r="C50" s="48" t="s">
        <v>95</v>
      </c>
      <c r="D50" s="49" t="s">
        <v>94</v>
      </c>
      <c r="E50" s="48" t="s">
        <v>29</v>
      </c>
      <c r="F50" s="28" t="s">
        <v>162</v>
      </c>
      <c r="G50" s="29" t="s">
        <v>31</v>
      </c>
      <c r="H50" s="52"/>
      <c r="I50" s="52"/>
    </row>
    <row r="51" spans="2:9" x14ac:dyDescent="0.25">
      <c r="B51" s="50" t="s">
        <v>202</v>
      </c>
      <c r="C51" s="48" t="s">
        <v>95</v>
      </c>
      <c r="D51" s="49" t="s">
        <v>94</v>
      </c>
      <c r="E51" s="48" t="s">
        <v>34</v>
      </c>
      <c r="F51" s="28" t="s">
        <v>173</v>
      </c>
      <c r="G51" s="29" t="s">
        <v>47</v>
      </c>
      <c r="H51" s="52" t="s">
        <v>314</v>
      </c>
      <c r="I51" s="52">
        <v>142.5</v>
      </c>
    </row>
    <row r="52" spans="2:9" x14ac:dyDescent="0.25">
      <c r="B52" s="50" t="s">
        <v>203</v>
      </c>
      <c r="C52" s="48" t="s">
        <v>96</v>
      </c>
      <c r="D52" s="49" t="s">
        <v>97</v>
      </c>
      <c r="E52" s="48" t="s">
        <v>29</v>
      </c>
      <c r="F52" s="28" t="s">
        <v>183</v>
      </c>
      <c r="G52" s="29" t="s">
        <v>62</v>
      </c>
      <c r="H52" s="52"/>
      <c r="I52" s="52"/>
    </row>
    <row r="53" spans="2:9" x14ac:dyDescent="0.25">
      <c r="B53" s="50" t="s">
        <v>203</v>
      </c>
      <c r="C53" s="48" t="s">
        <v>96</v>
      </c>
      <c r="D53" s="49" t="s">
        <v>97</v>
      </c>
      <c r="E53" s="48" t="s">
        <v>29</v>
      </c>
      <c r="F53" s="28" t="s">
        <v>172</v>
      </c>
      <c r="G53" s="29" t="s">
        <v>46</v>
      </c>
      <c r="H53" s="52"/>
      <c r="I53" s="52"/>
    </row>
    <row r="54" spans="2:9" x14ac:dyDescent="0.25">
      <c r="B54" s="50" t="s">
        <v>204</v>
      </c>
      <c r="C54" s="48" t="s">
        <v>98</v>
      </c>
      <c r="D54" s="49" t="s">
        <v>97</v>
      </c>
      <c r="E54" s="48" t="s">
        <v>29</v>
      </c>
      <c r="F54" s="28" t="s">
        <v>172</v>
      </c>
      <c r="G54" s="29" t="s">
        <v>46</v>
      </c>
      <c r="H54" s="52"/>
      <c r="I54" s="52"/>
    </row>
    <row r="55" spans="2:9" x14ac:dyDescent="0.25">
      <c r="B55" s="50" t="s">
        <v>205</v>
      </c>
      <c r="C55" s="48" t="s">
        <v>99</v>
      </c>
      <c r="D55" s="49" t="s">
        <v>97</v>
      </c>
      <c r="E55" s="48" t="s">
        <v>29</v>
      </c>
      <c r="F55" s="28" t="s">
        <v>183</v>
      </c>
      <c r="G55" s="29" t="s">
        <v>62</v>
      </c>
      <c r="H55" s="52"/>
      <c r="I55" s="52"/>
    </row>
    <row r="56" spans="2:9" x14ac:dyDescent="0.25">
      <c r="B56" s="50" t="s">
        <v>205</v>
      </c>
      <c r="C56" s="48" t="s">
        <v>99</v>
      </c>
      <c r="D56" s="49" t="s">
        <v>97</v>
      </c>
      <c r="E56" s="48" t="s">
        <v>29</v>
      </c>
      <c r="F56" s="28" t="s">
        <v>172</v>
      </c>
      <c r="G56" s="29" t="s">
        <v>46</v>
      </c>
      <c r="H56" s="52"/>
      <c r="I56" s="52"/>
    </row>
    <row r="57" spans="2:9" x14ac:dyDescent="0.25">
      <c r="B57" s="50" t="s">
        <v>206</v>
      </c>
      <c r="C57" s="48" t="s">
        <v>101</v>
      </c>
      <c r="D57" s="49" t="s">
        <v>102</v>
      </c>
      <c r="E57" s="48" t="s">
        <v>29</v>
      </c>
      <c r="F57" s="28" t="s">
        <v>162</v>
      </c>
      <c r="G57" s="29" t="s">
        <v>31</v>
      </c>
      <c r="H57" s="52" t="s">
        <v>315</v>
      </c>
      <c r="I57" s="52">
        <v>500</v>
      </c>
    </row>
    <row r="58" spans="2:9" x14ac:dyDescent="0.25">
      <c r="B58" s="50" t="s">
        <v>206</v>
      </c>
      <c r="C58" s="48" t="s">
        <v>101</v>
      </c>
      <c r="D58" s="49" t="s">
        <v>102</v>
      </c>
      <c r="E58" s="48" t="s">
        <v>29</v>
      </c>
      <c r="F58" s="28" t="s">
        <v>162</v>
      </c>
      <c r="G58" s="29" t="s">
        <v>31</v>
      </c>
      <c r="H58" s="52"/>
      <c r="I58" s="52"/>
    </row>
    <row r="59" spans="2:9" x14ac:dyDescent="0.25">
      <c r="B59" s="50" t="s">
        <v>206</v>
      </c>
      <c r="C59" s="48" t="s">
        <v>101</v>
      </c>
      <c r="D59" s="49" t="s">
        <v>102</v>
      </c>
      <c r="E59" s="48" t="s">
        <v>34</v>
      </c>
      <c r="F59" s="28" t="s">
        <v>167</v>
      </c>
      <c r="G59" s="29" t="s">
        <v>36</v>
      </c>
      <c r="H59" s="52" t="s">
        <v>315</v>
      </c>
      <c r="I59" s="52">
        <v>220</v>
      </c>
    </row>
    <row r="60" spans="2:9" x14ac:dyDescent="0.25">
      <c r="B60" s="50" t="s">
        <v>207</v>
      </c>
      <c r="C60" s="48" t="s">
        <v>103</v>
      </c>
      <c r="D60" s="49" t="s">
        <v>104</v>
      </c>
      <c r="E60" s="48" t="s">
        <v>29</v>
      </c>
      <c r="F60" s="28" t="s">
        <v>183</v>
      </c>
      <c r="G60" s="29" t="s">
        <v>62</v>
      </c>
      <c r="H60" s="52"/>
      <c r="I60" s="52"/>
    </row>
    <row r="61" spans="2:9" x14ac:dyDescent="0.25">
      <c r="B61" s="50" t="s">
        <v>208</v>
      </c>
      <c r="C61" s="48" t="s">
        <v>105</v>
      </c>
      <c r="D61" s="49" t="s">
        <v>106</v>
      </c>
      <c r="E61" s="48" t="s">
        <v>29</v>
      </c>
      <c r="F61" s="28" t="s">
        <v>165</v>
      </c>
      <c r="G61" s="29" t="s">
        <v>33</v>
      </c>
      <c r="H61" s="52" t="s">
        <v>296</v>
      </c>
      <c r="I61" s="52">
        <v>37.5</v>
      </c>
    </row>
    <row r="62" spans="2:9" x14ac:dyDescent="0.25">
      <c r="B62" s="50" t="s">
        <v>209</v>
      </c>
      <c r="C62" s="48" t="s">
        <v>108</v>
      </c>
      <c r="D62" s="49" t="s">
        <v>109</v>
      </c>
      <c r="E62" s="48" t="s">
        <v>29</v>
      </c>
      <c r="F62" s="28" t="s">
        <v>172</v>
      </c>
      <c r="G62" s="29" t="s">
        <v>46</v>
      </c>
      <c r="H62" s="52"/>
      <c r="I62" s="52"/>
    </row>
    <row r="63" spans="2:9" x14ac:dyDescent="0.25">
      <c r="B63" s="50" t="s">
        <v>209</v>
      </c>
      <c r="C63" s="48" t="s">
        <v>108</v>
      </c>
      <c r="D63" s="49" t="s">
        <v>109</v>
      </c>
      <c r="E63" s="48" t="s">
        <v>29</v>
      </c>
      <c r="F63" s="28" t="s">
        <v>162</v>
      </c>
      <c r="G63" s="29" t="s">
        <v>31</v>
      </c>
      <c r="H63" s="52"/>
      <c r="I63" s="52"/>
    </row>
    <row r="64" spans="2:9" x14ac:dyDescent="0.25">
      <c r="B64" s="50" t="s">
        <v>209</v>
      </c>
      <c r="C64" s="48" t="s">
        <v>108</v>
      </c>
      <c r="D64" s="49" t="s">
        <v>109</v>
      </c>
      <c r="E64" s="48" t="s">
        <v>29</v>
      </c>
      <c r="F64" s="28" t="s">
        <v>162</v>
      </c>
      <c r="G64" s="29" t="s">
        <v>31</v>
      </c>
      <c r="H64" s="52"/>
      <c r="I64" s="52"/>
    </row>
    <row r="65" spans="2:9" x14ac:dyDescent="0.25">
      <c r="B65" s="50" t="s">
        <v>209</v>
      </c>
      <c r="C65" s="48" t="s">
        <v>108</v>
      </c>
      <c r="D65" s="49" t="s">
        <v>109</v>
      </c>
      <c r="E65" s="48" t="s">
        <v>34</v>
      </c>
      <c r="F65" s="28" t="s">
        <v>173</v>
      </c>
      <c r="G65" s="29" t="s">
        <v>47</v>
      </c>
      <c r="H65" s="52"/>
      <c r="I65" s="52"/>
    </row>
    <row r="66" spans="2:9" x14ac:dyDescent="0.25">
      <c r="B66" s="50" t="s">
        <v>210</v>
      </c>
      <c r="C66" s="48" t="s">
        <v>110</v>
      </c>
      <c r="D66" s="49" t="s">
        <v>109</v>
      </c>
      <c r="E66" s="48" t="s">
        <v>29</v>
      </c>
      <c r="F66" s="28" t="s">
        <v>162</v>
      </c>
      <c r="G66" s="29" t="s">
        <v>31</v>
      </c>
      <c r="H66" s="52"/>
      <c r="I66" s="52"/>
    </row>
    <row r="67" spans="2:9" x14ac:dyDescent="0.25">
      <c r="B67" s="50" t="s">
        <v>210</v>
      </c>
      <c r="C67" s="48" t="s">
        <v>110</v>
      </c>
      <c r="D67" s="49" t="s">
        <v>109</v>
      </c>
      <c r="E67" s="48" t="s">
        <v>29</v>
      </c>
      <c r="F67" s="28" t="s">
        <v>162</v>
      </c>
      <c r="G67" s="29" t="s">
        <v>31</v>
      </c>
      <c r="H67" s="52"/>
      <c r="I67" s="52"/>
    </row>
    <row r="68" spans="2:9" x14ac:dyDescent="0.25">
      <c r="B68" s="50" t="s">
        <v>210</v>
      </c>
      <c r="C68" s="48" t="s">
        <v>110</v>
      </c>
      <c r="D68" s="49" t="s">
        <v>109</v>
      </c>
      <c r="E68" s="48" t="s">
        <v>34</v>
      </c>
      <c r="F68" s="28" t="s">
        <v>166</v>
      </c>
      <c r="G68" s="29" t="s">
        <v>35</v>
      </c>
      <c r="H68" s="52"/>
      <c r="I68" s="52"/>
    </row>
    <row r="69" spans="2:9" x14ac:dyDescent="0.25">
      <c r="B69" s="50" t="s">
        <v>210</v>
      </c>
      <c r="C69" s="48" t="s">
        <v>110</v>
      </c>
      <c r="D69" s="49" t="s">
        <v>109</v>
      </c>
      <c r="E69" s="48" t="s">
        <v>34</v>
      </c>
      <c r="F69" s="28" t="s">
        <v>173</v>
      </c>
      <c r="G69" s="29" t="s">
        <v>47</v>
      </c>
      <c r="H69" s="52"/>
      <c r="I69" s="52"/>
    </row>
    <row r="70" spans="2:9" x14ac:dyDescent="0.25">
      <c r="B70" s="50" t="s">
        <v>211</v>
      </c>
      <c r="C70" s="48" t="s">
        <v>111</v>
      </c>
      <c r="D70" s="49" t="s">
        <v>256</v>
      </c>
      <c r="E70" s="48" t="s">
        <v>29</v>
      </c>
      <c r="F70" s="28" t="s">
        <v>165</v>
      </c>
      <c r="G70" s="29" t="s">
        <v>33</v>
      </c>
      <c r="H70" s="52" t="s">
        <v>274</v>
      </c>
      <c r="I70" s="52">
        <v>90</v>
      </c>
    </row>
    <row r="71" spans="2:9" x14ac:dyDescent="0.25">
      <c r="B71" s="50" t="s">
        <v>211</v>
      </c>
      <c r="C71" s="48" t="s">
        <v>111</v>
      </c>
      <c r="D71" s="49" t="s">
        <v>256</v>
      </c>
      <c r="E71" s="48" t="s">
        <v>34</v>
      </c>
      <c r="F71" s="28" t="s">
        <v>181</v>
      </c>
      <c r="G71" s="29" t="s">
        <v>56</v>
      </c>
      <c r="H71" s="52"/>
      <c r="I71" s="52"/>
    </row>
    <row r="72" spans="2:9" x14ac:dyDescent="0.25">
      <c r="B72" s="50" t="s">
        <v>211</v>
      </c>
      <c r="C72" s="48" t="s">
        <v>111</v>
      </c>
      <c r="D72" s="49" t="s">
        <v>256</v>
      </c>
      <c r="E72" s="48" t="s">
        <v>34</v>
      </c>
      <c r="F72" s="28" t="s">
        <v>177</v>
      </c>
      <c r="G72" s="29" t="s">
        <v>52</v>
      </c>
      <c r="H72" s="52" t="s">
        <v>274</v>
      </c>
      <c r="I72" s="52">
        <v>120</v>
      </c>
    </row>
    <row r="73" spans="2:9" x14ac:dyDescent="0.25">
      <c r="B73" s="50" t="s">
        <v>211</v>
      </c>
      <c r="C73" s="48" t="s">
        <v>111</v>
      </c>
      <c r="D73" s="49" t="s">
        <v>256</v>
      </c>
      <c r="E73" s="48" t="s">
        <v>34</v>
      </c>
      <c r="F73" s="28" t="s">
        <v>178</v>
      </c>
      <c r="G73" s="29" t="s">
        <v>53</v>
      </c>
      <c r="H73" s="52"/>
      <c r="I73" s="52"/>
    </row>
    <row r="74" spans="2:9" x14ac:dyDescent="0.25">
      <c r="B74" s="50" t="s">
        <v>212</v>
      </c>
      <c r="C74" s="48" t="s">
        <v>112</v>
      </c>
      <c r="D74" s="49" t="s">
        <v>256</v>
      </c>
      <c r="E74" s="48" t="s">
        <v>29</v>
      </c>
      <c r="F74" s="28" t="s">
        <v>162</v>
      </c>
      <c r="G74" s="29" t="s">
        <v>31</v>
      </c>
      <c r="H74" s="52" t="s">
        <v>275</v>
      </c>
      <c r="I74" s="52">
        <v>126</v>
      </c>
    </row>
    <row r="75" spans="2:9" x14ac:dyDescent="0.25">
      <c r="B75" s="50" t="s">
        <v>212</v>
      </c>
      <c r="C75" s="48" t="s">
        <v>112</v>
      </c>
      <c r="D75" s="49" t="s">
        <v>256</v>
      </c>
      <c r="E75" s="48" t="s">
        <v>29</v>
      </c>
      <c r="F75" s="28" t="s">
        <v>162</v>
      </c>
      <c r="G75" s="29" t="s">
        <v>31</v>
      </c>
      <c r="H75" s="52"/>
      <c r="I75" s="52"/>
    </row>
    <row r="76" spans="2:9" x14ac:dyDescent="0.25">
      <c r="B76" s="50" t="s">
        <v>212</v>
      </c>
      <c r="C76" s="48" t="s">
        <v>112</v>
      </c>
      <c r="D76" s="49" t="s">
        <v>256</v>
      </c>
      <c r="E76" s="48" t="s">
        <v>34</v>
      </c>
      <c r="F76" s="28" t="s">
        <v>181</v>
      </c>
      <c r="G76" s="29" t="s">
        <v>56</v>
      </c>
      <c r="H76" s="52" t="s">
        <v>275</v>
      </c>
      <c r="I76" s="52">
        <v>3</v>
      </c>
    </row>
    <row r="77" spans="2:9" x14ac:dyDescent="0.25">
      <c r="B77" s="50" t="s">
        <v>213</v>
      </c>
      <c r="C77" s="48" t="s">
        <v>113</v>
      </c>
      <c r="D77" s="49" t="s">
        <v>256</v>
      </c>
      <c r="E77" s="48" t="s">
        <v>34</v>
      </c>
      <c r="F77" s="28" t="s">
        <v>167</v>
      </c>
      <c r="G77" s="29" t="s">
        <v>36</v>
      </c>
      <c r="H77" s="52"/>
      <c r="I77" s="52"/>
    </row>
    <row r="78" spans="2:9" x14ac:dyDescent="0.25">
      <c r="B78" s="50" t="s">
        <v>214</v>
      </c>
      <c r="C78" s="48" t="s">
        <v>114</v>
      </c>
      <c r="D78" s="49" t="s">
        <v>256</v>
      </c>
      <c r="E78" s="48" t="s">
        <v>34</v>
      </c>
      <c r="F78" s="28" t="s">
        <v>167</v>
      </c>
      <c r="G78" s="29" t="s">
        <v>36</v>
      </c>
      <c r="H78" s="52"/>
      <c r="I78" s="52"/>
    </row>
    <row r="79" spans="2:9" x14ac:dyDescent="0.25">
      <c r="B79" s="50" t="s">
        <v>215</v>
      </c>
      <c r="C79" s="48" t="s">
        <v>115</v>
      </c>
      <c r="D79" s="49" t="s">
        <v>256</v>
      </c>
      <c r="E79" s="48" t="s">
        <v>28</v>
      </c>
      <c r="F79" s="28" t="s">
        <v>267</v>
      </c>
      <c r="G79" s="29" t="s">
        <v>266</v>
      </c>
      <c r="H79" s="52"/>
      <c r="I79" s="52"/>
    </row>
    <row r="80" spans="2:9" x14ac:dyDescent="0.25">
      <c r="B80" s="50" t="s">
        <v>215</v>
      </c>
      <c r="C80" s="48" t="s">
        <v>115</v>
      </c>
      <c r="D80" s="49" t="s">
        <v>256</v>
      </c>
      <c r="E80" s="48" t="s">
        <v>29</v>
      </c>
      <c r="F80" s="28" t="s">
        <v>162</v>
      </c>
      <c r="G80" s="29" t="s">
        <v>31</v>
      </c>
      <c r="H80" s="52" t="s">
        <v>294</v>
      </c>
      <c r="I80" s="52">
        <v>37.5</v>
      </c>
    </row>
    <row r="81" spans="2:9" x14ac:dyDescent="0.25">
      <c r="B81" s="50" t="s">
        <v>215</v>
      </c>
      <c r="C81" s="48" t="s">
        <v>115</v>
      </c>
      <c r="D81" s="49" t="s">
        <v>256</v>
      </c>
      <c r="E81" s="48" t="s">
        <v>29</v>
      </c>
      <c r="F81" s="28" t="s">
        <v>162</v>
      </c>
      <c r="G81" s="29" t="s">
        <v>31</v>
      </c>
      <c r="H81" s="52"/>
      <c r="I81" s="52"/>
    </row>
    <row r="82" spans="2:9" x14ac:dyDescent="0.25">
      <c r="B82" s="50" t="s">
        <v>215</v>
      </c>
      <c r="C82" s="48" t="s">
        <v>115</v>
      </c>
      <c r="D82" s="49" t="s">
        <v>256</v>
      </c>
      <c r="E82" s="48" t="s">
        <v>34</v>
      </c>
      <c r="F82" s="28" t="s">
        <v>173</v>
      </c>
      <c r="G82" s="29" t="s">
        <v>47</v>
      </c>
      <c r="H82" s="52" t="s">
        <v>294</v>
      </c>
      <c r="I82" s="52">
        <v>70</v>
      </c>
    </row>
    <row r="83" spans="2:9" x14ac:dyDescent="0.25">
      <c r="B83" s="50" t="s">
        <v>215</v>
      </c>
      <c r="C83" s="48" t="s">
        <v>115</v>
      </c>
      <c r="D83" s="49" t="s">
        <v>256</v>
      </c>
      <c r="E83" s="48" t="s">
        <v>34</v>
      </c>
      <c r="F83" s="28" t="s">
        <v>166</v>
      </c>
      <c r="G83" s="29" t="s">
        <v>35</v>
      </c>
      <c r="H83" s="52"/>
      <c r="I83" s="52"/>
    </row>
    <row r="84" spans="2:9" x14ac:dyDescent="0.25">
      <c r="B84" s="50" t="s">
        <v>216</v>
      </c>
      <c r="C84" s="48" t="s">
        <v>116</v>
      </c>
      <c r="D84" s="49" t="s">
        <v>256</v>
      </c>
      <c r="E84" s="48" t="s">
        <v>29</v>
      </c>
      <c r="F84" s="28" t="s">
        <v>162</v>
      </c>
      <c r="G84" s="29" t="s">
        <v>31</v>
      </c>
      <c r="H84" s="52" t="s">
        <v>295</v>
      </c>
      <c r="I84" s="52">
        <v>60</v>
      </c>
    </row>
    <row r="85" spans="2:9" x14ac:dyDescent="0.25">
      <c r="B85" s="50" t="s">
        <v>216</v>
      </c>
      <c r="C85" s="48" t="s">
        <v>116</v>
      </c>
      <c r="D85" s="49" t="s">
        <v>256</v>
      </c>
      <c r="E85" s="48" t="s">
        <v>29</v>
      </c>
      <c r="F85" s="28" t="s">
        <v>162</v>
      </c>
      <c r="G85" s="29" t="s">
        <v>31</v>
      </c>
      <c r="H85" s="52"/>
      <c r="I85" s="52"/>
    </row>
    <row r="86" spans="2:9" x14ac:dyDescent="0.25">
      <c r="B86" s="50" t="s">
        <v>217</v>
      </c>
      <c r="C86" s="48" t="s">
        <v>117</v>
      </c>
      <c r="D86" s="49" t="s">
        <v>256</v>
      </c>
      <c r="E86" s="48" t="s">
        <v>29</v>
      </c>
      <c r="F86" s="28" t="s">
        <v>183</v>
      </c>
      <c r="G86" s="29" t="s">
        <v>62</v>
      </c>
      <c r="H86" s="52"/>
      <c r="I86" s="52"/>
    </row>
    <row r="87" spans="2:9" x14ac:dyDescent="0.25">
      <c r="B87" s="50" t="s">
        <v>217</v>
      </c>
      <c r="C87" s="48" t="s">
        <v>117</v>
      </c>
      <c r="D87" s="49" t="s">
        <v>256</v>
      </c>
      <c r="E87" s="48" t="s">
        <v>34</v>
      </c>
      <c r="F87" s="28" t="s">
        <v>177</v>
      </c>
      <c r="G87" s="29" t="s">
        <v>52</v>
      </c>
      <c r="H87" s="52" t="s">
        <v>297</v>
      </c>
      <c r="I87" s="52">
        <v>37</v>
      </c>
    </row>
    <row r="88" spans="2:9" x14ac:dyDescent="0.25">
      <c r="B88" s="50" t="s">
        <v>218</v>
      </c>
      <c r="C88" s="48" t="s">
        <v>118</v>
      </c>
      <c r="D88" s="49" t="s">
        <v>256</v>
      </c>
      <c r="E88" s="48" t="s">
        <v>29</v>
      </c>
      <c r="F88" s="28" t="s">
        <v>165</v>
      </c>
      <c r="G88" s="29" t="s">
        <v>33</v>
      </c>
      <c r="H88" s="52"/>
      <c r="I88" s="52"/>
    </row>
    <row r="89" spans="2:9" x14ac:dyDescent="0.25">
      <c r="B89" s="50" t="s">
        <v>218</v>
      </c>
      <c r="C89" s="48" t="s">
        <v>118</v>
      </c>
      <c r="D89" s="49" t="s">
        <v>256</v>
      </c>
      <c r="E89" s="48" t="s">
        <v>34</v>
      </c>
      <c r="F89" s="28" t="s">
        <v>181</v>
      </c>
      <c r="G89" s="29" t="s">
        <v>56</v>
      </c>
      <c r="H89" s="52"/>
      <c r="I89" s="52"/>
    </row>
    <row r="90" spans="2:9" x14ac:dyDescent="0.25">
      <c r="B90" s="50" t="s">
        <v>218</v>
      </c>
      <c r="C90" s="48" t="s">
        <v>118</v>
      </c>
      <c r="D90" s="49" t="s">
        <v>256</v>
      </c>
      <c r="E90" s="48" t="s">
        <v>34</v>
      </c>
      <c r="F90" s="28" t="s">
        <v>177</v>
      </c>
      <c r="G90" s="29" t="s">
        <v>52</v>
      </c>
      <c r="H90" s="52"/>
      <c r="I90" s="52"/>
    </row>
    <row r="91" spans="2:9" x14ac:dyDescent="0.25">
      <c r="B91" s="50" t="s">
        <v>219</v>
      </c>
      <c r="C91" s="48" t="s">
        <v>119</v>
      </c>
      <c r="D91" s="49" t="s">
        <v>256</v>
      </c>
      <c r="E91" s="48" t="s">
        <v>34</v>
      </c>
      <c r="F91" s="28" t="s">
        <v>167</v>
      </c>
      <c r="G91" s="29" t="s">
        <v>36</v>
      </c>
      <c r="H91" s="52"/>
      <c r="I91" s="52"/>
    </row>
    <row r="92" spans="2:9" x14ac:dyDescent="0.25">
      <c r="B92" s="50" t="s">
        <v>220</v>
      </c>
      <c r="C92" s="48" t="s">
        <v>121</v>
      </c>
      <c r="D92" s="49" t="s">
        <v>256</v>
      </c>
      <c r="E92" s="48" t="s">
        <v>29</v>
      </c>
      <c r="F92" s="28" t="s">
        <v>162</v>
      </c>
      <c r="G92" s="29" t="s">
        <v>31</v>
      </c>
      <c r="H92" s="52"/>
      <c r="I92" s="52"/>
    </row>
    <row r="93" spans="2:9" x14ac:dyDescent="0.25">
      <c r="B93" s="50" t="s">
        <v>221</v>
      </c>
      <c r="C93" s="48" t="s">
        <v>122</v>
      </c>
      <c r="D93" s="49" t="s">
        <v>256</v>
      </c>
      <c r="E93" s="48" t="s">
        <v>29</v>
      </c>
      <c r="F93" s="28" t="s">
        <v>172</v>
      </c>
      <c r="G93" s="29" t="s">
        <v>46</v>
      </c>
      <c r="H93" s="52"/>
      <c r="I93" s="52"/>
    </row>
    <row r="94" spans="2:9" x14ac:dyDescent="0.25">
      <c r="B94" s="50" t="s">
        <v>221</v>
      </c>
      <c r="C94" s="48" t="s">
        <v>122</v>
      </c>
      <c r="D94" s="49" t="s">
        <v>256</v>
      </c>
      <c r="E94" s="48" t="s">
        <v>29</v>
      </c>
      <c r="F94" s="28" t="s">
        <v>162</v>
      </c>
      <c r="G94" s="29" t="s">
        <v>31</v>
      </c>
      <c r="H94" s="52" t="s">
        <v>298</v>
      </c>
      <c r="I94" s="52">
        <v>10</v>
      </c>
    </row>
    <row r="95" spans="2:9" x14ac:dyDescent="0.25">
      <c r="B95" s="50" t="s">
        <v>221</v>
      </c>
      <c r="C95" s="48" t="s">
        <v>122</v>
      </c>
      <c r="D95" s="49" t="s">
        <v>256</v>
      </c>
      <c r="E95" s="48" t="s">
        <v>29</v>
      </c>
      <c r="F95" s="28" t="s">
        <v>162</v>
      </c>
      <c r="G95" s="29" t="s">
        <v>31</v>
      </c>
      <c r="H95" s="52"/>
      <c r="I95" s="52"/>
    </row>
    <row r="96" spans="2:9" x14ac:dyDescent="0.25">
      <c r="B96" s="50" t="s">
        <v>221</v>
      </c>
      <c r="C96" s="48" t="s">
        <v>122</v>
      </c>
      <c r="D96" s="49" t="s">
        <v>256</v>
      </c>
      <c r="E96" s="48" t="s">
        <v>29</v>
      </c>
      <c r="F96" s="28" t="s">
        <v>165</v>
      </c>
      <c r="G96" s="29" t="s">
        <v>33</v>
      </c>
      <c r="H96" s="52"/>
      <c r="I96" s="52"/>
    </row>
    <row r="97" spans="2:9" x14ac:dyDescent="0.25">
      <c r="B97" s="50" t="s">
        <v>221</v>
      </c>
      <c r="C97" s="48" t="s">
        <v>122</v>
      </c>
      <c r="D97" s="49" t="s">
        <v>256</v>
      </c>
      <c r="E97" s="48" t="s">
        <v>34</v>
      </c>
      <c r="F97" s="28" t="s">
        <v>166</v>
      </c>
      <c r="G97" s="29" t="s">
        <v>35</v>
      </c>
      <c r="H97" s="52"/>
      <c r="I97" s="52"/>
    </row>
    <row r="98" spans="2:9" x14ac:dyDescent="0.25">
      <c r="B98" s="50" t="s">
        <v>221</v>
      </c>
      <c r="C98" s="48" t="s">
        <v>122</v>
      </c>
      <c r="D98" s="49" t="s">
        <v>256</v>
      </c>
      <c r="E98" s="48" t="s">
        <v>34</v>
      </c>
      <c r="F98" s="28" t="s">
        <v>167</v>
      </c>
      <c r="G98" s="29" t="s">
        <v>36</v>
      </c>
      <c r="H98" s="52"/>
      <c r="I98" s="52"/>
    </row>
    <row r="99" spans="2:9" x14ac:dyDescent="0.25">
      <c r="B99" s="50" t="s">
        <v>221</v>
      </c>
      <c r="C99" s="48" t="s">
        <v>122</v>
      </c>
      <c r="D99" s="49" t="s">
        <v>256</v>
      </c>
      <c r="E99" s="48" t="s">
        <v>34</v>
      </c>
      <c r="F99" s="28" t="s">
        <v>173</v>
      </c>
      <c r="G99" s="29" t="s">
        <v>47</v>
      </c>
      <c r="H99" s="52" t="s">
        <v>298</v>
      </c>
      <c r="I99" s="52">
        <v>10</v>
      </c>
    </row>
    <row r="100" spans="2:9" x14ac:dyDescent="0.25">
      <c r="B100" s="50" t="s">
        <v>222</v>
      </c>
      <c r="C100" s="48" t="s">
        <v>123</v>
      </c>
      <c r="D100" s="49" t="s">
        <v>256</v>
      </c>
      <c r="E100" s="48" t="s">
        <v>29</v>
      </c>
      <c r="F100" s="28" t="s">
        <v>162</v>
      </c>
      <c r="G100" s="29" t="s">
        <v>31</v>
      </c>
      <c r="H100" s="52" t="s">
        <v>300</v>
      </c>
      <c r="I100" s="52">
        <v>10</v>
      </c>
    </row>
    <row r="101" spans="2:9" x14ac:dyDescent="0.25">
      <c r="B101" s="50" t="s">
        <v>222</v>
      </c>
      <c r="C101" s="48" t="s">
        <v>123</v>
      </c>
      <c r="D101" s="49" t="s">
        <v>256</v>
      </c>
      <c r="E101" s="48" t="s">
        <v>29</v>
      </c>
      <c r="F101" s="28" t="s">
        <v>162</v>
      </c>
      <c r="G101" s="29" t="s">
        <v>31</v>
      </c>
      <c r="H101" s="52"/>
      <c r="I101" s="52"/>
    </row>
    <row r="102" spans="2:9" x14ac:dyDescent="0.25">
      <c r="B102" s="50" t="s">
        <v>222</v>
      </c>
      <c r="C102" s="48" t="s">
        <v>123</v>
      </c>
      <c r="D102" s="49" t="s">
        <v>256</v>
      </c>
      <c r="E102" s="48" t="s">
        <v>34</v>
      </c>
      <c r="F102" s="28" t="s">
        <v>173</v>
      </c>
      <c r="G102" s="29" t="s">
        <v>47</v>
      </c>
      <c r="H102" s="52"/>
      <c r="I102" s="52"/>
    </row>
    <row r="103" spans="2:9" x14ac:dyDescent="0.25">
      <c r="B103" s="50" t="s">
        <v>222</v>
      </c>
      <c r="C103" s="48" t="s">
        <v>123</v>
      </c>
      <c r="D103" s="49" t="s">
        <v>256</v>
      </c>
      <c r="E103" s="48" t="s">
        <v>29</v>
      </c>
      <c r="F103" s="28" t="s">
        <v>165</v>
      </c>
      <c r="G103" s="29" t="s">
        <v>33</v>
      </c>
      <c r="H103" s="52"/>
      <c r="I103" s="52"/>
    </row>
    <row r="104" spans="2:9" x14ac:dyDescent="0.25">
      <c r="B104" s="50" t="s">
        <v>223</v>
      </c>
      <c r="C104" s="48" t="s">
        <v>124</v>
      </c>
      <c r="D104" s="49" t="s">
        <v>256</v>
      </c>
      <c r="E104" s="48" t="s">
        <v>29</v>
      </c>
      <c r="F104" s="28" t="s">
        <v>162</v>
      </c>
      <c r="G104" s="29" t="s">
        <v>31</v>
      </c>
      <c r="H104" s="52"/>
      <c r="I104" s="52"/>
    </row>
    <row r="105" spans="2:9" x14ac:dyDescent="0.25">
      <c r="B105" s="50" t="s">
        <v>223</v>
      </c>
      <c r="C105" s="48" t="s">
        <v>124</v>
      </c>
      <c r="D105" s="49" t="s">
        <v>256</v>
      </c>
      <c r="E105" s="48" t="s">
        <v>29</v>
      </c>
      <c r="F105" s="28" t="s">
        <v>162</v>
      </c>
      <c r="G105" s="29" t="s">
        <v>31</v>
      </c>
      <c r="H105" s="52"/>
      <c r="I105" s="52"/>
    </row>
    <row r="106" spans="2:9" x14ac:dyDescent="0.25">
      <c r="B106" s="50" t="s">
        <v>223</v>
      </c>
      <c r="C106" s="48" t="s">
        <v>124</v>
      </c>
      <c r="D106" s="49" t="s">
        <v>256</v>
      </c>
      <c r="E106" s="48" t="s">
        <v>48</v>
      </c>
      <c r="F106" s="28" t="s">
        <v>175</v>
      </c>
      <c r="G106" s="29" t="s">
        <v>49</v>
      </c>
      <c r="H106" s="52"/>
      <c r="I106" s="52"/>
    </row>
    <row r="107" spans="2:9" x14ac:dyDescent="0.25">
      <c r="B107" s="50" t="s">
        <v>223</v>
      </c>
      <c r="C107" s="48" t="s">
        <v>124</v>
      </c>
      <c r="D107" s="49" t="s">
        <v>256</v>
      </c>
      <c r="E107" s="48" t="s">
        <v>48</v>
      </c>
      <c r="F107" s="28" t="s">
        <v>182</v>
      </c>
      <c r="G107" s="29" t="s">
        <v>57</v>
      </c>
      <c r="H107" s="52"/>
      <c r="I107" s="52"/>
    </row>
    <row r="108" spans="2:9" x14ac:dyDescent="0.25">
      <c r="B108" s="50" t="s">
        <v>223</v>
      </c>
      <c r="C108" s="48" t="s">
        <v>124</v>
      </c>
      <c r="D108" s="49" t="s">
        <v>256</v>
      </c>
      <c r="E108" s="48" t="s">
        <v>29</v>
      </c>
      <c r="F108" s="28" t="s">
        <v>165</v>
      </c>
      <c r="G108" s="29" t="s">
        <v>33</v>
      </c>
      <c r="H108" s="52"/>
      <c r="I108" s="52"/>
    </row>
    <row r="109" spans="2:9" x14ac:dyDescent="0.25">
      <c r="B109" s="50" t="s">
        <v>224</v>
      </c>
      <c r="C109" s="48" t="s">
        <v>125</v>
      </c>
      <c r="D109" s="49" t="s">
        <v>256</v>
      </c>
      <c r="E109" s="48" t="s">
        <v>29</v>
      </c>
      <c r="F109" s="28" t="s">
        <v>179</v>
      </c>
      <c r="G109" s="29" t="s">
        <v>54</v>
      </c>
      <c r="H109" s="52" t="s">
        <v>301</v>
      </c>
      <c r="I109" s="52">
        <v>86.25</v>
      </c>
    </row>
    <row r="110" spans="2:9" x14ac:dyDescent="0.25">
      <c r="B110" s="50" t="s">
        <v>224</v>
      </c>
      <c r="C110" s="48" t="s">
        <v>125</v>
      </c>
      <c r="D110" s="49" t="s">
        <v>256</v>
      </c>
      <c r="E110" s="48" t="s">
        <v>34</v>
      </c>
      <c r="F110" s="28" t="s">
        <v>167</v>
      </c>
      <c r="G110" s="29" t="s">
        <v>36</v>
      </c>
      <c r="H110" s="52" t="s">
        <v>301</v>
      </c>
      <c r="I110" s="52">
        <v>278</v>
      </c>
    </row>
    <row r="111" spans="2:9" x14ac:dyDescent="0.25">
      <c r="B111" s="50" t="s">
        <v>224</v>
      </c>
      <c r="C111" s="48" t="s">
        <v>125</v>
      </c>
      <c r="D111" s="49" t="s">
        <v>256</v>
      </c>
      <c r="E111" s="48" t="s">
        <v>34</v>
      </c>
      <c r="F111" s="28" t="s">
        <v>173</v>
      </c>
      <c r="G111" s="29" t="s">
        <v>47</v>
      </c>
      <c r="H111" s="52"/>
      <c r="I111" s="52"/>
    </row>
    <row r="112" spans="2:9" x14ac:dyDescent="0.25">
      <c r="B112" s="50" t="s">
        <v>225</v>
      </c>
      <c r="C112" s="48" t="s">
        <v>126</v>
      </c>
      <c r="D112" s="49" t="s">
        <v>256</v>
      </c>
      <c r="E112" s="48" t="s">
        <v>29</v>
      </c>
      <c r="F112" s="28" t="s">
        <v>162</v>
      </c>
      <c r="G112" s="29" t="s">
        <v>31</v>
      </c>
      <c r="H112" s="52" t="s">
        <v>302</v>
      </c>
      <c r="I112" s="52">
        <v>37.5</v>
      </c>
    </row>
    <row r="113" spans="2:9" x14ac:dyDescent="0.25">
      <c r="B113" s="50" t="s">
        <v>225</v>
      </c>
      <c r="C113" s="48" t="s">
        <v>126</v>
      </c>
      <c r="D113" s="49" t="s">
        <v>256</v>
      </c>
      <c r="E113" s="48" t="s">
        <v>34</v>
      </c>
      <c r="F113" s="28" t="s">
        <v>167</v>
      </c>
      <c r="G113" s="29" t="s">
        <v>36</v>
      </c>
      <c r="H113" s="52" t="s">
        <v>302</v>
      </c>
      <c r="I113" s="52">
        <v>2025</v>
      </c>
    </row>
    <row r="114" spans="2:9" x14ac:dyDescent="0.25">
      <c r="B114" s="50" t="s">
        <v>225</v>
      </c>
      <c r="C114" s="48" t="s">
        <v>126</v>
      </c>
      <c r="D114" s="49" t="s">
        <v>256</v>
      </c>
      <c r="E114" s="48" t="s">
        <v>29</v>
      </c>
      <c r="F114" s="28" t="s">
        <v>174</v>
      </c>
      <c r="G114" s="29" t="s">
        <v>157</v>
      </c>
      <c r="H114" s="52"/>
      <c r="I114" s="52"/>
    </row>
    <row r="115" spans="2:9" x14ac:dyDescent="0.25">
      <c r="B115" s="50" t="s">
        <v>225</v>
      </c>
      <c r="C115" s="48" t="s">
        <v>126</v>
      </c>
      <c r="D115" s="49" t="s">
        <v>256</v>
      </c>
      <c r="E115" s="48" t="s">
        <v>29</v>
      </c>
      <c r="F115" s="28" t="s">
        <v>162</v>
      </c>
      <c r="G115" s="29" t="s">
        <v>31</v>
      </c>
      <c r="H115" s="52"/>
      <c r="I115" s="52"/>
    </row>
    <row r="116" spans="2:9" x14ac:dyDescent="0.25">
      <c r="B116" s="50" t="s">
        <v>225</v>
      </c>
      <c r="C116" s="48" t="s">
        <v>126</v>
      </c>
      <c r="D116" s="49" t="s">
        <v>256</v>
      </c>
      <c r="E116" s="48" t="s">
        <v>41</v>
      </c>
      <c r="F116" s="28" t="s">
        <v>171</v>
      </c>
      <c r="G116" s="29" t="s">
        <v>270</v>
      </c>
      <c r="H116" s="52"/>
      <c r="I116" s="52"/>
    </row>
    <row r="117" spans="2:9" x14ac:dyDescent="0.25">
      <c r="B117" s="50" t="s">
        <v>225</v>
      </c>
      <c r="C117" s="48" t="s">
        <v>126</v>
      </c>
      <c r="D117" s="49" t="s">
        <v>256</v>
      </c>
      <c r="E117" s="48" t="s">
        <v>41</v>
      </c>
      <c r="F117" s="28" t="s">
        <v>185</v>
      </c>
      <c r="G117" s="29" t="s">
        <v>158</v>
      </c>
      <c r="H117" s="52"/>
      <c r="I117" s="52"/>
    </row>
    <row r="118" spans="2:9" x14ac:dyDescent="0.25">
      <c r="B118" s="50" t="s">
        <v>226</v>
      </c>
      <c r="C118" s="48" t="s">
        <v>127</v>
      </c>
      <c r="D118" s="49" t="s">
        <v>256</v>
      </c>
      <c r="E118" s="48" t="s">
        <v>29</v>
      </c>
      <c r="F118" s="28" t="s">
        <v>162</v>
      </c>
      <c r="G118" s="29" t="s">
        <v>31</v>
      </c>
      <c r="H118" s="52"/>
      <c r="I118" s="52"/>
    </row>
    <row r="119" spans="2:9" x14ac:dyDescent="0.25">
      <c r="B119" s="50" t="s">
        <v>226</v>
      </c>
      <c r="C119" s="48" t="s">
        <v>127</v>
      </c>
      <c r="D119" s="49" t="s">
        <v>256</v>
      </c>
      <c r="E119" s="48" t="s">
        <v>34</v>
      </c>
      <c r="F119" s="28" t="s">
        <v>167</v>
      </c>
      <c r="G119" s="29" t="s">
        <v>36</v>
      </c>
      <c r="H119" s="52"/>
      <c r="I119" s="52"/>
    </row>
    <row r="120" spans="2:9" x14ac:dyDescent="0.25">
      <c r="B120" s="50" t="s">
        <v>227</v>
      </c>
      <c r="C120" s="48" t="s">
        <v>128</v>
      </c>
      <c r="D120" s="49" t="s">
        <v>256</v>
      </c>
      <c r="E120" s="48" t="s">
        <v>29</v>
      </c>
      <c r="F120" s="28" t="s">
        <v>183</v>
      </c>
      <c r="G120" s="29" t="s">
        <v>62</v>
      </c>
      <c r="H120" s="52"/>
      <c r="I120" s="52"/>
    </row>
    <row r="121" spans="2:9" x14ac:dyDescent="0.25">
      <c r="B121" s="50" t="s">
        <v>228</v>
      </c>
      <c r="C121" s="48" t="s">
        <v>129</v>
      </c>
      <c r="D121" s="49" t="s">
        <v>256</v>
      </c>
      <c r="E121" s="48" t="s">
        <v>29</v>
      </c>
      <c r="F121" s="28" t="s">
        <v>183</v>
      </c>
      <c r="G121" s="29" t="s">
        <v>62</v>
      </c>
      <c r="H121" s="52"/>
      <c r="I121" s="52"/>
    </row>
    <row r="122" spans="2:9" x14ac:dyDescent="0.25">
      <c r="B122" s="50" t="s">
        <v>229</v>
      </c>
      <c r="C122" s="48" t="s">
        <v>130</v>
      </c>
      <c r="D122" s="49" t="s">
        <v>256</v>
      </c>
      <c r="E122" s="48" t="s">
        <v>29</v>
      </c>
      <c r="F122" s="28" t="s">
        <v>162</v>
      </c>
      <c r="G122" s="29" t="s">
        <v>31</v>
      </c>
      <c r="H122" s="52" t="s">
        <v>303</v>
      </c>
      <c r="I122" s="52">
        <v>317.5</v>
      </c>
    </row>
    <row r="123" spans="2:9" x14ac:dyDescent="0.25">
      <c r="B123" s="50" t="s">
        <v>229</v>
      </c>
      <c r="C123" s="48" t="s">
        <v>130</v>
      </c>
      <c r="D123" s="49" t="s">
        <v>256</v>
      </c>
      <c r="E123" s="48" t="s">
        <v>29</v>
      </c>
      <c r="F123" s="28" t="s">
        <v>162</v>
      </c>
      <c r="G123" s="29" t="s">
        <v>31</v>
      </c>
      <c r="H123" s="52"/>
      <c r="I123" s="52"/>
    </row>
    <row r="124" spans="2:9" x14ac:dyDescent="0.25">
      <c r="B124" s="50" t="s">
        <v>229</v>
      </c>
      <c r="C124" s="48" t="s">
        <v>130</v>
      </c>
      <c r="D124" s="49" t="s">
        <v>256</v>
      </c>
      <c r="E124" s="48" t="s">
        <v>34</v>
      </c>
      <c r="F124" s="28" t="s">
        <v>167</v>
      </c>
      <c r="G124" s="29" t="s">
        <v>36</v>
      </c>
      <c r="H124" s="52" t="s">
        <v>303</v>
      </c>
      <c r="I124" s="52">
        <v>325</v>
      </c>
    </row>
    <row r="125" spans="2:9" x14ac:dyDescent="0.25">
      <c r="B125" s="50" t="s">
        <v>229</v>
      </c>
      <c r="C125" s="48" t="s">
        <v>130</v>
      </c>
      <c r="D125" s="49" t="s">
        <v>256</v>
      </c>
      <c r="E125" s="48" t="s">
        <v>34</v>
      </c>
      <c r="F125" s="28" t="s">
        <v>173</v>
      </c>
      <c r="G125" s="29" t="s">
        <v>47</v>
      </c>
      <c r="H125" s="52"/>
      <c r="I125" s="52"/>
    </row>
    <row r="126" spans="2:9" x14ac:dyDescent="0.25">
      <c r="B126" s="50" t="s">
        <v>230</v>
      </c>
      <c r="C126" s="48" t="s">
        <v>131</v>
      </c>
      <c r="D126" s="49" t="s">
        <v>256</v>
      </c>
      <c r="E126" s="48" t="s">
        <v>29</v>
      </c>
      <c r="F126" s="28" t="s">
        <v>165</v>
      </c>
      <c r="G126" s="29" t="s">
        <v>33</v>
      </c>
      <c r="H126" s="52" t="s">
        <v>304</v>
      </c>
      <c r="I126" s="52">
        <v>65</v>
      </c>
    </row>
    <row r="127" spans="2:9" x14ac:dyDescent="0.25">
      <c r="B127" s="50" t="s">
        <v>230</v>
      </c>
      <c r="C127" s="48" t="s">
        <v>131</v>
      </c>
      <c r="D127" s="49" t="s">
        <v>256</v>
      </c>
      <c r="E127" s="48" t="s">
        <v>34</v>
      </c>
      <c r="F127" s="28" t="s">
        <v>167</v>
      </c>
      <c r="G127" s="29" t="s">
        <v>36</v>
      </c>
      <c r="H127" s="52" t="s">
        <v>304</v>
      </c>
      <c r="I127" s="52">
        <v>180</v>
      </c>
    </row>
    <row r="128" spans="2:9" x14ac:dyDescent="0.25">
      <c r="B128" s="50" t="s">
        <v>230</v>
      </c>
      <c r="C128" s="48" t="s">
        <v>131</v>
      </c>
      <c r="D128" s="49" t="s">
        <v>256</v>
      </c>
      <c r="E128" s="48" t="s">
        <v>34</v>
      </c>
      <c r="F128" s="28" t="s">
        <v>173</v>
      </c>
      <c r="G128" s="29" t="s">
        <v>47</v>
      </c>
      <c r="H128" s="52"/>
      <c r="I128" s="52"/>
    </row>
    <row r="129" spans="2:9" x14ac:dyDescent="0.25">
      <c r="B129" s="50" t="s">
        <v>230</v>
      </c>
      <c r="C129" s="48" t="s">
        <v>131</v>
      </c>
      <c r="D129" s="49" t="s">
        <v>256</v>
      </c>
      <c r="E129" s="48" t="s">
        <v>29</v>
      </c>
      <c r="F129" s="28" t="s">
        <v>162</v>
      </c>
      <c r="G129" s="29" t="s">
        <v>31</v>
      </c>
      <c r="H129" s="52"/>
      <c r="I129" s="52"/>
    </row>
    <row r="130" spans="2:9" x14ac:dyDescent="0.25">
      <c r="B130" s="50" t="s">
        <v>231</v>
      </c>
      <c r="C130" s="48" t="s">
        <v>132</v>
      </c>
      <c r="D130" s="49" t="s">
        <v>256</v>
      </c>
      <c r="E130" s="48" t="s">
        <v>29</v>
      </c>
      <c r="F130" s="28" t="s">
        <v>183</v>
      </c>
      <c r="G130" s="29" t="s">
        <v>62</v>
      </c>
      <c r="H130" s="52"/>
      <c r="I130" s="52"/>
    </row>
    <row r="131" spans="2:9" x14ac:dyDescent="0.25">
      <c r="B131" s="50" t="s">
        <v>231</v>
      </c>
      <c r="C131" s="48" t="s">
        <v>132</v>
      </c>
      <c r="D131" s="49" t="s">
        <v>256</v>
      </c>
      <c r="E131" s="48" t="s">
        <v>29</v>
      </c>
      <c r="F131" s="28" t="s">
        <v>165</v>
      </c>
      <c r="G131" s="29" t="s">
        <v>33</v>
      </c>
      <c r="H131" s="52"/>
      <c r="I131" s="52"/>
    </row>
    <row r="132" spans="2:9" x14ac:dyDescent="0.25">
      <c r="B132" s="50" t="s">
        <v>231</v>
      </c>
      <c r="C132" s="48" t="s">
        <v>132</v>
      </c>
      <c r="D132" s="49" t="s">
        <v>256</v>
      </c>
      <c r="E132" s="48" t="s">
        <v>38</v>
      </c>
      <c r="F132" s="28" t="s">
        <v>170</v>
      </c>
      <c r="G132" s="29" t="s">
        <v>40</v>
      </c>
      <c r="H132" s="52"/>
      <c r="I132" s="52"/>
    </row>
    <row r="133" spans="2:9" x14ac:dyDescent="0.25">
      <c r="B133" s="50" t="s">
        <v>232</v>
      </c>
      <c r="C133" s="48" t="s">
        <v>133</v>
      </c>
      <c r="D133" s="49" t="s">
        <v>256</v>
      </c>
      <c r="E133" s="48" t="s">
        <v>29</v>
      </c>
      <c r="F133" s="28" t="s">
        <v>179</v>
      </c>
      <c r="G133" s="29" t="s">
        <v>54</v>
      </c>
      <c r="H133" s="52"/>
      <c r="I133" s="52"/>
    </row>
    <row r="134" spans="2:9" x14ac:dyDescent="0.25">
      <c r="B134" s="50" t="s">
        <v>232</v>
      </c>
      <c r="C134" s="48" t="s">
        <v>133</v>
      </c>
      <c r="D134" s="49" t="s">
        <v>256</v>
      </c>
      <c r="E134" s="48" t="s">
        <v>34</v>
      </c>
      <c r="F134" s="28" t="s">
        <v>166</v>
      </c>
      <c r="G134" s="29" t="s">
        <v>35</v>
      </c>
      <c r="H134" s="52"/>
      <c r="I134" s="52"/>
    </row>
    <row r="135" spans="2:9" x14ac:dyDescent="0.25">
      <c r="B135" s="50" t="s">
        <v>232</v>
      </c>
      <c r="C135" s="48" t="s">
        <v>133</v>
      </c>
      <c r="D135" s="49" t="s">
        <v>256</v>
      </c>
      <c r="E135" s="48" t="s">
        <v>34</v>
      </c>
      <c r="F135" s="28" t="s">
        <v>178</v>
      </c>
      <c r="G135" s="29" t="s">
        <v>53</v>
      </c>
      <c r="H135" s="52" t="s">
        <v>308</v>
      </c>
      <c r="I135" s="52">
        <v>223</v>
      </c>
    </row>
    <row r="136" spans="2:9" x14ac:dyDescent="0.25">
      <c r="B136" s="50" t="s">
        <v>233</v>
      </c>
      <c r="C136" s="48" t="s">
        <v>134</v>
      </c>
      <c r="D136" s="49" t="s">
        <v>256</v>
      </c>
      <c r="E136" s="48" t="s">
        <v>28</v>
      </c>
      <c r="F136" s="28" t="s">
        <v>267</v>
      </c>
      <c r="G136" s="29" t="s">
        <v>266</v>
      </c>
      <c r="H136" s="52"/>
      <c r="I136" s="52"/>
    </row>
    <row r="137" spans="2:9" x14ac:dyDescent="0.25">
      <c r="B137" s="50" t="s">
        <v>233</v>
      </c>
      <c r="C137" s="48" t="s">
        <v>134</v>
      </c>
      <c r="D137" s="49" t="s">
        <v>256</v>
      </c>
      <c r="E137" s="48" t="s">
        <v>29</v>
      </c>
      <c r="F137" s="28" t="s">
        <v>172</v>
      </c>
      <c r="G137" s="29" t="s">
        <v>46</v>
      </c>
      <c r="H137" s="52"/>
      <c r="I137" s="52"/>
    </row>
    <row r="138" spans="2:9" x14ac:dyDescent="0.25">
      <c r="B138" s="50" t="s">
        <v>233</v>
      </c>
      <c r="C138" s="48" t="s">
        <v>134</v>
      </c>
      <c r="D138" s="49" t="s">
        <v>256</v>
      </c>
      <c r="E138" s="48" t="s">
        <v>29</v>
      </c>
      <c r="F138" s="28" t="s">
        <v>165</v>
      </c>
      <c r="G138" s="29" t="s">
        <v>33</v>
      </c>
      <c r="H138" s="52"/>
      <c r="I138" s="52"/>
    </row>
    <row r="139" spans="2:9" x14ac:dyDescent="0.25">
      <c r="B139" s="50" t="s">
        <v>233</v>
      </c>
      <c r="C139" s="48" t="s">
        <v>134</v>
      </c>
      <c r="D139" s="49" t="s">
        <v>256</v>
      </c>
      <c r="E139" s="48" t="s">
        <v>34</v>
      </c>
      <c r="F139" s="28" t="s">
        <v>166</v>
      </c>
      <c r="G139" s="29" t="s">
        <v>35</v>
      </c>
      <c r="H139" s="52"/>
      <c r="I139" s="52"/>
    </row>
    <row r="140" spans="2:9" x14ac:dyDescent="0.25">
      <c r="B140" s="50" t="s">
        <v>233</v>
      </c>
      <c r="C140" s="48" t="s">
        <v>134</v>
      </c>
      <c r="D140" s="49" t="s">
        <v>256</v>
      </c>
      <c r="E140" s="48" t="s">
        <v>34</v>
      </c>
      <c r="F140" s="28" t="s">
        <v>168</v>
      </c>
      <c r="G140" s="29" t="s">
        <v>37</v>
      </c>
      <c r="H140" s="52"/>
      <c r="I140" s="52"/>
    </row>
    <row r="141" spans="2:9" x14ac:dyDescent="0.25">
      <c r="B141" s="50" t="s">
        <v>234</v>
      </c>
      <c r="C141" s="48" t="s">
        <v>136</v>
      </c>
      <c r="D141" s="49" t="s">
        <v>256</v>
      </c>
      <c r="E141" s="48" t="s">
        <v>29</v>
      </c>
      <c r="F141" s="28" t="s">
        <v>165</v>
      </c>
      <c r="G141" s="29" t="s">
        <v>33</v>
      </c>
      <c r="H141" s="52" t="s">
        <v>309</v>
      </c>
      <c r="I141" s="52">
        <v>12.5</v>
      </c>
    </row>
    <row r="142" spans="2:9" x14ac:dyDescent="0.25">
      <c r="B142" s="50" t="s">
        <v>234</v>
      </c>
      <c r="C142" s="48" t="s">
        <v>136</v>
      </c>
      <c r="D142" s="49" t="s">
        <v>256</v>
      </c>
      <c r="E142" s="48" t="s">
        <v>34</v>
      </c>
      <c r="F142" s="28" t="s">
        <v>167</v>
      </c>
      <c r="G142" s="29" t="s">
        <v>36</v>
      </c>
      <c r="H142" s="52" t="s">
        <v>309</v>
      </c>
      <c r="I142" s="52">
        <v>40</v>
      </c>
    </row>
    <row r="143" spans="2:9" x14ac:dyDescent="0.25">
      <c r="B143" s="50" t="s">
        <v>235</v>
      </c>
      <c r="C143" s="48" t="s">
        <v>137</v>
      </c>
      <c r="D143" s="49" t="s">
        <v>256</v>
      </c>
      <c r="E143" s="48" t="s">
        <v>29</v>
      </c>
      <c r="F143" s="28" t="s">
        <v>162</v>
      </c>
      <c r="G143" s="29" t="s">
        <v>31</v>
      </c>
      <c r="H143" s="52"/>
      <c r="I143" s="52"/>
    </row>
    <row r="144" spans="2:9" x14ac:dyDescent="0.25">
      <c r="B144" s="50" t="s">
        <v>235</v>
      </c>
      <c r="C144" s="48" t="s">
        <v>137</v>
      </c>
      <c r="D144" s="49" t="s">
        <v>256</v>
      </c>
      <c r="E144" s="48" t="s">
        <v>29</v>
      </c>
      <c r="F144" s="28" t="s">
        <v>162</v>
      </c>
      <c r="G144" s="29" t="s">
        <v>31</v>
      </c>
      <c r="H144" s="52"/>
      <c r="I144" s="52"/>
    </row>
    <row r="145" spans="2:9" x14ac:dyDescent="0.25">
      <c r="B145" s="50" t="s">
        <v>235</v>
      </c>
      <c r="C145" s="48" t="s">
        <v>137</v>
      </c>
      <c r="D145" s="49" t="s">
        <v>256</v>
      </c>
      <c r="E145" s="48" t="s">
        <v>34</v>
      </c>
      <c r="F145" s="28" t="s">
        <v>166</v>
      </c>
      <c r="G145" s="29" t="s">
        <v>35</v>
      </c>
      <c r="H145" s="52"/>
      <c r="I145" s="52"/>
    </row>
    <row r="146" spans="2:9" x14ac:dyDescent="0.25">
      <c r="B146" s="50" t="s">
        <v>235</v>
      </c>
      <c r="C146" s="48" t="s">
        <v>137</v>
      </c>
      <c r="D146" s="49" t="s">
        <v>256</v>
      </c>
      <c r="E146" s="48" t="s">
        <v>34</v>
      </c>
      <c r="F146" s="28" t="s">
        <v>167</v>
      </c>
      <c r="G146" s="29" t="s">
        <v>36</v>
      </c>
      <c r="H146" s="52"/>
      <c r="I146" s="52"/>
    </row>
    <row r="147" spans="2:9" x14ac:dyDescent="0.25">
      <c r="B147" s="50" t="s">
        <v>236</v>
      </c>
      <c r="C147" s="48" t="s">
        <v>138</v>
      </c>
      <c r="D147" s="49" t="s">
        <v>256</v>
      </c>
      <c r="E147" s="48" t="s">
        <v>29</v>
      </c>
      <c r="F147" s="28" t="s">
        <v>179</v>
      </c>
      <c r="G147" s="29" t="s">
        <v>54</v>
      </c>
      <c r="H147" s="52" t="s">
        <v>311</v>
      </c>
      <c r="I147" s="52">
        <v>12.5</v>
      </c>
    </row>
    <row r="148" spans="2:9" x14ac:dyDescent="0.25">
      <c r="B148" s="50" t="s">
        <v>236</v>
      </c>
      <c r="C148" s="48" t="s">
        <v>138</v>
      </c>
      <c r="D148" s="49" t="s">
        <v>256</v>
      </c>
      <c r="E148" s="48" t="s">
        <v>34</v>
      </c>
      <c r="F148" s="28" t="s">
        <v>180</v>
      </c>
      <c r="G148" s="29" t="s">
        <v>55</v>
      </c>
      <c r="H148" s="52" t="s">
        <v>311</v>
      </c>
      <c r="I148" s="52">
        <v>2.78</v>
      </c>
    </row>
    <row r="149" spans="2:9" x14ac:dyDescent="0.25">
      <c r="B149" s="50" t="s">
        <v>237</v>
      </c>
      <c r="C149" s="48" t="s">
        <v>63</v>
      </c>
      <c r="D149" s="49" t="s">
        <v>256</v>
      </c>
      <c r="E149" s="48" t="s">
        <v>29</v>
      </c>
      <c r="F149" s="28" t="s">
        <v>164</v>
      </c>
      <c r="G149" s="29" t="s">
        <v>32</v>
      </c>
      <c r="H149" s="52" t="s">
        <v>312</v>
      </c>
      <c r="I149" s="52">
        <v>23.83</v>
      </c>
    </row>
    <row r="150" spans="2:9" x14ac:dyDescent="0.25">
      <c r="B150" s="50" t="s">
        <v>237</v>
      </c>
      <c r="C150" s="48" t="s">
        <v>63</v>
      </c>
      <c r="D150" s="49" t="s">
        <v>256</v>
      </c>
      <c r="E150" s="48" t="s">
        <v>29</v>
      </c>
      <c r="F150" s="28" t="s">
        <v>165</v>
      </c>
      <c r="G150" s="29" t="s">
        <v>33</v>
      </c>
      <c r="H150" s="52" t="s">
        <v>312</v>
      </c>
      <c r="I150" s="52">
        <v>31.5</v>
      </c>
    </row>
    <row r="151" spans="2:9" x14ac:dyDescent="0.25">
      <c r="B151" s="50" t="s">
        <v>237</v>
      </c>
      <c r="C151" s="48" t="s">
        <v>63</v>
      </c>
      <c r="D151" s="49" t="s">
        <v>256</v>
      </c>
      <c r="E151" s="48" t="s">
        <v>34</v>
      </c>
      <c r="F151" s="28" t="s">
        <v>166</v>
      </c>
      <c r="G151" s="29" t="s">
        <v>35</v>
      </c>
      <c r="H151" s="52" t="s">
        <v>312</v>
      </c>
      <c r="I151" s="52">
        <v>13.61</v>
      </c>
    </row>
    <row r="152" spans="2:9" x14ac:dyDescent="0.25">
      <c r="B152" s="50" t="s">
        <v>237</v>
      </c>
      <c r="C152" s="48" t="s">
        <v>63</v>
      </c>
      <c r="D152" s="49" t="s">
        <v>256</v>
      </c>
      <c r="E152" s="48" t="s">
        <v>34</v>
      </c>
      <c r="F152" s="28" t="s">
        <v>181</v>
      </c>
      <c r="G152" s="29" t="s">
        <v>56</v>
      </c>
      <c r="H152" s="52" t="s">
        <v>312</v>
      </c>
      <c r="I152" s="52">
        <v>1.67</v>
      </c>
    </row>
    <row r="153" spans="2:9" x14ac:dyDescent="0.25">
      <c r="B153" s="50" t="s">
        <v>237</v>
      </c>
      <c r="C153" s="48" t="s">
        <v>63</v>
      </c>
      <c r="D153" s="49" t="s">
        <v>256</v>
      </c>
      <c r="E153" s="48" t="s">
        <v>34</v>
      </c>
      <c r="F153" s="28" t="s">
        <v>167</v>
      </c>
      <c r="G153" s="29" t="s">
        <v>36</v>
      </c>
      <c r="H153" s="52" t="s">
        <v>312</v>
      </c>
      <c r="I153" s="52">
        <v>164</v>
      </c>
    </row>
    <row r="154" spans="2:9" x14ac:dyDescent="0.25">
      <c r="B154" s="50" t="s">
        <v>237</v>
      </c>
      <c r="C154" s="48" t="s">
        <v>63</v>
      </c>
      <c r="D154" s="49" t="s">
        <v>256</v>
      </c>
      <c r="E154" s="48" t="s">
        <v>34</v>
      </c>
      <c r="F154" s="28" t="s">
        <v>184</v>
      </c>
      <c r="G154" s="29" t="s">
        <v>66</v>
      </c>
      <c r="H154" s="52"/>
      <c r="I154" s="52"/>
    </row>
    <row r="155" spans="2:9" x14ac:dyDescent="0.25">
      <c r="B155" s="50" t="s">
        <v>237</v>
      </c>
      <c r="C155" s="48" t="s">
        <v>63</v>
      </c>
      <c r="D155" s="49" t="s">
        <v>256</v>
      </c>
      <c r="E155" s="48" t="s">
        <v>34</v>
      </c>
      <c r="F155" s="28" t="s">
        <v>186</v>
      </c>
      <c r="G155" s="29" t="s">
        <v>139</v>
      </c>
      <c r="H155" s="52"/>
      <c r="I155" s="52"/>
    </row>
    <row r="156" spans="2:9" x14ac:dyDescent="0.25">
      <c r="B156" s="50" t="s">
        <v>237</v>
      </c>
      <c r="C156" s="48" t="s">
        <v>63</v>
      </c>
      <c r="D156" s="49" t="s">
        <v>256</v>
      </c>
      <c r="E156" s="48" t="s">
        <v>48</v>
      </c>
      <c r="F156" s="28" t="s">
        <v>176</v>
      </c>
      <c r="G156" s="29" t="s">
        <v>51</v>
      </c>
      <c r="H156" s="52"/>
      <c r="I156" s="52"/>
    </row>
    <row r="157" spans="2:9" x14ac:dyDescent="0.25">
      <c r="B157" s="50" t="s">
        <v>238</v>
      </c>
      <c r="C157" s="48" t="s">
        <v>268</v>
      </c>
      <c r="D157" s="49" t="s">
        <v>256</v>
      </c>
      <c r="E157" s="48" t="s">
        <v>29</v>
      </c>
      <c r="F157" s="28" t="s">
        <v>162</v>
      </c>
      <c r="G157" s="29" t="s">
        <v>31</v>
      </c>
      <c r="H157" s="52"/>
      <c r="I157" s="52"/>
    </row>
    <row r="158" spans="2:9" x14ac:dyDescent="0.25">
      <c r="B158" s="50" t="s">
        <v>238</v>
      </c>
      <c r="C158" s="48" t="s">
        <v>268</v>
      </c>
      <c r="D158" s="49" t="s">
        <v>256</v>
      </c>
      <c r="E158" s="48" t="s">
        <v>29</v>
      </c>
      <c r="F158" s="28" t="s">
        <v>162</v>
      </c>
      <c r="G158" s="29" t="s">
        <v>31</v>
      </c>
      <c r="H158" s="52"/>
      <c r="I158" s="52"/>
    </row>
    <row r="159" spans="2:9" x14ac:dyDescent="0.25">
      <c r="B159" s="50" t="s">
        <v>238</v>
      </c>
      <c r="C159" s="48" t="s">
        <v>268</v>
      </c>
      <c r="D159" s="49" t="s">
        <v>256</v>
      </c>
      <c r="E159" s="48" t="s">
        <v>34</v>
      </c>
      <c r="F159" s="28" t="s">
        <v>181</v>
      </c>
      <c r="G159" s="29" t="s">
        <v>56</v>
      </c>
      <c r="H159" s="52" t="s">
        <v>310</v>
      </c>
      <c r="I159" s="52">
        <v>33</v>
      </c>
    </row>
    <row r="160" spans="2:9" x14ac:dyDescent="0.25">
      <c r="B160" s="50" t="s">
        <v>239</v>
      </c>
      <c r="C160" s="48" t="s">
        <v>141</v>
      </c>
      <c r="D160" s="49" t="s">
        <v>256</v>
      </c>
      <c r="E160" s="48" t="s">
        <v>29</v>
      </c>
      <c r="F160" s="28" t="s">
        <v>183</v>
      </c>
      <c r="G160" s="29" t="s">
        <v>62</v>
      </c>
      <c r="H160" s="52"/>
      <c r="I160" s="52"/>
    </row>
    <row r="161" spans="2:9" x14ac:dyDescent="0.25">
      <c r="B161" s="50" t="s">
        <v>239</v>
      </c>
      <c r="C161" s="48" t="s">
        <v>141</v>
      </c>
      <c r="D161" s="49" t="s">
        <v>256</v>
      </c>
      <c r="E161" s="48" t="s">
        <v>29</v>
      </c>
      <c r="F161" s="28" t="s">
        <v>172</v>
      </c>
      <c r="G161" s="29" t="s">
        <v>46</v>
      </c>
      <c r="H161" s="52"/>
      <c r="I161" s="52"/>
    </row>
    <row r="162" spans="2:9" x14ac:dyDescent="0.25">
      <c r="B162" s="50" t="s">
        <v>239</v>
      </c>
      <c r="C162" s="48" t="s">
        <v>141</v>
      </c>
      <c r="D162" s="49" t="s">
        <v>256</v>
      </c>
      <c r="E162" s="48" t="s">
        <v>29</v>
      </c>
      <c r="F162" s="28" t="s">
        <v>165</v>
      </c>
      <c r="G162" s="29" t="s">
        <v>33</v>
      </c>
      <c r="H162" s="52"/>
      <c r="I162" s="52"/>
    </row>
    <row r="163" spans="2:9" x14ac:dyDescent="0.25">
      <c r="B163" s="50" t="s">
        <v>239</v>
      </c>
      <c r="C163" s="48" t="s">
        <v>141</v>
      </c>
      <c r="D163" s="49" t="s">
        <v>256</v>
      </c>
      <c r="E163" s="48" t="s">
        <v>29</v>
      </c>
      <c r="F163" s="28" t="s">
        <v>179</v>
      </c>
      <c r="G163" s="29" t="s">
        <v>54</v>
      </c>
      <c r="H163" s="52" t="s">
        <v>313</v>
      </c>
      <c r="I163" s="52">
        <v>100</v>
      </c>
    </row>
    <row r="164" spans="2:9" x14ac:dyDescent="0.25">
      <c r="B164" s="50" t="s">
        <v>239</v>
      </c>
      <c r="C164" s="48" t="s">
        <v>141</v>
      </c>
      <c r="D164" s="49" t="s">
        <v>256</v>
      </c>
      <c r="E164" s="48" t="s">
        <v>34</v>
      </c>
      <c r="F164" s="28" t="s">
        <v>166</v>
      </c>
      <c r="G164" s="29" t="s">
        <v>35</v>
      </c>
      <c r="H164" s="52" t="s">
        <v>313</v>
      </c>
      <c r="I164" s="52">
        <v>9</v>
      </c>
    </row>
    <row r="165" spans="2:9" x14ac:dyDescent="0.25">
      <c r="B165" s="50" t="s">
        <v>239</v>
      </c>
      <c r="C165" s="48" t="s">
        <v>141</v>
      </c>
      <c r="D165" s="49" t="s">
        <v>256</v>
      </c>
      <c r="E165" s="48" t="s">
        <v>34</v>
      </c>
      <c r="F165" s="28" t="s">
        <v>177</v>
      </c>
      <c r="G165" s="29" t="s">
        <v>52</v>
      </c>
      <c r="H165" s="52" t="s">
        <v>313</v>
      </c>
      <c r="I165" s="52">
        <v>145</v>
      </c>
    </row>
    <row r="166" spans="2:9" x14ac:dyDescent="0.25">
      <c r="B166" s="50" t="s">
        <v>240</v>
      </c>
      <c r="C166" s="48" t="s">
        <v>142</v>
      </c>
      <c r="D166" s="49" t="s">
        <v>256</v>
      </c>
      <c r="E166" s="48" t="s">
        <v>29</v>
      </c>
      <c r="F166" s="28" t="s">
        <v>165</v>
      </c>
      <c r="G166" s="29" t="s">
        <v>33</v>
      </c>
      <c r="H166" s="52" t="s">
        <v>316</v>
      </c>
      <c r="I166" s="52">
        <v>38</v>
      </c>
    </row>
    <row r="167" spans="2:9" x14ac:dyDescent="0.25">
      <c r="B167" s="50" t="s">
        <v>240</v>
      </c>
      <c r="C167" s="48" t="s">
        <v>142</v>
      </c>
      <c r="D167" s="49" t="s">
        <v>256</v>
      </c>
      <c r="E167" s="48" t="s">
        <v>34</v>
      </c>
      <c r="F167" s="28" t="s">
        <v>181</v>
      </c>
      <c r="G167" s="29" t="s">
        <v>56</v>
      </c>
      <c r="H167" s="52"/>
      <c r="I167" s="52"/>
    </row>
    <row r="168" spans="2:9" x14ac:dyDescent="0.25">
      <c r="B168" s="50" t="s">
        <v>241</v>
      </c>
      <c r="C168" s="48" t="s">
        <v>143</v>
      </c>
      <c r="D168" s="49" t="s">
        <v>256</v>
      </c>
      <c r="E168" s="48" t="s">
        <v>29</v>
      </c>
      <c r="F168" s="28" t="s">
        <v>162</v>
      </c>
      <c r="G168" s="29" t="s">
        <v>31</v>
      </c>
      <c r="H168" s="52" t="s">
        <v>317</v>
      </c>
      <c r="I168" s="52">
        <v>25</v>
      </c>
    </row>
    <row r="169" spans="2:9" x14ac:dyDescent="0.25">
      <c r="B169" s="50" t="s">
        <v>241</v>
      </c>
      <c r="C169" s="48" t="s">
        <v>143</v>
      </c>
      <c r="D169" s="49" t="s">
        <v>256</v>
      </c>
      <c r="E169" s="48" t="s">
        <v>29</v>
      </c>
      <c r="F169" s="28" t="s">
        <v>162</v>
      </c>
      <c r="G169" s="29" t="s">
        <v>31</v>
      </c>
      <c r="H169" s="52"/>
      <c r="I169" s="52"/>
    </row>
    <row r="170" spans="2:9" x14ac:dyDescent="0.25">
      <c r="B170" s="50" t="s">
        <v>241</v>
      </c>
      <c r="C170" s="48" t="s">
        <v>143</v>
      </c>
      <c r="D170" s="49" t="s">
        <v>256</v>
      </c>
      <c r="E170" s="48" t="s">
        <v>34</v>
      </c>
      <c r="F170" s="28" t="s">
        <v>173</v>
      </c>
      <c r="G170" s="29" t="s">
        <v>47</v>
      </c>
      <c r="H170" s="52" t="s">
        <v>317</v>
      </c>
      <c r="I170" s="52">
        <v>132</v>
      </c>
    </row>
    <row r="171" spans="2:9" x14ac:dyDescent="0.25">
      <c r="B171" s="50" t="s">
        <v>160</v>
      </c>
      <c r="C171" s="48" t="s">
        <v>145</v>
      </c>
      <c r="D171" s="49" t="s">
        <v>256</v>
      </c>
      <c r="E171" s="48" t="s">
        <v>29</v>
      </c>
      <c r="F171" s="28" t="s">
        <v>172</v>
      </c>
      <c r="G171" s="29" t="s">
        <v>46</v>
      </c>
      <c r="H171" s="52"/>
      <c r="I171" s="52"/>
    </row>
    <row r="172" spans="2:9" x14ac:dyDescent="0.25">
      <c r="B172" s="50" t="s">
        <v>160</v>
      </c>
      <c r="C172" s="48" t="s">
        <v>145</v>
      </c>
      <c r="D172" s="49" t="s">
        <v>256</v>
      </c>
      <c r="E172" s="48" t="s">
        <v>29</v>
      </c>
      <c r="F172" s="28" t="s">
        <v>162</v>
      </c>
      <c r="G172" s="29" t="s">
        <v>31</v>
      </c>
      <c r="H172" s="52"/>
      <c r="I172" s="52"/>
    </row>
    <row r="173" spans="2:9" x14ac:dyDescent="0.25">
      <c r="B173" s="50" t="s">
        <v>160</v>
      </c>
      <c r="C173" s="48" t="s">
        <v>145</v>
      </c>
      <c r="D173" s="49" t="s">
        <v>256</v>
      </c>
      <c r="E173" s="48" t="s">
        <v>29</v>
      </c>
      <c r="F173" s="28" t="s">
        <v>162</v>
      </c>
      <c r="G173" s="29" t="s">
        <v>31</v>
      </c>
      <c r="H173" s="52"/>
      <c r="I173" s="52"/>
    </row>
    <row r="174" spans="2:9" x14ac:dyDescent="0.25">
      <c r="B174" s="50" t="s">
        <v>160</v>
      </c>
      <c r="C174" s="48" t="s">
        <v>145</v>
      </c>
      <c r="D174" s="49" t="s">
        <v>256</v>
      </c>
      <c r="E174" s="48" t="s">
        <v>34</v>
      </c>
      <c r="F174" s="28" t="s">
        <v>167</v>
      </c>
      <c r="G174" s="29" t="s">
        <v>36</v>
      </c>
      <c r="H174" s="52" t="s">
        <v>318</v>
      </c>
      <c r="I174" s="52">
        <v>200</v>
      </c>
    </row>
    <row r="175" spans="2:9" x14ac:dyDescent="0.25">
      <c r="B175" s="50" t="s">
        <v>242</v>
      </c>
      <c r="C175" s="48" t="s">
        <v>146</v>
      </c>
      <c r="D175" s="49" t="s">
        <v>256</v>
      </c>
      <c r="E175" s="48" t="s">
        <v>29</v>
      </c>
      <c r="F175" s="28" t="s">
        <v>162</v>
      </c>
      <c r="G175" s="29" t="s">
        <v>31</v>
      </c>
      <c r="H175" s="52" t="s">
        <v>319</v>
      </c>
      <c r="I175" s="52">
        <v>30</v>
      </c>
    </row>
    <row r="176" spans="2:9" x14ac:dyDescent="0.25">
      <c r="B176" s="50" t="s">
        <v>242</v>
      </c>
      <c r="C176" s="48" t="s">
        <v>146</v>
      </c>
      <c r="D176" s="49" t="s">
        <v>256</v>
      </c>
      <c r="E176" s="48" t="s">
        <v>29</v>
      </c>
      <c r="F176" s="28" t="s">
        <v>162</v>
      </c>
      <c r="G176" s="29" t="s">
        <v>31</v>
      </c>
      <c r="H176" s="52"/>
      <c r="I176" s="52"/>
    </row>
    <row r="177" spans="2:9" x14ac:dyDescent="0.25">
      <c r="B177" s="50" t="s">
        <v>242</v>
      </c>
      <c r="C177" s="48" t="s">
        <v>146</v>
      </c>
      <c r="D177" s="49" t="s">
        <v>256</v>
      </c>
      <c r="E177" s="48" t="s">
        <v>34</v>
      </c>
      <c r="F177" s="28" t="s">
        <v>167</v>
      </c>
      <c r="G177" s="29" t="s">
        <v>36</v>
      </c>
      <c r="H177" s="52" t="s">
        <v>319</v>
      </c>
      <c r="I177" s="52">
        <v>75</v>
      </c>
    </row>
    <row r="178" spans="2:9" x14ac:dyDescent="0.25">
      <c r="B178" s="50" t="s">
        <v>243</v>
      </c>
      <c r="C178" s="48" t="s">
        <v>148</v>
      </c>
      <c r="D178" s="49" t="s">
        <v>256</v>
      </c>
      <c r="E178" s="48" t="s">
        <v>29</v>
      </c>
      <c r="F178" s="28" t="s">
        <v>162</v>
      </c>
      <c r="G178" s="29" t="s">
        <v>31</v>
      </c>
      <c r="H178" s="52"/>
      <c r="I178" s="52"/>
    </row>
    <row r="179" spans="2:9" x14ac:dyDescent="0.25">
      <c r="B179" s="50" t="s">
        <v>243</v>
      </c>
      <c r="C179" s="48" t="s">
        <v>148</v>
      </c>
      <c r="D179" s="49" t="s">
        <v>256</v>
      </c>
      <c r="E179" s="48" t="s">
        <v>29</v>
      </c>
      <c r="F179" s="28" t="s">
        <v>162</v>
      </c>
      <c r="G179" s="29" t="s">
        <v>31</v>
      </c>
      <c r="H179" s="52"/>
      <c r="I179" s="52"/>
    </row>
    <row r="180" spans="2:9" x14ac:dyDescent="0.25">
      <c r="B180" s="50" t="s">
        <v>243</v>
      </c>
      <c r="C180" s="48" t="s">
        <v>148</v>
      </c>
      <c r="D180" s="49" t="s">
        <v>256</v>
      </c>
      <c r="E180" s="48" t="s">
        <v>34</v>
      </c>
      <c r="F180" s="28" t="s">
        <v>167</v>
      </c>
      <c r="G180" s="29" t="s">
        <v>36</v>
      </c>
      <c r="H180" s="52" t="s">
        <v>320</v>
      </c>
      <c r="I180" s="52">
        <v>36</v>
      </c>
    </row>
    <row r="181" spans="2:9" x14ac:dyDescent="0.25">
      <c r="B181" s="50" t="s">
        <v>244</v>
      </c>
      <c r="C181" s="48" t="s">
        <v>149</v>
      </c>
      <c r="D181" s="49" t="s">
        <v>256</v>
      </c>
      <c r="E181" s="48" t="s">
        <v>29</v>
      </c>
      <c r="F181" s="28" t="s">
        <v>162</v>
      </c>
      <c r="G181" s="29" t="s">
        <v>31</v>
      </c>
      <c r="H181" s="52" t="s">
        <v>321</v>
      </c>
      <c r="I181" s="52">
        <v>75</v>
      </c>
    </row>
    <row r="182" spans="2:9" x14ac:dyDescent="0.25">
      <c r="B182" s="50" t="s">
        <v>244</v>
      </c>
      <c r="C182" s="48" t="s">
        <v>149</v>
      </c>
      <c r="D182" s="49" t="s">
        <v>256</v>
      </c>
      <c r="E182" s="48" t="s">
        <v>29</v>
      </c>
      <c r="F182" s="28" t="s">
        <v>162</v>
      </c>
      <c r="G182" s="29" t="s">
        <v>31</v>
      </c>
      <c r="H182" s="52"/>
      <c r="I182" s="52"/>
    </row>
    <row r="183" spans="2:9" x14ac:dyDescent="0.25">
      <c r="B183" s="50" t="s">
        <v>244</v>
      </c>
      <c r="C183" s="48" t="s">
        <v>149</v>
      </c>
      <c r="D183" s="49" t="s">
        <v>256</v>
      </c>
      <c r="E183" s="48" t="s">
        <v>29</v>
      </c>
      <c r="F183" s="28" t="s">
        <v>165</v>
      </c>
      <c r="G183" s="29" t="s">
        <v>33</v>
      </c>
      <c r="H183" s="52"/>
      <c r="I183" s="52"/>
    </row>
    <row r="184" spans="2:9" x14ac:dyDescent="0.25">
      <c r="B184" s="50" t="s">
        <v>244</v>
      </c>
      <c r="C184" s="48" t="s">
        <v>149</v>
      </c>
      <c r="D184" s="49" t="s">
        <v>256</v>
      </c>
      <c r="E184" s="48" t="s">
        <v>34</v>
      </c>
      <c r="F184" s="28" t="s">
        <v>177</v>
      </c>
      <c r="G184" s="29" t="s">
        <v>52</v>
      </c>
      <c r="H184" s="52"/>
      <c r="I184" s="52"/>
    </row>
    <row r="185" spans="2:9" x14ac:dyDescent="0.25">
      <c r="B185" s="50" t="s">
        <v>245</v>
      </c>
      <c r="C185" s="48" t="s">
        <v>150</v>
      </c>
      <c r="D185" s="49" t="s">
        <v>256</v>
      </c>
      <c r="E185" s="48" t="s">
        <v>29</v>
      </c>
      <c r="F185" s="28" t="s">
        <v>164</v>
      </c>
      <c r="G185" s="29" t="s">
        <v>32</v>
      </c>
      <c r="H185" s="52" t="s">
        <v>323</v>
      </c>
      <c r="I185" s="52">
        <v>15</v>
      </c>
    </row>
    <row r="186" spans="2:9" x14ac:dyDescent="0.25">
      <c r="B186" s="50" t="s">
        <v>245</v>
      </c>
      <c r="C186" s="48" t="s">
        <v>150</v>
      </c>
      <c r="D186" s="49" t="s">
        <v>256</v>
      </c>
      <c r="E186" s="48" t="s">
        <v>29</v>
      </c>
      <c r="F186" s="28" t="s">
        <v>165</v>
      </c>
      <c r="G186" s="29" t="s">
        <v>33</v>
      </c>
      <c r="H186" s="52"/>
      <c r="I186" s="52"/>
    </row>
    <row r="187" spans="2:9" x14ac:dyDescent="0.25">
      <c r="B187" s="50" t="s">
        <v>246</v>
      </c>
      <c r="C187" s="48" t="s">
        <v>151</v>
      </c>
      <c r="D187" s="49" t="s">
        <v>256</v>
      </c>
      <c r="E187" s="48" t="s">
        <v>29</v>
      </c>
      <c r="F187" s="28" t="s">
        <v>162</v>
      </c>
      <c r="G187" s="29" t="s">
        <v>31</v>
      </c>
      <c r="H187" s="52" t="s">
        <v>324</v>
      </c>
      <c r="I187" s="52">
        <v>4</v>
      </c>
    </row>
    <row r="188" spans="2:9" x14ac:dyDescent="0.25">
      <c r="B188" s="50" t="s">
        <v>246</v>
      </c>
      <c r="C188" s="48" t="s">
        <v>151</v>
      </c>
      <c r="D188" s="49" t="s">
        <v>256</v>
      </c>
      <c r="E188" s="48" t="s">
        <v>29</v>
      </c>
      <c r="F188" s="28" t="s">
        <v>162</v>
      </c>
      <c r="G188" s="29" t="s">
        <v>31</v>
      </c>
      <c r="H188" s="52"/>
      <c r="I188" s="52"/>
    </row>
    <row r="189" spans="2:9" x14ac:dyDescent="0.25">
      <c r="B189" s="50" t="s">
        <v>246</v>
      </c>
      <c r="C189" s="48" t="s">
        <v>151</v>
      </c>
      <c r="D189" s="49" t="s">
        <v>256</v>
      </c>
      <c r="E189" s="48" t="s">
        <v>34</v>
      </c>
      <c r="F189" s="28" t="s">
        <v>173</v>
      </c>
      <c r="G189" s="29" t="s">
        <v>47</v>
      </c>
      <c r="H189" s="52" t="s">
        <v>324</v>
      </c>
      <c r="I189" s="52">
        <v>4</v>
      </c>
    </row>
    <row r="190" spans="2:9" x14ac:dyDescent="0.25">
      <c r="B190" s="50" t="s">
        <v>247</v>
      </c>
      <c r="C190" s="48" t="s">
        <v>152</v>
      </c>
      <c r="D190" s="49" t="s">
        <v>256</v>
      </c>
      <c r="E190" s="48" t="s">
        <v>29</v>
      </c>
      <c r="F190" s="28" t="s">
        <v>162</v>
      </c>
      <c r="G190" s="29" t="s">
        <v>31</v>
      </c>
      <c r="H190" s="52"/>
      <c r="I190" s="52"/>
    </row>
    <row r="191" spans="2:9" x14ac:dyDescent="0.25">
      <c r="B191" s="50" t="s">
        <v>248</v>
      </c>
      <c r="C191" s="48" t="s">
        <v>153</v>
      </c>
      <c r="D191" s="49" t="s">
        <v>256</v>
      </c>
      <c r="E191" s="48" t="s">
        <v>29</v>
      </c>
      <c r="F191" s="28" t="s">
        <v>162</v>
      </c>
      <c r="G191" s="29" t="s">
        <v>31</v>
      </c>
      <c r="H191" s="52"/>
      <c r="I191" s="52"/>
    </row>
    <row r="192" spans="2:9" x14ac:dyDescent="0.25">
      <c r="B192" s="50" t="s">
        <v>248</v>
      </c>
      <c r="C192" s="48" t="s">
        <v>153</v>
      </c>
      <c r="D192" s="49" t="s">
        <v>256</v>
      </c>
      <c r="E192" s="48" t="s">
        <v>29</v>
      </c>
      <c r="F192" s="28" t="s">
        <v>162</v>
      </c>
      <c r="G192" s="29" t="s">
        <v>31</v>
      </c>
      <c r="H192" s="52"/>
      <c r="I192" s="52"/>
    </row>
    <row r="193" spans="2:9" x14ac:dyDescent="0.25">
      <c r="B193" s="50" t="s">
        <v>248</v>
      </c>
      <c r="C193" s="48" t="s">
        <v>153</v>
      </c>
      <c r="D193" s="49" t="s">
        <v>256</v>
      </c>
      <c r="E193" s="48" t="s">
        <v>34</v>
      </c>
      <c r="F193" s="28" t="s">
        <v>180</v>
      </c>
      <c r="G193" s="29" t="s">
        <v>55</v>
      </c>
      <c r="H193" s="52"/>
      <c r="I193" s="52"/>
    </row>
    <row r="194" spans="2:9" x14ac:dyDescent="0.25">
      <c r="B194" s="50" t="s">
        <v>249</v>
      </c>
      <c r="C194" s="48" t="s">
        <v>154</v>
      </c>
      <c r="D194" s="49" t="s">
        <v>256</v>
      </c>
      <c r="E194" s="48" t="s">
        <v>29</v>
      </c>
      <c r="F194" s="28" t="s">
        <v>162</v>
      </c>
      <c r="G194" s="29" t="s">
        <v>31</v>
      </c>
      <c r="H194" s="52" t="s">
        <v>326</v>
      </c>
      <c r="I194" s="52">
        <v>38</v>
      </c>
    </row>
    <row r="195" spans="2:9" x14ac:dyDescent="0.25">
      <c r="B195" s="50" t="s">
        <v>249</v>
      </c>
      <c r="C195" s="48" t="s">
        <v>154</v>
      </c>
      <c r="D195" s="49" t="s">
        <v>256</v>
      </c>
      <c r="E195" s="48" t="s">
        <v>29</v>
      </c>
      <c r="F195" s="28" t="s">
        <v>162</v>
      </c>
      <c r="G195" s="29" t="s">
        <v>31</v>
      </c>
      <c r="H195" s="52"/>
      <c r="I195" s="52"/>
    </row>
    <row r="196" spans="2:9" x14ac:dyDescent="0.25">
      <c r="B196" s="50" t="s">
        <v>249</v>
      </c>
      <c r="C196" s="48" t="s">
        <v>154</v>
      </c>
      <c r="D196" s="49" t="s">
        <v>256</v>
      </c>
      <c r="E196" s="48" t="s">
        <v>34</v>
      </c>
      <c r="F196" s="28" t="s">
        <v>173</v>
      </c>
      <c r="G196" s="29" t="s">
        <v>47</v>
      </c>
      <c r="H196" s="52"/>
      <c r="I196" s="52"/>
    </row>
    <row r="197" spans="2:9" x14ac:dyDescent="0.25">
      <c r="B197" s="50" t="s">
        <v>250</v>
      </c>
      <c r="C197" s="48" t="s">
        <v>159</v>
      </c>
      <c r="D197" s="49" t="s">
        <v>256</v>
      </c>
      <c r="E197" s="48" t="s">
        <v>28</v>
      </c>
      <c r="F197" s="28" t="s">
        <v>267</v>
      </c>
      <c r="G197" s="29" t="s">
        <v>266</v>
      </c>
      <c r="H197" s="52"/>
      <c r="I197" s="52"/>
    </row>
    <row r="198" spans="2:9" x14ac:dyDescent="0.25">
      <c r="B198" s="50" t="s">
        <v>264</v>
      </c>
      <c r="C198" s="48" t="s">
        <v>265</v>
      </c>
      <c r="D198" s="49" t="s">
        <v>256</v>
      </c>
      <c r="E198" s="48" t="s">
        <v>28</v>
      </c>
      <c r="F198" s="28" t="s">
        <v>267</v>
      </c>
      <c r="G198" s="29" t="s">
        <v>266</v>
      </c>
      <c r="H198" s="52"/>
      <c r="I198" s="52"/>
    </row>
  </sheetData>
  <conditionalFormatting sqref="F56">
    <cfRule type="duplicateValues" dxfId="1" priority="2"/>
  </conditionalFormatting>
  <conditionalFormatting sqref="F41">
    <cfRule type="duplicateValues" dxfId="0" priority="1"/>
  </conditionalFormatting>
  <pageMargins left="0.7" right="0.7" top="0.75" bottom="0.75" header="0.3" footer="0.3"/>
  <customProperties>
    <customPr name="Ibp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A5" sqref="A5"/>
    </sheetView>
  </sheetViews>
  <sheetFormatPr baseColWidth="10" defaultRowHeight="15" x14ac:dyDescent="0.25"/>
  <cols>
    <col min="1" max="1" width="12" bestFit="1" customWidth="1"/>
    <col min="2" max="2" width="27.28515625" bestFit="1" customWidth="1"/>
    <col min="3" max="3" width="7" bestFit="1" customWidth="1"/>
    <col min="4" max="4" width="10" bestFit="1" customWidth="1"/>
    <col min="5" max="5" width="25.85546875" customWidth="1"/>
    <col min="6" max="6" width="10.28515625" customWidth="1"/>
    <col min="7" max="14" width="11.5703125" customWidth="1"/>
  </cols>
  <sheetData>
    <row r="1" spans="1:14" x14ac:dyDescent="0.25">
      <c r="A1" s="53"/>
      <c r="B1" s="54"/>
      <c r="C1" s="55"/>
      <c r="D1" s="55"/>
      <c r="E1" s="55"/>
      <c r="F1" s="81" t="s">
        <v>278</v>
      </c>
      <c r="G1" s="81"/>
      <c r="H1" s="81"/>
      <c r="I1" s="81"/>
      <c r="J1" s="81"/>
      <c r="K1" s="81"/>
      <c r="L1" s="82" t="s">
        <v>279</v>
      </c>
      <c r="M1" s="82"/>
    </row>
    <row r="2" spans="1:14" ht="60" x14ac:dyDescent="0.25">
      <c r="A2" s="56" t="s">
        <v>10</v>
      </c>
      <c r="B2" s="56" t="s">
        <v>11</v>
      </c>
      <c r="C2" s="56" t="s">
        <v>280</v>
      </c>
      <c r="D2" s="56" t="s">
        <v>281</v>
      </c>
      <c r="E2" s="56" t="s">
        <v>282</v>
      </c>
      <c r="F2" s="57" t="s">
        <v>283</v>
      </c>
      <c r="G2" s="58" t="s">
        <v>284</v>
      </c>
      <c r="H2" s="59" t="s">
        <v>285</v>
      </c>
      <c r="I2" s="58" t="s">
        <v>286</v>
      </c>
      <c r="J2" s="60" t="s">
        <v>287</v>
      </c>
      <c r="K2" s="61" t="s">
        <v>288</v>
      </c>
      <c r="L2" s="62" t="s">
        <v>289</v>
      </c>
      <c r="M2" s="56" t="s">
        <v>290</v>
      </c>
      <c r="N2" s="63" t="s">
        <v>273</v>
      </c>
    </row>
    <row r="3" spans="1:14" x14ac:dyDescent="0.25">
      <c r="A3" s="64">
        <v>20107695584</v>
      </c>
      <c r="B3" s="65" t="s">
        <v>82</v>
      </c>
      <c r="C3" s="64">
        <v>361444</v>
      </c>
      <c r="D3" s="64">
        <v>1020201</v>
      </c>
      <c r="E3" s="66" t="s">
        <v>292</v>
      </c>
      <c r="F3" s="67">
        <v>32.64</v>
      </c>
      <c r="G3" s="68">
        <v>32.159999999999997</v>
      </c>
      <c r="H3" s="69">
        <v>27.744</v>
      </c>
      <c r="I3" s="70">
        <v>4.4159999999999968</v>
      </c>
      <c r="J3" s="71">
        <v>0.13731343283582076</v>
      </c>
      <c r="K3" s="72">
        <v>0.15</v>
      </c>
      <c r="L3" s="73">
        <v>47</v>
      </c>
      <c r="M3" s="74">
        <v>207.55199999999985</v>
      </c>
      <c r="N3" s="75" t="s">
        <v>327</v>
      </c>
    </row>
    <row r="4" spans="1:14" ht="16.5" thickBot="1" x14ac:dyDescent="0.3">
      <c r="L4" s="76" t="s">
        <v>291</v>
      </c>
      <c r="M4" s="77">
        <f>SUM(M3:M3)</f>
        <v>207.55199999999985</v>
      </c>
    </row>
    <row r="5" spans="1:14" ht="15.75" thickTop="1" x14ac:dyDescent="0.25">
      <c r="A5" s="78" t="s">
        <v>328</v>
      </c>
    </row>
  </sheetData>
  <mergeCells count="2">
    <mergeCell ref="F1:K1"/>
    <mergeCell ref="L1:M1"/>
  </mergeCells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Subsidios</vt:lpstr>
      <vt:lpstr>Detalle</vt:lpstr>
      <vt:lpstr>CORRECCIONES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Yauri</dc:creator>
  <cp:lastModifiedBy>Alberto Jesus Torres Trucios</cp:lastModifiedBy>
  <dcterms:created xsi:type="dcterms:W3CDTF">2020-12-30T17:58:02Z</dcterms:created>
  <dcterms:modified xsi:type="dcterms:W3CDTF">2022-01-13T02:38:02Z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7e181df6-bf04-4e3e-8bdc-b49ea68b76bc</vt:lpwstr>
  </property>
</Properties>
</file>