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orres\Desktop\SOFTYS\Subsidios\2022\ENERO\LIMA\LIMA 2\MANUAL\"/>
    </mc:Choice>
  </mc:AlternateContent>
  <bookViews>
    <workbookView xWindow="0" yWindow="0" windowWidth="20490" windowHeight="7620"/>
  </bookViews>
  <sheets>
    <sheet name="Subsidios" sheetId="1" r:id="rId1"/>
    <sheet name="Detalle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Detalle!$B$2:$I$87</definedName>
    <definedName name="_xlnm._FilterDatabase" localSheetId="0" hidden="1">Subsidios!$B$5:$Z$170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7" i="1" l="1"/>
  <c r="AA161" i="1"/>
  <c r="AA157" i="1"/>
  <c r="AB157" i="1" s="1"/>
  <c r="AD157" i="1" s="1"/>
  <c r="AA154" i="1"/>
  <c r="AB154" i="1" s="1"/>
  <c r="AD154" i="1" s="1"/>
  <c r="AA153" i="1"/>
  <c r="AB153" i="1" s="1"/>
  <c r="AD153" i="1" s="1"/>
  <c r="AA152" i="1"/>
  <c r="AB152" i="1" s="1"/>
  <c r="AD152" i="1" s="1"/>
  <c r="AA149" i="1"/>
  <c r="AB149" i="1" s="1"/>
  <c r="AD149" i="1" s="1"/>
  <c r="AA146" i="1"/>
  <c r="AB146" i="1"/>
  <c r="AD146" i="1" s="1"/>
  <c r="AA145" i="1"/>
  <c r="AB145" i="1" s="1"/>
  <c r="AD145" i="1" s="1"/>
  <c r="AA144" i="1"/>
  <c r="AB144" i="1"/>
  <c r="AD144" i="1" s="1"/>
  <c r="AA143" i="1"/>
  <c r="AA137" i="1"/>
  <c r="AB137" i="1" s="1"/>
  <c r="AD137" i="1" s="1"/>
  <c r="AA134" i="1"/>
  <c r="AB132" i="1"/>
  <c r="AD132" i="1" s="1"/>
  <c r="AA131" i="1"/>
  <c r="AB131" i="1" s="1"/>
  <c r="AD131" i="1" s="1"/>
  <c r="AB129" i="1"/>
  <c r="AD129" i="1" s="1"/>
  <c r="AA124" i="1"/>
  <c r="AB124" i="1" s="1"/>
  <c r="AD124" i="1" s="1"/>
  <c r="AA123" i="1"/>
  <c r="AA122" i="1"/>
  <c r="AA118" i="1"/>
  <c r="AA114" i="1"/>
  <c r="AA109" i="1"/>
  <c r="AB109" i="1" s="1"/>
  <c r="AD109" i="1" s="1"/>
  <c r="AA108" i="1"/>
  <c r="AB108" i="1" s="1"/>
  <c r="AD108" i="1" s="1"/>
  <c r="AA106" i="1"/>
  <c r="AB106" i="1" s="1"/>
  <c r="AD106" i="1" s="1"/>
  <c r="AA105" i="1"/>
  <c r="AB105" i="1"/>
  <c r="AD105" i="1" s="1"/>
  <c r="AA96" i="1"/>
  <c r="AB96" i="1" s="1"/>
  <c r="AD96" i="1" s="1"/>
  <c r="AA94" i="1"/>
  <c r="AB94" i="1" s="1"/>
  <c r="AD94" i="1" s="1"/>
  <c r="AA93" i="1"/>
  <c r="AB93" i="1" s="1"/>
  <c r="AD93" i="1" s="1"/>
  <c r="AB91" i="1"/>
  <c r="AD91" i="1" s="1"/>
  <c r="AA85" i="1"/>
  <c r="AB85" i="1" s="1"/>
  <c r="AD85" i="1" s="1"/>
  <c r="AA84" i="1"/>
  <c r="AB83" i="1"/>
  <c r="AD83" i="1" s="1"/>
  <c r="AA82" i="1"/>
  <c r="AB82" i="1"/>
  <c r="AD82" i="1" s="1"/>
  <c r="AA81" i="1"/>
  <c r="AB81" i="1" s="1"/>
  <c r="AD81" i="1" s="1"/>
  <c r="AA75" i="1"/>
  <c r="AA74" i="1"/>
  <c r="AB74" i="1" s="1"/>
  <c r="AD74" i="1" s="1"/>
  <c r="AA72" i="1"/>
  <c r="AA70" i="1"/>
  <c r="AA69" i="1"/>
  <c r="AB69" i="1" s="1"/>
  <c r="AD69" i="1" s="1"/>
  <c r="AA68" i="1"/>
  <c r="AB68" i="1" s="1"/>
  <c r="AD68" i="1" s="1"/>
  <c r="AA67" i="1"/>
  <c r="AB67" i="1" s="1"/>
  <c r="AD67" i="1" s="1"/>
  <c r="AA64" i="1"/>
  <c r="AB64" i="1" s="1"/>
  <c r="AD64" i="1" s="1"/>
  <c r="AA58" i="1"/>
  <c r="AA53" i="1"/>
  <c r="AB53" i="1" s="1"/>
  <c r="AD53" i="1" s="1"/>
  <c r="AA50" i="1"/>
  <c r="AB50" i="1" s="1"/>
  <c r="AD50" i="1" s="1"/>
  <c r="AA43" i="1"/>
  <c r="AB43" i="1" s="1"/>
  <c r="AD43" i="1" s="1"/>
  <c r="AA41" i="1"/>
  <c r="AB41" i="1" s="1"/>
  <c r="AD41" i="1" s="1"/>
  <c r="AA40" i="1"/>
  <c r="AB40" i="1"/>
  <c r="AD40" i="1" s="1"/>
  <c r="AA30" i="1"/>
  <c r="AB30" i="1" s="1"/>
  <c r="AD30" i="1" s="1"/>
  <c r="AA29" i="1"/>
  <c r="AA28" i="1"/>
  <c r="AA26" i="1"/>
  <c r="AA23" i="1"/>
  <c r="AB23" i="1"/>
  <c r="AD23" i="1" s="1"/>
  <c r="AA22" i="1"/>
  <c r="AB22" i="1" s="1"/>
  <c r="AD22" i="1" s="1"/>
  <c r="AA15" i="1"/>
  <c r="AB15" i="1" s="1"/>
  <c r="AD15" i="1" s="1"/>
  <c r="AA14" i="1"/>
  <c r="AB14" i="1" s="1"/>
  <c r="AD14" i="1" s="1"/>
  <c r="AA11" i="1"/>
  <c r="AA10" i="1"/>
  <c r="AB10" i="1" s="1"/>
  <c r="AD10" i="1" s="1"/>
  <c r="AA9" i="1"/>
  <c r="AB9" i="1" s="1"/>
  <c r="AD9" i="1" s="1"/>
  <c r="AA8" i="1"/>
  <c r="AB8" i="1" s="1"/>
  <c r="AD8" i="1" s="1"/>
  <c r="AA7" i="1"/>
  <c r="AB7" i="1" s="1"/>
  <c r="AD7" i="1" s="1"/>
  <c r="AB11" i="1"/>
  <c r="AD11" i="1" s="1"/>
  <c r="AB12" i="1"/>
  <c r="AD12" i="1"/>
  <c r="AB13" i="1"/>
  <c r="AD13" i="1"/>
  <c r="AB16" i="1"/>
  <c r="AD16" i="1"/>
  <c r="AB17" i="1"/>
  <c r="AD17" i="1"/>
  <c r="AB18" i="1"/>
  <c r="AD18" i="1"/>
  <c r="AB19" i="1"/>
  <c r="AD19" i="1" s="1"/>
  <c r="AB20" i="1"/>
  <c r="AD20" i="1"/>
  <c r="AB21" i="1"/>
  <c r="AD21" i="1"/>
  <c r="AB24" i="1"/>
  <c r="AD24" i="1"/>
  <c r="AB25" i="1"/>
  <c r="AD25" i="1"/>
  <c r="AB26" i="1"/>
  <c r="AD26" i="1" s="1"/>
  <c r="AB27" i="1"/>
  <c r="AD27" i="1" s="1"/>
  <c r="AB28" i="1"/>
  <c r="AD28" i="1" s="1"/>
  <c r="AB29" i="1"/>
  <c r="AD29" i="1" s="1"/>
  <c r="AB31" i="1"/>
  <c r="AD31" i="1" s="1"/>
  <c r="AB32" i="1"/>
  <c r="AD32" i="1"/>
  <c r="AB33" i="1"/>
  <c r="AD33" i="1"/>
  <c r="AB34" i="1"/>
  <c r="AD34" i="1"/>
  <c r="AB35" i="1"/>
  <c r="AD35" i="1" s="1"/>
  <c r="AB36" i="1"/>
  <c r="AD36" i="1"/>
  <c r="AB37" i="1"/>
  <c r="AD37" i="1"/>
  <c r="AB38" i="1"/>
  <c r="AD38" i="1"/>
  <c r="AB39" i="1"/>
  <c r="AD39" i="1" s="1"/>
  <c r="AB42" i="1"/>
  <c r="AD42" i="1"/>
  <c r="AB44" i="1"/>
  <c r="AD44" i="1"/>
  <c r="AB45" i="1"/>
  <c r="AD45" i="1"/>
  <c r="AB46" i="1"/>
  <c r="AD46" i="1"/>
  <c r="AB47" i="1"/>
  <c r="AD47" i="1" s="1"/>
  <c r="AB48" i="1"/>
  <c r="AD48" i="1"/>
  <c r="AB49" i="1"/>
  <c r="AD49" i="1" s="1"/>
  <c r="AB51" i="1"/>
  <c r="AD51" i="1" s="1"/>
  <c r="AB52" i="1"/>
  <c r="AD52" i="1"/>
  <c r="AB54" i="1"/>
  <c r="AD54" i="1"/>
  <c r="AB55" i="1"/>
  <c r="AD55" i="1" s="1"/>
  <c r="AB56" i="1"/>
  <c r="AD56" i="1"/>
  <c r="AB57" i="1"/>
  <c r="AD57" i="1"/>
  <c r="AB58" i="1"/>
  <c r="AD58" i="1" s="1"/>
  <c r="AB59" i="1"/>
  <c r="AD59" i="1" s="1"/>
  <c r="AB60" i="1"/>
  <c r="AD60" i="1"/>
  <c r="AB61" i="1"/>
  <c r="AD61" i="1"/>
  <c r="AB62" i="1"/>
  <c r="AD62" i="1"/>
  <c r="AB63" i="1"/>
  <c r="AD63" i="1" s="1"/>
  <c r="AB65" i="1"/>
  <c r="AD65" i="1"/>
  <c r="AB66" i="1"/>
  <c r="AD66" i="1"/>
  <c r="AB70" i="1"/>
  <c r="AD70" i="1" s="1"/>
  <c r="AB71" i="1"/>
  <c r="AD71" i="1" s="1"/>
  <c r="AB72" i="1"/>
  <c r="AD72" i="1" s="1"/>
  <c r="AB73" i="1"/>
  <c r="AD73" i="1"/>
  <c r="AB75" i="1"/>
  <c r="AD75" i="1" s="1"/>
  <c r="AB76" i="1"/>
  <c r="AD76" i="1" s="1"/>
  <c r="AB77" i="1"/>
  <c r="AD77" i="1"/>
  <c r="AB78" i="1"/>
  <c r="AD78" i="1"/>
  <c r="AB79" i="1"/>
  <c r="AD79" i="1" s="1"/>
  <c r="AB80" i="1"/>
  <c r="AD80" i="1" s="1"/>
  <c r="AB84" i="1"/>
  <c r="AD84" i="1" s="1"/>
  <c r="AB86" i="1"/>
  <c r="AD86" i="1"/>
  <c r="AB87" i="1"/>
  <c r="AD87" i="1" s="1"/>
  <c r="AB88" i="1"/>
  <c r="AD88" i="1"/>
  <c r="AB89" i="1"/>
  <c r="AD89" i="1"/>
  <c r="AB90" i="1"/>
  <c r="AD90" i="1"/>
  <c r="AB92" i="1"/>
  <c r="AD92" i="1"/>
  <c r="AB95" i="1"/>
  <c r="AD95" i="1" s="1"/>
  <c r="AB97" i="1"/>
  <c r="AD97" i="1"/>
  <c r="AB98" i="1"/>
  <c r="AD98" i="1"/>
  <c r="AB99" i="1"/>
  <c r="AD99" i="1" s="1"/>
  <c r="AB100" i="1"/>
  <c r="AD100" i="1"/>
  <c r="AB101" i="1"/>
  <c r="AD101" i="1"/>
  <c r="AB102" i="1"/>
  <c r="AD102" i="1"/>
  <c r="AB103" i="1"/>
  <c r="AD103" i="1" s="1"/>
  <c r="AB104" i="1"/>
  <c r="AD104" i="1"/>
  <c r="AB107" i="1"/>
  <c r="AD107" i="1" s="1"/>
  <c r="AB110" i="1"/>
  <c r="AD110" i="1"/>
  <c r="AB111" i="1"/>
  <c r="AD111" i="1" s="1"/>
  <c r="AB112" i="1"/>
  <c r="AD112" i="1"/>
  <c r="AB113" i="1"/>
  <c r="AD113" i="1"/>
  <c r="AB114" i="1"/>
  <c r="AD114" i="1" s="1"/>
  <c r="AB115" i="1"/>
  <c r="AD115" i="1" s="1"/>
  <c r="AB116" i="1"/>
  <c r="AD116" i="1"/>
  <c r="AB117" i="1"/>
  <c r="AD117" i="1"/>
  <c r="AB118" i="1"/>
  <c r="AD118" i="1" s="1"/>
  <c r="AB119" i="1"/>
  <c r="AD119" i="1" s="1"/>
  <c r="AB120" i="1"/>
  <c r="AD120" i="1"/>
  <c r="AB121" i="1"/>
  <c r="AD121" i="1"/>
  <c r="AB122" i="1"/>
  <c r="AD122" i="1"/>
  <c r="AB123" i="1"/>
  <c r="AD123" i="1" s="1"/>
  <c r="AB125" i="1"/>
  <c r="AD125" i="1"/>
  <c r="AB126" i="1"/>
  <c r="AD126" i="1"/>
  <c r="AB127" i="1"/>
  <c r="AD127" i="1" s="1"/>
  <c r="AB128" i="1"/>
  <c r="AD128" i="1"/>
  <c r="AB130" i="1"/>
  <c r="AD130" i="1" s="1"/>
  <c r="AB133" i="1"/>
  <c r="AD133" i="1"/>
  <c r="AB134" i="1"/>
  <c r="AD134" i="1" s="1"/>
  <c r="AB135" i="1"/>
  <c r="AD135" i="1"/>
  <c r="AB136" i="1"/>
  <c r="AD136" i="1"/>
  <c r="AB138" i="1"/>
  <c r="AD138" i="1"/>
  <c r="AB139" i="1"/>
  <c r="AD139" i="1" s="1"/>
  <c r="AB140" i="1"/>
  <c r="AD140" i="1"/>
  <c r="AB141" i="1"/>
  <c r="AD141" i="1"/>
  <c r="AB142" i="1"/>
  <c r="AD142" i="1"/>
  <c r="AB143" i="1"/>
  <c r="AD143" i="1" s="1"/>
  <c r="AB147" i="1"/>
  <c r="AD147" i="1"/>
  <c r="AB148" i="1"/>
  <c r="AD148" i="1"/>
  <c r="AB150" i="1"/>
  <c r="AD150" i="1"/>
  <c r="AB151" i="1"/>
  <c r="AD151" i="1"/>
  <c r="AB155" i="1"/>
  <c r="AD155" i="1"/>
  <c r="AB156" i="1"/>
  <c r="AD156" i="1"/>
  <c r="AB158" i="1"/>
  <c r="AD158" i="1"/>
  <c r="AB159" i="1"/>
  <c r="AD159" i="1" s="1"/>
  <c r="AB160" i="1"/>
  <c r="AD160" i="1" s="1"/>
  <c r="AB161" i="1"/>
  <c r="AD161" i="1"/>
  <c r="AB162" i="1"/>
  <c r="AD162" i="1"/>
  <c r="AB163" i="1"/>
  <c r="AD163" i="1"/>
  <c r="AB164" i="1"/>
  <c r="AD164" i="1"/>
  <c r="AB165" i="1"/>
  <c r="AD165" i="1"/>
  <c r="AB166" i="1"/>
  <c r="AD166" i="1"/>
  <c r="AB167" i="1"/>
  <c r="AD167" i="1" s="1"/>
  <c r="AB168" i="1"/>
  <c r="AD168" i="1"/>
  <c r="AB169" i="1"/>
  <c r="AD169" i="1"/>
  <c r="AB170" i="1"/>
  <c r="AD170" i="1"/>
  <c r="AB6" i="1"/>
  <c r="AD6" i="1" s="1"/>
  <c r="V170" i="1" l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169" i="1" l="1"/>
  <c r="R164" i="1"/>
  <c r="U164" i="1" s="1"/>
  <c r="R79" i="1"/>
  <c r="Q164" i="1" l="1"/>
  <c r="U79" i="1"/>
  <c r="Q79" i="1"/>
  <c r="U169" i="1"/>
  <c r="Q169" i="1"/>
  <c r="Z164" i="1"/>
  <c r="R51" i="1" l="1"/>
  <c r="R147" i="1"/>
  <c r="R50" i="1"/>
  <c r="R27" i="1"/>
  <c r="R116" i="1"/>
  <c r="R66" i="1"/>
  <c r="R101" i="1"/>
  <c r="R149" i="1"/>
  <c r="R30" i="1"/>
  <c r="R26" i="1"/>
  <c r="R47" i="1"/>
  <c r="R151" i="1"/>
  <c r="R71" i="1"/>
  <c r="R8" i="1"/>
  <c r="R119" i="1"/>
  <c r="R39" i="1"/>
  <c r="R45" i="1"/>
  <c r="R85" i="1"/>
  <c r="R140" i="1"/>
  <c r="R21" i="1"/>
  <c r="R33" i="1"/>
  <c r="R46" i="1"/>
  <c r="R58" i="1"/>
  <c r="R72" i="1"/>
  <c r="R86" i="1"/>
  <c r="R90" i="1"/>
  <c r="R105" i="1"/>
  <c r="R112" i="1"/>
  <c r="R120" i="1"/>
  <c r="R134" i="1"/>
  <c r="R141" i="1"/>
  <c r="R159" i="1"/>
  <c r="R9" i="1"/>
  <c r="R22" i="1"/>
  <c r="R34" i="1"/>
  <c r="R53" i="1"/>
  <c r="R80" i="1"/>
  <c r="R121" i="1"/>
  <c r="R127" i="1"/>
  <c r="R135" i="1"/>
  <c r="R160" i="1"/>
  <c r="R17" i="1"/>
  <c r="R35" i="1"/>
  <c r="R54" i="1"/>
  <c r="R60" i="1"/>
  <c r="R81" i="1"/>
  <c r="R87" i="1"/>
  <c r="R99" i="1"/>
  <c r="R106" i="1"/>
  <c r="R114" i="1"/>
  <c r="R128" i="1"/>
  <c r="R136" i="1"/>
  <c r="R143" i="1"/>
  <c r="R161" i="1"/>
  <c r="R167" i="1"/>
  <c r="R11" i="1"/>
  <c r="R18" i="1"/>
  <c r="R42" i="1"/>
  <c r="R55" i="1"/>
  <c r="R61" i="1"/>
  <c r="R68" i="1"/>
  <c r="R88" i="1"/>
  <c r="R93" i="1"/>
  <c r="R107" i="1"/>
  <c r="R115" i="1"/>
  <c r="R123" i="1"/>
  <c r="R137" i="1"/>
  <c r="R144" i="1"/>
  <c r="R6" i="1"/>
  <c r="R24" i="1"/>
  <c r="R43" i="1"/>
  <c r="R49" i="1"/>
  <c r="R69" i="1"/>
  <c r="R75" i="1"/>
  <c r="R82" i="1"/>
  <c r="R94" i="1"/>
  <c r="R108" i="1"/>
  <c r="R130" i="1"/>
  <c r="R138" i="1"/>
  <c r="R145" i="1"/>
  <c r="R157" i="1"/>
  <c r="R7" i="1"/>
  <c r="R13" i="1"/>
  <c r="R25" i="1"/>
  <c r="R31" i="1"/>
  <c r="R37" i="1"/>
  <c r="R56" i="1"/>
  <c r="R63" i="1"/>
  <c r="R83" i="1"/>
  <c r="R102" i="1"/>
  <c r="R117" i="1"/>
  <c r="R131" i="1"/>
  <c r="R146" i="1"/>
  <c r="R163" i="1"/>
  <c r="R20" i="1"/>
  <c r="R44" i="1"/>
  <c r="R57" i="1"/>
  <c r="R70" i="1"/>
  <c r="R77" i="1"/>
  <c r="R84" i="1"/>
  <c r="R103" i="1"/>
  <c r="R110" i="1"/>
  <c r="R118" i="1"/>
  <c r="R132" i="1"/>
  <c r="R139" i="1"/>
  <c r="R170" i="1"/>
  <c r="Z169" i="1"/>
  <c r="Z79" i="1"/>
  <c r="R76" i="1" l="1"/>
  <c r="U76" i="1" s="1"/>
  <c r="R155" i="1"/>
  <c r="U155" i="1" s="1"/>
  <c r="R109" i="1"/>
  <c r="Q109" i="1" s="1"/>
  <c r="R168" i="1"/>
  <c r="U168" i="1" s="1"/>
  <c r="R29" i="1"/>
  <c r="U29" i="1" s="1"/>
  <c r="R52" i="1"/>
  <c r="U52" i="1" s="1"/>
  <c r="R104" i="1"/>
  <c r="U104" i="1" s="1"/>
  <c r="R162" i="1"/>
  <c r="U162" i="1" s="1"/>
  <c r="R73" i="1"/>
  <c r="U73" i="1" s="1"/>
  <c r="R91" i="1"/>
  <c r="U91" i="1" s="1"/>
  <c r="R15" i="1"/>
  <c r="U15" i="1" s="1"/>
  <c r="R32" i="1"/>
  <c r="U32" i="1" s="1"/>
  <c r="U101" i="1"/>
  <c r="Q101" i="1"/>
  <c r="R158" i="1"/>
  <c r="R78" i="1"/>
  <c r="R153" i="1"/>
  <c r="R96" i="1"/>
  <c r="R38" i="1"/>
  <c r="R125" i="1"/>
  <c r="R19" i="1"/>
  <c r="R124" i="1"/>
  <c r="R62" i="1"/>
  <c r="R12" i="1"/>
  <c r="R156" i="1"/>
  <c r="R100" i="1"/>
  <c r="R48" i="1"/>
  <c r="R122" i="1"/>
  <c r="R67" i="1"/>
  <c r="R10" i="1"/>
  <c r="R142" i="1"/>
  <c r="R28" i="1"/>
  <c r="R126" i="1"/>
  <c r="R65" i="1"/>
  <c r="R16" i="1"/>
  <c r="R148" i="1"/>
  <c r="R165" i="1"/>
  <c r="R97" i="1"/>
  <c r="R133" i="1"/>
  <c r="R64" i="1"/>
  <c r="R14" i="1"/>
  <c r="R152" i="1"/>
  <c r="R95" i="1"/>
  <c r="R89" i="1"/>
  <c r="R36" i="1"/>
  <c r="R129" i="1"/>
  <c r="R74" i="1"/>
  <c r="R23" i="1"/>
  <c r="R150" i="1"/>
  <c r="R92" i="1"/>
  <c r="R41" i="1"/>
  <c r="R166" i="1"/>
  <c r="R113" i="1"/>
  <c r="R59" i="1"/>
  <c r="R154" i="1"/>
  <c r="R98" i="1"/>
  <c r="R40" i="1"/>
  <c r="R111" i="1"/>
  <c r="U147" i="1"/>
  <c r="Q147" i="1"/>
  <c r="U118" i="1"/>
  <c r="Q118" i="1"/>
  <c r="U84" i="1"/>
  <c r="Q84" i="1"/>
  <c r="U57" i="1"/>
  <c r="Q57" i="1"/>
  <c r="U146" i="1"/>
  <c r="Q146" i="1"/>
  <c r="U117" i="1"/>
  <c r="Q117" i="1"/>
  <c r="U63" i="1"/>
  <c r="Q63" i="1"/>
  <c r="U37" i="1"/>
  <c r="Q37" i="1"/>
  <c r="Q13" i="1"/>
  <c r="U13" i="1"/>
  <c r="U145" i="1"/>
  <c r="Q145" i="1"/>
  <c r="U116" i="1"/>
  <c r="Q116" i="1"/>
  <c r="U82" i="1"/>
  <c r="Q82" i="1"/>
  <c r="U30" i="1"/>
  <c r="Q30" i="1"/>
  <c r="U6" i="1"/>
  <c r="Q6" i="1"/>
  <c r="U151" i="1"/>
  <c r="Q151" i="1"/>
  <c r="U123" i="1"/>
  <c r="Q123" i="1"/>
  <c r="U93" i="1"/>
  <c r="Q93" i="1"/>
  <c r="U68" i="1"/>
  <c r="Q68" i="1"/>
  <c r="U42" i="1"/>
  <c r="Q42" i="1"/>
  <c r="U18" i="1"/>
  <c r="Q18" i="1"/>
  <c r="U167" i="1"/>
  <c r="Q167" i="1"/>
  <c r="U143" i="1"/>
  <c r="Q143" i="1"/>
  <c r="U114" i="1"/>
  <c r="Q114" i="1"/>
  <c r="U87" i="1"/>
  <c r="Q87" i="1"/>
  <c r="Q60" i="1"/>
  <c r="U60" i="1"/>
  <c r="U35" i="1"/>
  <c r="Q35" i="1"/>
  <c r="U160" i="1"/>
  <c r="Q160" i="1"/>
  <c r="U135" i="1"/>
  <c r="Q135" i="1"/>
  <c r="U80" i="1"/>
  <c r="Q80" i="1"/>
  <c r="U53" i="1"/>
  <c r="Q53" i="1"/>
  <c r="U22" i="1"/>
  <c r="Q22" i="1"/>
  <c r="U120" i="1"/>
  <c r="Q120" i="1"/>
  <c r="U90" i="1"/>
  <c r="Q90" i="1"/>
  <c r="U58" i="1"/>
  <c r="Q58" i="1"/>
  <c r="U33" i="1"/>
  <c r="Q33" i="1"/>
  <c r="U51" i="1"/>
  <c r="Q51" i="1"/>
  <c r="U85" i="1"/>
  <c r="Q85" i="1"/>
  <c r="U39" i="1"/>
  <c r="Q39" i="1"/>
  <c r="U119" i="1"/>
  <c r="Q119" i="1"/>
  <c r="U139" i="1"/>
  <c r="Q139" i="1"/>
  <c r="U110" i="1"/>
  <c r="Q110" i="1"/>
  <c r="U77" i="1"/>
  <c r="Q77" i="1"/>
  <c r="U26" i="1"/>
  <c r="Q26" i="1"/>
  <c r="U163" i="1"/>
  <c r="Q163" i="1"/>
  <c r="U83" i="1"/>
  <c r="Q83" i="1"/>
  <c r="U56" i="1"/>
  <c r="Q56" i="1"/>
  <c r="U31" i="1"/>
  <c r="Q31" i="1"/>
  <c r="U7" i="1"/>
  <c r="Q7" i="1"/>
  <c r="U138" i="1"/>
  <c r="Q138" i="1"/>
  <c r="U108" i="1"/>
  <c r="Q108" i="1"/>
  <c r="U75" i="1"/>
  <c r="Q75" i="1"/>
  <c r="U49" i="1"/>
  <c r="Q49" i="1"/>
  <c r="U24" i="1"/>
  <c r="Q24" i="1"/>
  <c r="U144" i="1"/>
  <c r="Q144" i="1"/>
  <c r="U115" i="1"/>
  <c r="Q115" i="1"/>
  <c r="U88" i="1"/>
  <c r="Q88" i="1"/>
  <c r="U61" i="1"/>
  <c r="Q61" i="1"/>
  <c r="U11" i="1"/>
  <c r="Q11" i="1"/>
  <c r="U161" i="1"/>
  <c r="Q161" i="1"/>
  <c r="U136" i="1"/>
  <c r="Q136" i="1"/>
  <c r="U106" i="1"/>
  <c r="Q106" i="1"/>
  <c r="U81" i="1"/>
  <c r="Q81" i="1"/>
  <c r="U54" i="1"/>
  <c r="Q54" i="1"/>
  <c r="Q29" i="1"/>
  <c r="U127" i="1"/>
  <c r="Q127" i="1"/>
  <c r="U141" i="1"/>
  <c r="Q141" i="1"/>
  <c r="U112" i="1"/>
  <c r="Q112" i="1"/>
  <c r="U86" i="1"/>
  <c r="Q86" i="1"/>
  <c r="U27" i="1"/>
  <c r="Q27" i="1"/>
  <c r="U45" i="1"/>
  <c r="Q45" i="1"/>
  <c r="U71" i="1"/>
  <c r="Q71" i="1"/>
  <c r="U170" i="1"/>
  <c r="Q170" i="1"/>
  <c r="U132" i="1"/>
  <c r="Q132" i="1"/>
  <c r="U103" i="1"/>
  <c r="Q103" i="1"/>
  <c r="U70" i="1"/>
  <c r="Q70" i="1"/>
  <c r="U44" i="1"/>
  <c r="Q44" i="1"/>
  <c r="Q20" i="1"/>
  <c r="U20" i="1"/>
  <c r="U131" i="1"/>
  <c r="Q131" i="1"/>
  <c r="U102" i="1"/>
  <c r="Q102" i="1"/>
  <c r="U50" i="1"/>
  <c r="Q50" i="1"/>
  <c r="U25" i="1"/>
  <c r="Q25" i="1"/>
  <c r="U157" i="1"/>
  <c r="Q157" i="1"/>
  <c r="U130" i="1"/>
  <c r="Q130" i="1"/>
  <c r="U94" i="1"/>
  <c r="Q94" i="1"/>
  <c r="Q69" i="1"/>
  <c r="U69" i="1"/>
  <c r="Q43" i="1"/>
  <c r="U43" i="1"/>
  <c r="U137" i="1"/>
  <c r="Q137" i="1"/>
  <c r="U107" i="1"/>
  <c r="Q107" i="1"/>
  <c r="U55" i="1"/>
  <c r="Q55" i="1"/>
  <c r="U128" i="1"/>
  <c r="Q128" i="1"/>
  <c r="U99" i="1"/>
  <c r="Q99" i="1"/>
  <c r="Q73" i="1"/>
  <c r="U47" i="1"/>
  <c r="Q47" i="1"/>
  <c r="U17" i="1"/>
  <c r="Q17" i="1"/>
  <c r="U149" i="1"/>
  <c r="Q149" i="1"/>
  <c r="U121" i="1"/>
  <c r="Q121" i="1"/>
  <c r="U66" i="1"/>
  <c r="Q66" i="1"/>
  <c r="U34" i="1"/>
  <c r="Q34" i="1"/>
  <c r="U9" i="1"/>
  <c r="Q9" i="1"/>
  <c r="U159" i="1"/>
  <c r="Q159" i="1"/>
  <c r="U134" i="1"/>
  <c r="Q134" i="1"/>
  <c r="U105" i="1"/>
  <c r="Q105" i="1"/>
  <c r="U72" i="1"/>
  <c r="Q72" i="1"/>
  <c r="U46" i="1"/>
  <c r="Q46" i="1"/>
  <c r="U21" i="1"/>
  <c r="Q21" i="1"/>
  <c r="U140" i="1"/>
  <c r="Q140" i="1"/>
  <c r="U8" i="1"/>
  <c r="Q8" i="1"/>
  <c r="Q76" i="1" l="1"/>
  <c r="Q32" i="1"/>
  <c r="Q168" i="1"/>
  <c r="U109" i="1"/>
  <c r="Z109" i="1" s="1"/>
  <c r="Q15" i="1"/>
  <c r="Q155" i="1"/>
  <c r="Q162" i="1"/>
  <c r="Q52" i="1"/>
  <c r="Q104" i="1"/>
  <c r="Z101" i="1"/>
  <c r="Q91" i="1"/>
  <c r="Z91" i="1"/>
  <c r="Z130" i="1"/>
  <c r="Z88" i="1"/>
  <c r="Z80" i="1"/>
  <c r="Z6" i="1"/>
  <c r="U113" i="1"/>
  <c r="Q113" i="1"/>
  <c r="Q150" i="1"/>
  <c r="U150" i="1"/>
  <c r="U129" i="1"/>
  <c r="Q129" i="1"/>
  <c r="U152" i="1"/>
  <c r="Q152" i="1"/>
  <c r="U16" i="1"/>
  <c r="Q16" i="1"/>
  <c r="U28" i="1"/>
  <c r="Q28" i="1"/>
  <c r="U67" i="1"/>
  <c r="Q67" i="1"/>
  <c r="Z52" i="1"/>
  <c r="Z108" i="1"/>
  <c r="U133" i="1"/>
  <c r="Q133" i="1"/>
  <c r="Z107" i="1"/>
  <c r="Z131" i="1"/>
  <c r="Z7" i="1"/>
  <c r="Z13" i="1"/>
  <c r="Z39" i="1"/>
  <c r="Z58" i="1"/>
  <c r="Z93" i="1"/>
  <c r="Z147" i="1"/>
  <c r="Q96" i="1"/>
  <c r="U96" i="1"/>
  <c r="Z105" i="1"/>
  <c r="Z121" i="1"/>
  <c r="Z137" i="1"/>
  <c r="Z157" i="1"/>
  <c r="Z45" i="1"/>
  <c r="Z86" i="1"/>
  <c r="Z136" i="1"/>
  <c r="Z115" i="1"/>
  <c r="Z138" i="1"/>
  <c r="Z69" i="1"/>
  <c r="Z85" i="1"/>
  <c r="Z90" i="1"/>
  <c r="Z35" i="1"/>
  <c r="Z143" i="1"/>
  <c r="Z18" i="1"/>
  <c r="Z123" i="1"/>
  <c r="Z30" i="1"/>
  <c r="Z145" i="1"/>
  <c r="Z37" i="1"/>
  <c r="Z146" i="1"/>
  <c r="Z57" i="1"/>
  <c r="U154" i="1"/>
  <c r="Q154" i="1"/>
  <c r="U166" i="1"/>
  <c r="Q166" i="1"/>
  <c r="U14" i="1"/>
  <c r="Q14" i="1"/>
  <c r="U97" i="1"/>
  <c r="Q97" i="1"/>
  <c r="U65" i="1"/>
  <c r="Q65" i="1"/>
  <c r="Q122" i="1"/>
  <c r="U122" i="1"/>
  <c r="U100" i="1"/>
  <c r="Q100" i="1"/>
  <c r="Q124" i="1"/>
  <c r="U124" i="1"/>
  <c r="U125" i="1"/>
  <c r="Q125" i="1"/>
  <c r="U153" i="1"/>
  <c r="Q153" i="1"/>
  <c r="Z17" i="1"/>
  <c r="Z170" i="1"/>
  <c r="Z26" i="1"/>
  <c r="Z43" i="1"/>
  <c r="Z29" i="1"/>
  <c r="Z114" i="1"/>
  <c r="Z116" i="1"/>
  <c r="Z117" i="1"/>
  <c r="U98" i="1"/>
  <c r="Q98" i="1"/>
  <c r="Z9" i="1"/>
  <c r="Z47" i="1"/>
  <c r="Z50" i="1"/>
  <c r="Z70" i="1"/>
  <c r="Z11" i="1"/>
  <c r="Z24" i="1"/>
  <c r="Z31" i="1"/>
  <c r="Z8" i="1"/>
  <c r="Z140" i="1"/>
  <c r="Z21" i="1"/>
  <c r="Z134" i="1"/>
  <c r="Z34" i="1"/>
  <c r="Z149" i="1"/>
  <c r="Z73" i="1"/>
  <c r="Z55" i="1"/>
  <c r="Z162" i="1"/>
  <c r="Z76" i="1"/>
  <c r="Z103" i="1"/>
  <c r="Z71" i="1"/>
  <c r="Z27" i="1"/>
  <c r="Z112" i="1"/>
  <c r="Z127" i="1"/>
  <c r="Z54" i="1"/>
  <c r="Z161" i="1"/>
  <c r="Z144" i="1"/>
  <c r="Z49" i="1"/>
  <c r="Z56" i="1"/>
  <c r="Z163" i="1"/>
  <c r="Z77" i="1"/>
  <c r="Z60" i="1"/>
  <c r="Z20" i="1"/>
  <c r="Z104" i="1"/>
  <c r="Z51" i="1"/>
  <c r="Z120" i="1"/>
  <c r="Z22" i="1"/>
  <c r="Z135" i="1"/>
  <c r="Z167" i="1"/>
  <c r="Z42" i="1"/>
  <c r="Z151" i="1"/>
  <c r="Z168" i="1"/>
  <c r="Z63" i="1"/>
  <c r="Z84" i="1"/>
  <c r="U111" i="1"/>
  <c r="Q111" i="1"/>
  <c r="U41" i="1"/>
  <c r="Q41" i="1"/>
  <c r="U23" i="1"/>
  <c r="Q23" i="1"/>
  <c r="U36" i="1"/>
  <c r="Q36" i="1"/>
  <c r="Q64" i="1"/>
  <c r="U64" i="1"/>
  <c r="U165" i="1"/>
  <c r="Q165" i="1"/>
  <c r="U126" i="1"/>
  <c r="Q126" i="1"/>
  <c r="U142" i="1"/>
  <c r="Q142" i="1"/>
  <c r="Q156" i="1"/>
  <c r="U156" i="1"/>
  <c r="U78" i="1"/>
  <c r="Q78" i="1"/>
  <c r="Z72" i="1"/>
  <c r="Z25" i="1"/>
  <c r="U62" i="1"/>
  <c r="Q62" i="1"/>
  <c r="Z46" i="1"/>
  <c r="Z159" i="1"/>
  <c r="Z66" i="1"/>
  <c r="Z99" i="1"/>
  <c r="Z94" i="1"/>
  <c r="Z102" i="1"/>
  <c r="Z132" i="1"/>
  <c r="Z141" i="1"/>
  <c r="Z155" i="1"/>
  <c r="Z81" i="1"/>
  <c r="Z61" i="1"/>
  <c r="Z75" i="1"/>
  <c r="Z83" i="1"/>
  <c r="Z110" i="1"/>
  <c r="Z32" i="1"/>
  <c r="Z128" i="1"/>
  <c r="Z44" i="1"/>
  <c r="Z106" i="1"/>
  <c r="Z139" i="1"/>
  <c r="U48" i="1"/>
  <c r="Q48" i="1"/>
  <c r="Z119" i="1"/>
  <c r="Z15" i="1"/>
  <c r="Z33" i="1"/>
  <c r="Z53" i="1"/>
  <c r="Z160" i="1"/>
  <c r="Z87" i="1"/>
  <c r="Z68" i="1"/>
  <c r="Z82" i="1"/>
  <c r="Z118" i="1"/>
  <c r="U40" i="1"/>
  <c r="Q40" i="1"/>
  <c r="U59" i="1"/>
  <c r="Q59" i="1"/>
  <c r="Q92" i="1"/>
  <c r="U92" i="1"/>
  <c r="U74" i="1"/>
  <c r="Q74" i="1"/>
  <c r="U89" i="1"/>
  <c r="Q89" i="1"/>
  <c r="U95" i="1"/>
  <c r="Q95" i="1"/>
  <c r="U148" i="1"/>
  <c r="Q148" i="1"/>
  <c r="U10" i="1"/>
  <c r="Q10" i="1"/>
  <c r="U12" i="1"/>
  <c r="Q12" i="1"/>
  <c r="U19" i="1"/>
  <c r="Q19" i="1"/>
  <c r="U38" i="1"/>
  <c r="Q38" i="1"/>
  <c r="U158" i="1"/>
  <c r="Q158" i="1"/>
  <c r="Z38" i="1" l="1"/>
  <c r="Z10" i="1"/>
  <c r="Z95" i="1"/>
  <c r="Z59" i="1"/>
  <c r="Z78" i="1"/>
  <c r="Z41" i="1"/>
  <c r="Z125" i="1"/>
  <c r="Z154" i="1"/>
  <c r="Z133" i="1"/>
  <c r="Z67" i="1"/>
  <c r="Z124" i="1"/>
  <c r="Z19" i="1"/>
  <c r="Z89" i="1"/>
  <c r="Z40" i="1"/>
  <c r="Z142" i="1"/>
  <c r="Z65" i="1"/>
  <c r="Z28" i="1"/>
  <c r="Z129" i="1"/>
  <c r="Z96" i="1"/>
  <c r="Z150" i="1"/>
  <c r="Z64" i="1"/>
  <c r="Z12" i="1"/>
  <c r="Z148" i="1"/>
  <c r="Z74" i="1"/>
  <c r="Z126" i="1"/>
  <c r="Z36" i="1"/>
  <c r="Z111" i="1"/>
  <c r="Z100" i="1"/>
  <c r="Z97" i="1"/>
  <c r="Z16" i="1"/>
  <c r="Z92" i="1"/>
  <c r="Z156" i="1"/>
  <c r="Z122" i="1"/>
  <c r="Z158" i="1"/>
  <c r="Z48" i="1"/>
  <c r="Z62" i="1"/>
  <c r="Z165" i="1"/>
  <c r="Z23" i="1"/>
  <c r="Z98" i="1"/>
  <c r="Z153" i="1"/>
  <c r="Z14" i="1"/>
  <c r="Z166" i="1"/>
  <c r="Z152" i="1"/>
  <c r="Z113" i="1"/>
  <c r="Z171" i="1" l="1"/>
</calcChain>
</file>

<file path=xl/sharedStrings.xml><?xml version="1.0" encoding="utf-8"?>
<sst xmlns="http://schemas.openxmlformats.org/spreadsheetml/2006/main" count="3482" uniqueCount="320">
  <si>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</si>
  <si>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</si>
  <si>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</si>
  <si>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</si>
  <si>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</si>
  <si>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</si>
  <si>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</si>
  <si>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</si>
  <si>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</si>
  <si>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</si>
  <si>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</si>
  <si>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</si>
  <si>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</si>
  <si>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</si>
  <si>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</si>
  <si>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</si>
  <si>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</si>
  <si>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</si>
  <si>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</si>
  <si>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</si>
  <si>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</si>
  <si>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</si>
  <si>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</si>
  <si>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</si>
  <si>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</si>
  <si>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</si>
  <si>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</si>
  <si>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</si>
  <si>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06 Sabanillas FDH</t>
  </si>
  <si>
    <t>12 Higiénicos FDH.</t>
  </si>
  <si>
    <t>PH Elite Excellence DH 23 mts x4x12</t>
  </si>
  <si>
    <t>PH Elite Jumbo Classic AHORRO UH 500 mts x1x4</t>
  </si>
  <si>
    <t>PH Elite Jumbo Excellence DH 250 mts x1x6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</si>
  <si>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</si>
  <si>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</si>
  <si>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</si>
  <si>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</si>
  <si>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</si>
  <si>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</si>
  <si>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</si>
  <si>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Instit. Excellence UH 24x24 cm x24x100</t>
  </si>
  <si>
    <t>67 Paños FDH</t>
  </si>
  <si>
    <t>GASTRONOMÍA</t>
  </si>
  <si>
    <t>CASINOS</t>
  </si>
  <si>
    <t>INDUSTRIAS</t>
  </si>
  <si>
    <t>COMERCIALIZADORA</t>
  </si>
  <si>
    <t>PH Elite Institucional Classic DH 16.5 mts x10x2</t>
  </si>
  <si>
    <t>PT Elite Jumbo Classic Blanca UH 200 mts x1x2</t>
  </si>
  <si>
    <t>58 Jabones FDH</t>
  </si>
  <si>
    <t>Alcohol Elite Gel Multiflex 1000ml x6x1</t>
  </si>
  <si>
    <t>INMOBILIARIA</t>
  </si>
  <si>
    <t>Jabón Elite Espuma 800ml x6x1</t>
  </si>
  <si>
    <t>PT Elite Jumbo Plus Blanca UH 300 mts x1x2</t>
  </si>
  <si>
    <t>PT Elite Jumbo Plus Ecológica UH 300 mts x1x2</t>
  </si>
  <si>
    <t>PH Elite Jumbo Plus Ecológico UH 500 mts x1x4</t>
  </si>
  <si>
    <t>PT Elite Interfoliado Plus Ecológico UH ST 21.6x21 cm x18x250</t>
  </si>
  <si>
    <t>PT Elite Interfoliado Plus Blanco DH XL 21.6x25 cm x18x200</t>
  </si>
  <si>
    <t>Jabón Elite Glicerina Multiflex 1000ml x6x1</t>
  </si>
  <si>
    <t>OFICINAS</t>
  </si>
  <si>
    <t>AGROINDUSTRIAS</t>
  </si>
  <si>
    <t>LIMA 2</t>
  </si>
  <si>
    <t>TEXTILES</t>
  </si>
  <si>
    <t>PH Elite Excellence DH 65 mts x4x8</t>
  </si>
  <si>
    <t>LIMTEK SERVICIOS INTEGRALES SA</t>
  </si>
  <si>
    <t>CONSUMO MASIVO</t>
  </si>
  <si>
    <t>EMPRESAS DE LIMPIEZA</t>
  </si>
  <si>
    <t>PT Elite Jumbo Excellence DH x 200 mts x1x2</t>
  </si>
  <si>
    <t>SERVICIO FINANCIERO</t>
  </si>
  <si>
    <t>EDUCACIÓN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</si>
  <si>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</si>
  <si>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</si>
  <si>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</si>
  <si>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</si>
  <si>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</si>
  <si>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</si>
  <si>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</si>
  <si>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</si>
  <si>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DESARROLLO EDUCATIVO S.A.</t>
  </si>
  <si>
    <t>CERTUS</t>
  </si>
  <si>
    <t>INSTITUCIONES TOULOUSE LAUTREC DE EDUCACION SUPERIOR S.A.C.</t>
  </si>
  <si>
    <t>INVERSIONES EDUCA S.A.</t>
  </si>
  <si>
    <t>SALUD</t>
  </si>
  <si>
    <t>BRITISH AMERICAN HOSPITAL S.A.</t>
  </si>
  <si>
    <t>CLÍNICA ANGLOAMERICANA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</si>
  <si>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</si>
  <si>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</si>
  <si>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</si>
  <si>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</si>
  <si>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</si>
  <si>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</si>
  <si>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</si>
  <si>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</si>
  <si>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</si>
  <si>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</si>
  <si>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</si>
  <si>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</si>
  <si>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</si>
  <si>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</si>
  <si>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</si>
  <si>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</si>
  <si>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</si>
  <si>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</si>
  <si>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</si>
  <si>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</si>
  <si>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</si>
  <si>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COMERCIAL MONT S.A.C.</t>
  </si>
  <si>
    <t>PLATANITOS</t>
  </si>
  <si>
    <t>GAS</t>
  </si>
  <si>
    <t>SOLGAS AMAZONIA S.A.C</t>
  </si>
  <si>
    <t>SOLGAS</t>
  </si>
  <si>
    <t>SOLGAS S.A.</t>
  </si>
  <si>
    <t>A.W. FABER CASTELL PERUANA S.A.</t>
  </si>
  <si>
    <t>AGROINDUSTRIAS AIB S.A.</t>
  </si>
  <si>
    <t>BERRIES DE CHAO SAC</t>
  </si>
  <si>
    <t>BOLSA DE VALORES DE LIMA S.A.A.</t>
  </si>
  <si>
    <t>CLINICA JAVIER PRADO S A</t>
  </si>
  <si>
    <t>CLUB TENNIS LAS TERRAZAS MIRAFLORES</t>
  </si>
  <si>
    <t>COMPANIA MINERA ANTAMINA S.A</t>
  </si>
  <si>
    <t>COMPAÑIA MINERA ANTAPACCAY S.A.</t>
  </si>
  <si>
    <t>CONTACT CENTER FALABELLA SAC</t>
  </si>
  <si>
    <t>ACERO</t>
  </si>
  <si>
    <t>CORPORACION ACEROS AREQUIPA S.A.</t>
  </si>
  <si>
    <t>COUNTRY CLUB DE VILLA</t>
  </si>
  <si>
    <t>EMPRESA SIDERURGICA DEL PERU S.A.A.</t>
  </si>
  <si>
    <t>EULEN DEL PERU DE SERVICIOS COMPLEMENTARIOS S.A.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</si>
  <si>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</si>
  <si>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</si>
  <si>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</si>
  <si>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</si>
  <si>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</si>
  <si>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</si>
  <si>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INNOVA AMBIENTAL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</si>
  <si>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</si>
  <si>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</si>
  <si>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</si>
  <si>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</si>
  <si>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</si>
  <si>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</si>
  <si>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LIMA GAS S A</t>
  </si>
  <si>
    <t>PT Elite Jumbo Excellence DH x 80 mts x1x2</t>
  </si>
  <si>
    <t>TRANSPORTE</t>
  </si>
  <si>
    <t>MACHU PICCHU FOODS S.A.C.</t>
  </si>
  <si>
    <t>NEGOCIACIONES E INVERSIONES DORAL S.A.C.</t>
  </si>
  <si>
    <t>PLUS  PLUS COSMETICA S.A.</t>
  </si>
  <si>
    <t>REFINACIÓN</t>
  </si>
  <si>
    <t>REFINERIA LA PAMPILLA S.A.A</t>
  </si>
  <si>
    <t>SAN MIGUEL FRUITS PERU S.A.</t>
  </si>
  <si>
    <t>SEGURIDAD</t>
  </si>
  <si>
    <t>SECURITAS S.A.C.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</si>
  <si>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</si>
  <si>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</si>
  <si>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</si>
  <si>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</si>
  <si>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</si>
  <si>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</si>
  <si>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CLINICAS</t>
  </si>
  <si>
    <t>UNIVERSIDADES</t>
  </si>
  <si>
    <t>PH Elite Jumbo Classic Ahorro UH 700 mts x1x4</t>
  </si>
  <si>
    <t>Maxwipe Azul 70 - 88 paños x6x1</t>
  </si>
  <si>
    <t>INSTITUTO NACIONAL DE ENFERMEDADES NEOPLÁSICAS</t>
  </si>
  <si>
    <t>20259829594</t>
  </si>
  <si>
    <t>SOLICITADO POR LA DT</t>
  </si>
  <si>
    <t>361571</t>
  </si>
  <si>
    <t>361444</t>
  </si>
  <si>
    <t>361377</t>
  </si>
  <si>
    <t>361540</t>
  </si>
  <si>
    <t>361531</t>
  </si>
  <si>
    <t>361532</t>
  </si>
  <si>
    <t>361429</t>
  </si>
  <si>
    <t>360442</t>
  </si>
  <si>
    <t>361424</t>
  </si>
  <si>
    <t>361445</t>
  </si>
  <si>
    <t>361085</t>
  </si>
  <si>
    <t>361535</t>
  </si>
  <si>
    <t>361570</t>
  </si>
  <si>
    <t>370042</t>
  </si>
  <si>
    <t>371439</t>
  </si>
  <si>
    <t>361537</t>
  </si>
  <si>
    <t>361533</t>
  </si>
  <si>
    <t>360374</t>
  </si>
  <si>
    <t>360484</t>
  </si>
  <si>
    <t>361530</t>
  </si>
  <si>
    <t>370039</t>
  </si>
  <si>
    <t>361421</t>
  </si>
  <si>
    <t>360975</t>
  </si>
  <si>
    <t>361568</t>
  </si>
  <si>
    <t>361360</t>
  </si>
  <si>
    <t>20140452107</t>
  </si>
  <si>
    <t>20100055237</t>
  </si>
  <si>
    <t>20417378911</t>
  </si>
  <si>
    <t>20557345931</t>
  </si>
  <si>
    <t>20552764804</t>
  </si>
  <si>
    <t>20603817185</t>
  </si>
  <si>
    <t>20520869655</t>
  </si>
  <si>
    <t>20544705688</t>
  </si>
  <si>
    <t>20107695584</t>
  </si>
  <si>
    <t>20107314378</t>
  </si>
  <si>
    <t>20133530003</t>
  </si>
  <si>
    <t>20264592497</t>
  </si>
  <si>
    <t>20101045995</t>
  </si>
  <si>
    <t>20387004301</t>
  </si>
  <si>
    <t>20506006024</t>
  </si>
  <si>
    <t>20503258901</t>
  </si>
  <si>
    <t>20104121374</t>
  </si>
  <si>
    <t>20450122395</t>
  </si>
  <si>
    <t>20450125904</t>
  </si>
  <si>
    <t>20421526258</t>
  </si>
  <si>
    <t>20136629591</t>
  </si>
  <si>
    <t>20101920721</t>
  </si>
  <si>
    <t>20352465331</t>
  </si>
  <si>
    <t>20100176450</t>
  </si>
  <si>
    <t>20100050359</t>
  </si>
  <si>
    <t>20104420282</t>
  </si>
  <si>
    <t>20602822207</t>
  </si>
  <si>
    <t>20100055661</t>
  </si>
  <si>
    <t>20100122368</t>
  </si>
  <si>
    <t>20162842031</t>
  </si>
  <si>
    <t>20330262428</t>
  </si>
  <si>
    <t>20114915026</t>
  </si>
  <si>
    <t>20545235138</t>
  </si>
  <si>
    <t>20370146994</t>
  </si>
  <si>
    <t>20148020028</t>
  </si>
  <si>
    <t>20402885549</t>
  </si>
  <si>
    <t>20504039120</t>
  </si>
  <si>
    <t>20565993390</t>
  </si>
  <si>
    <t>20602822533</t>
  </si>
  <si>
    <t>20559912353</t>
  </si>
  <si>
    <t>20163901197</t>
  </si>
  <si>
    <t>20600467035</t>
  </si>
  <si>
    <t>20100064571</t>
  </si>
  <si>
    <t>20302891452</t>
  </si>
  <si>
    <t>20202961518</t>
  </si>
  <si>
    <t>20100032709</t>
  </si>
  <si>
    <t>20601657172</t>
  </si>
  <si>
    <t>20302241598</t>
  </si>
  <si>
    <t>20100095450</t>
  </si>
  <si>
    <t>20100007348</t>
  </si>
  <si>
    <t>20519260485</t>
  </si>
  <si>
    <t>20523621212</t>
  </si>
  <si>
    <t>20500985322</t>
  </si>
  <si>
    <t>20531521987</t>
  </si>
  <si>
    <t>20335315759</t>
  </si>
  <si>
    <t>20136222725</t>
  </si>
  <si>
    <t>20117920144</t>
  </si>
  <si>
    <t>20340144938</t>
  </si>
  <si>
    <t>20100147514</t>
  </si>
  <si>
    <t>20536692399</t>
  </si>
  <si>
    <t>20172627421</t>
  </si>
  <si>
    <t>20111580996</t>
  </si>
  <si>
    <t>20110768151</t>
  </si>
  <si>
    <t>20514964778</t>
  </si>
  <si>
    <t>SERVICIOS</t>
  </si>
  <si>
    <t>COLEGIOS</t>
  </si>
  <si>
    <t>AGRO Y GANADERÍA</t>
  </si>
  <si>
    <t>10058</t>
  </si>
  <si>
    <t>MANUFACTURA</t>
  </si>
  <si>
    <t>(en blanco)</t>
  </si>
  <si>
    <t>COMERCIO</t>
  </si>
  <si>
    <t>CLUBES</t>
  </si>
  <si>
    <t>INSTITUTOS</t>
  </si>
  <si>
    <t>MINERÍA E HIDROCARBUROS</t>
  </si>
  <si>
    <t>MINERA</t>
  </si>
  <si>
    <t>TRANSPORTE Y ALMACENAMIENTO</t>
  </si>
  <si>
    <t>JABONES Y DETERGENTES</t>
  </si>
  <si>
    <t>20547566239</t>
  </si>
  <si>
    <t>DEPILZONE S.A.C.</t>
  </si>
  <si>
    <t>SABANILLA ELITE PLUS UH 100mX2 - 53cm</t>
  </si>
  <si>
    <t>361311</t>
  </si>
  <si>
    <t>LIMA EXPRESA S.A.C.</t>
  </si>
  <si>
    <t>PELUQUERIA</t>
  </si>
  <si>
    <t>PAÑO MULTIUSOS ELITE MAXWIPE 88 PAÑOS</t>
  </si>
  <si>
    <t>ENE</t>
  </si>
  <si>
    <t>CODIGO</t>
  </si>
  <si>
    <t>NÚMERO DE SERIE SUNAT DE LA FACTURA/BOLETA</t>
  </si>
  <si>
    <t>F001-24678/24836/24896</t>
  </si>
  <si>
    <t>F001-24965</t>
  </si>
  <si>
    <t>F001-25024/25068/25071/25072</t>
  </si>
  <si>
    <t>F001-25017/25078</t>
  </si>
  <si>
    <t>F001-24652/24753/24884</t>
  </si>
  <si>
    <t>F001-24602/24833</t>
  </si>
  <si>
    <t>F001-24719</t>
  </si>
  <si>
    <t>F001-24837</t>
  </si>
  <si>
    <t>F001-25009/25011</t>
  </si>
  <si>
    <t>F002-1566/1570/1571</t>
  </si>
  <si>
    <t>F001-24616/24962</t>
  </si>
  <si>
    <t>F001-24645/24730/24918</t>
  </si>
  <si>
    <t>F001-24728</t>
  </si>
  <si>
    <t>F001-24321</t>
  </si>
  <si>
    <t>F001-24628/24629/24630/24631/24632/24633/24634/24635/24636/24637/24638/24659</t>
  </si>
  <si>
    <t>F001-24625/24810/24811</t>
  </si>
  <si>
    <t>F001-24685/24760/24761/24799/24806/24921/24949/24973/25056/25084</t>
  </si>
  <si>
    <t>F001-24598/24604</t>
  </si>
  <si>
    <t>F001-24640/24641/24642/24995/24996/25032</t>
  </si>
  <si>
    <t>F001-24688/24781/24801</t>
  </si>
  <si>
    <t>F001-24714/24831/24886</t>
  </si>
  <si>
    <t>F001-24948/25010</t>
  </si>
  <si>
    <t>F001-24767/25042</t>
  </si>
  <si>
    <t>F001-24796</t>
  </si>
  <si>
    <t>F001-24919/24920</t>
  </si>
  <si>
    <t>F001-24997/24998/25052/25053/25054</t>
  </si>
  <si>
    <t>F001-24818/24946/25079</t>
  </si>
  <si>
    <t>F001-25086</t>
  </si>
  <si>
    <t>F001-24993/F002-1581/1582/1583/1584/1585</t>
  </si>
  <si>
    <t>F001-24694</t>
  </si>
  <si>
    <t>F001-25066</t>
  </si>
  <si>
    <t>F001-24873/25026</t>
  </si>
  <si>
    <t>F001-24711/24794</t>
  </si>
  <si>
    <t>F001-24983</t>
  </si>
  <si>
    <t>F001-24752</t>
  </si>
  <si>
    <t>F001-25081</t>
  </si>
  <si>
    <t>F001-24759/F002-1576</t>
  </si>
  <si>
    <t>F001-25058</t>
  </si>
  <si>
    <t>F001-24851</t>
  </si>
  <si>
    <t>*Se pagará en función a las celdas llenadas por SAC</t>
  </si>
  <si>
    <t>SAC INSTITUCIONAL</t>
  </si>
  <si>
    <t>DIMENSIONES DE ERRORES</t>
  </si>
  <si>
    <t>STATUS</t>
  </si>
  <si>
    <t>DIFERENCIA AHORRO SOFTYS</t>
  </si>
  <si>
    <t>OBSERVACION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</si>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</sst>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 &quot;S/&quot;* #,##0.00_ ;_ &quot;S/&quot;* \-#,##0.00_ ;_ &quot;S/&quot;* &quot;-&quot;??_ ;_ @_ "/>
    <numFmt numFmtId="165" formatCode="_-* #,##0.00\ _€_-;\-* #,##0.00\ _€_-;_-* &quot;-&quot;??\ _€_-;_-@_-"/>
    <numFmt numFmtId="166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9" fillId="0" borderId="0"/>
  </cellStyleXfs>
  <cellXfs count="7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5" fontId="2" fillId="0" borderId="0" xfId="1" applyFont="1" applyProtection="1"/>
    <xf numFmtId="10" fontId="2" fillId="0" borderId="0" xfId="2" applyNumberFormat="1" applyFont="1" applyProtection="1"/>
    <xf numFmtId="165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5" fontId="2" fillId="2" borderId="0" xfId="1" applyFont="1" applyFill="1" applyProtection="1"/>
    <xf numFmtId="17" fontId="2" fillId="3" borderId="0" xfId="0" applyNumberFormat="1" applyFont="1" applyFill="1" applyAlignment="1" applyProtection="1">
      <alignment horizontal="center"/>
    </xf>
    <xf numFmtId="166" fontId="2" fillId="3" borderId="0" xfId="1" applyNumberFormat="1" applyFont="1" applyFill="1" applyAlignment="1" applyProtection="1">
      <alignment horizontal="center"/>
    </xf>
    <xf numFmtId="0" fontId="3" fillId="0" borderId="0" xfId="0" applyFont="1" applyProtection="1">
      <protection locked="0"/>
    </xf>
    <xf numFmtId="165" fontId="4" fillId="0" borderId="0" xfId="1" applyFont="1" applyProtection="1"/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5" fontId="4" fillId="0" borderId="0" xfId="1" applyFont="1" applyFill="1" applyProtection="1"/>
    <xf numFmtId="165" fontId="4" fillId="5" borderId="0" xfId="1" applyFont="1" applyFill="1" applyProtection="1">
      <protection locked="0"/>
    </xf>
    <xf numFmtId="165" fontId="4" fillId="5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5" fontId="2" fillId="0" borderId="0" xfId="1" applyFont="1" applyFill="1" applyProtection="1"/>
    <xf numFmtId="10" fontId="2" fillId="0" borderId="0" xfId="2" applyNumberFormat="1" applyFont="1" applyFill="1" applyProtection="1"/>
    <xf numFmtId="165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6" borderId="0" xfId="0" applyFont="1" applyFill="1" applyProtection="1"/>
    <xf numFmtId="0" fontId="5" fillId="7" borderId="0" xfId="0" applyFont="1" applyFill="1" applyAlignment="1" applyProtection="1">
      <alignment horizontal="center" vertical="top" wrapText="1"/>
    </xf>
    <xf numFmtId="165" fontId="5" fillId="7" borderId="0" xfId="1" applyFont="1" applyFill="1" applyAlignment="1" applyProtection="1">
      <alignment horizontal="center" vertical="top" wrapText="1"/>
    </xf>
    <xf numFmtId="10" fontId="5" fillId="7" borderId="0" xfId="2" applyNumberFormat="1" applyFont="1" applyFill="1" applyAlignment="1" applyProtection="1">
      <alignment horizontal="center" vertical="top" wrapText="1"/>
    </xf>
    <xf numFmtId="166" fontId="5" fillId="7" borderId="0" xfId="1" applyNumberFormat="1" applyFont="1" applyFill="1" applyAlignment="1" applyProtection="1">
      <alignment horizontal="center" vertical="top" wrapText="1"/>
    </xf>
    <xf numFmtId="165" fontId="5" fillId="7" borderId="0" xfId="1" applyFont="1" applyFill="1" applyAlignment="1" applyProtection="1">
      <alignment horizontal="center" vertical="top" wrapText="1"/>
      <protection locked="0"/>
    </xf>
    <xf numFmtId="0" fontId="5" fillId="8" borderId="0" xfId="0" applyFont="1" applyFill="1" applyProtection="1"/>
    <xf numFmtId="0" fontId="5" fillId="8" borderId="0" xfId="0" applyFont="1" applyFill="1" applyAlignment="1" applyProtection="1">
      <alignment horizontal="left"/>
    </xf>
    <xf numFmtId="10" fontId="2" fillId="2" borderId="0" xfId="2" applyNumberFormat="1" applyFont="1" applyFill="1" applyProtection="1"/>
    <xf numFmtId="165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6" fontId="2" fillId="3" borderId="0" xfId="1" applyNumberFormat="1" applyFont="1" applyFill="1" applyAlignment="1" applyProtection="1">
      <alignment horizontal="center"/>
    </xf>
    <xf numFmtId="0" fontId="6" fillId="0" borderId="0" xfId="0" applyFont="1"/>
    <xf numFmtId="10" fontId="4" fillId="0" borderId="0" xfId="2" applyNumberFormat="1" applyFont="1" applyFill="1" applyProtection="1"/>
    <xf numFmtId="165" fontId="4" fillId="0" borderId="0" xfId="1" applyFont="1" applyFill="1" applyProtection="1"/>
    <xf numFmtId="165" fontId="4" fillId="5" borderId="0" xfId="1" applyFont="1" applyFill="1" applyProtection="1">
      <protection locked="0"/>
    </xf>
    <xf numFmtId="165" fontId="4" fillId="5" borderId="0" xfId="1" applyFont="1" applyFill="1" applyProtection="1"/>
    <xf numFmtId="0" fontId="2" fillId="6" borderId="0" xfId="0" applyFont="1" applyFill="1" applyProtection="1"/>
    <xf numFmtId="0" fontId="2" fillId="6" borderId="0" xfId="0" applyFont="1" applyFill="1" applyAlignment="1" applyProtection="1">
      <alignment horizontal="center"/>
    </xf>
    <xf numFmtId="49" fontId="2" fillId="6" borderId="0" xfId="0" applyNumberFormat="1" applyFont="1" applyFill="1" applyAlignment="1" applyProtection="1">
      <alignment horizontal="center"/>
    </xf>
    <xf numFmtId="49" fontId="3" fillId="6" borderId="0" xfId="0" applyNumberFormat="1" applyFont="1" applyFill="1" applyAlignment="1" applyProtection="1">
      <alignment horizontal="center"/>
    </xf>
    <xf numFmtId="0" fontId="3" fillId="6" borderId="0" xfId="0" applyFont="1" applyFill="1" applyProtection="1"/>
    <xf numFmtId="0" fontId="2" fillId="6" borderId="0" xfId="0" applyFont="1" applyFill="1" applyAlignment="1" applyProtection="1">
      <alignment horizontal="left"/>
    </xf>
    <xf numFmtId="0" fontId="5" fillId="7" borderId="0" xfId="0" applyFont="1" applyFill="1" applyAlignment="1">
      <alignment horizontal="center" vertical="top" wrapText="1"/>
    </xf>
    <xf numFmtId="0" fontId="0" fillId="4" borderId="0" xfId="0" applyFill="1"/>
    <xf numFmtId="0" fontId="0" fillId="4" borderId="0" xfId="0" applyFill="1"/>
    <xf numFmtId="0" fontId="4" fillId="0" borderId="4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165" fontId="4" fillId="2" borderId="4" xfId="1" applyFont="1" applyFill="1" applyBorder="1" applyAlignment="1" applyProtection="1">
      <alignment horizontal="center" vertical="top" wrapText="1"/>
      <protection locked="0"/>
    </xf>
    <xf numFmtId="2" fontId="4" fillId="2" borderId="4" xfId="1" applyNumberFormat="1" applyFont="1" applyFill="1" applyBorder="1" applyAlignment="1" applyProtection="1">
      <alignment horizontal="center" vertical="top" wrapText="1"/>
      <protection locked="0"/>
    </xf>
    <xf numFmtId="0" fontId="5" fillId="9" borderId="4" xfId="0" applyFont="1" applyFill="1" applyBorder="1" applyAlignment="1" applyProtection="1">
      <alignment horizontal="center" vertical="top" wrapText="1"/>
      <protection locked="0"/>
    </xf>
    <xf numFmtId="2" fontId="5" fillId="9" borderId="4" xfId="0" applyNumberFormat="1" applyFont="1" applyFill="1" applyBorder="1" applyAlignment="1" applyProtection="1">
      <alignment horizontal="center" vertical="top" wrapText="1"/>
      <protection locked="0"/>
    </xf>
    <xf numFmtId="2" fontId="5" fillId="10" borderId="4" xfId="0" applyNumberFormat="1" applyFont="1" applyFill="1" applyBorder="1" applyAlignment="1" applyProtection="1">
      <alignment horizontal="center" vertical="center" wrapText="1"/>
      <protection locked="0"/>
    </xf>
    <xf numFmtId="165" fontId="4" fillId="0" borderId="0" xfId="1" applyFont="1" applyAlignment="1" applyProtection="1">
      <alignment horizontal="center" vertical="center"/>
      <protection locked="0"/>
    </xf>
    <xf numFmtId="165" fontId="4" fillId="4" borderId="0" xfId="1" applyFont="1" applyFill="1" applyAlignment="1" applyProtection="1">
      <alignment horizontal="center" vertical="center"/>
      <protection locked="0"/>
    </xf>
    <xf numFmtId="165" fontId="5" fillId="7" borderId="1" xfId="1" applyFont="1" applyFill="1" applyBorder="1" applyAlignment="1" applyProtection="1">
      <alignment horizontal="center" vertical="top" wrapText="1"/>
      <protection locked="0"/>
    </xf>
    <xf numFmtId="165" fontId="5" fillId="7" borderId="2" xfId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5" fillId="9" borderId="4" xfId="0" applyFont="1" applyFill="1" applyBorder="1" applyAlignment="1" applyProtection="1">
      <alignment horizontal="center" vertical="center"/>
      <protection locked="0"/>
    </xf>
  </cellXfs>
  <cellStyles count="8">
    <cellStyle name="Millares" xfId="1" builtinId="3"/>
    <cellStyle name="Millares 2" xfId="4"/>
    <cellStyle name="Millares 3" xfId="3"/>
    <cellStyle name="Moneda 2" xfId="6"/>
    <cellStyle name="Normal" xfId="0" builtinId="0"/>
    <cellStyle name="Normal 2" xfId="5"/>
    <cellStyle name="Normal 3 2" xfId="7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1"/>
  <sheetViews>
    <sheetView showGridLines="0" tabSelected="1" zoomScale="90" zoomScaleNormal="90" workbookViewId="0"/>
  </sheetViews>
  <sheetFormatPr baseColWidth="10" defaultRowHeight="12" x14ac:dyDescent="0.2"/>
  <cols>
    <col min="1" max="1" width="1.140625" style="15" customWidth="1"/>
    <col min="2" max="2" width="13" style="1" customWidth="1"/>
    <col min="3" max="3" width="14.5703125" style="1" bestFit="1" customWidth="1"/>
    <col min="4" max="4" width="20.7109375" style="1" customWidth="1"/>
    <col min="5" max="5" width="15.42578125" style="2" bestFit="1" customWidth="1"/>
    <col min="6" max="6" width="15.28515625" style="2" bestFit="1" customWidth="1"/>
    <col min="7" max="7" width="15.28515625" style="2" customWidth="1"/>
    <col min="8" max="9" width="17.140625" style="2" customWidth="1"/>
    <col min="10" max="10" width="12.7109375" style="2" customWidth="1"/>
    <col min="11" max="11" width="33.42578125" style="1" customWidth="1"/>
    <col min="12" max="12" width="21.42578125" style="2" customWidth="1"/>
    <col min="13" max="13" width="14.7109375" style="1" customWidth="1"/>
    <col min="14" max="14" width="13.5703125" style="2" customWidth="1"/>
    <col min="15" max="15" width="46" style="1" customWidth="1"/>
    <col min="16" max="16" width="11.28515625" style="3" customWidth="1"/>
    <col min="17" max="17" width="11.28515625" style="4" customWidth="1"/>
    <col min="18" max="18" width="15.28515625" style="3" customWidth="1"/>
    <col min="19" max="19" width="11.28515625" style="4" customWidth="1"/>
    <col min="20" max="20" width="11.28515625" style="3" customWidth="1"/>
    <col min="21" max="21" width="9.85546875" style="3" customWidth="1"/>
    <col min="22" max="22" width="25.140625" style="2" customWidth="1"/>
    <col min="23" max="23" width="10.5703125" style="2" customWidth="1"/>
    <col min="24" max="24" width="15.5703125" style="2" customWidth="1"/>
    <col min="25" max="25" width="17.28515625" style="5" customWidth="1"/>
    <col min="26" max="26" width="19.5703125" style="3" customWidth="1"/>
    <col min="27" max="27" width="12.5703125" style="6" bestFit="1" customWidth="1"/>
    <col min="28" max="28" width="14.42578125" style="6" bestFit="1" customWidth="1"/>
    <col min="29" max="29" width="19.42578125" style="6" bestFit="1" customWidth="1"/>
    <col min="30" max="30" width="13.28515625" style="6" bestFit="1" customWidth="1"/>
    <col min="31" max="16384" width="11.42578125" style="6"/>
  </cols>
  <sheetData>
    <row r="1" spans="1:31" x14ac:dyDescent="0.2">
      <c r="E1" s="1"/>
      <c r="AA1" s="66" t="s">
        <v>313</v>
      </c>
      <c r="AB1" s="66"/>
      <c r="AC1" s="66" t="s">
        <v>313</v>
      </c>
      <c r="AD1" s="66"/>
    </row>
    <row r="2" spans="1:31" x14ac:dyDescent="0.2">
      <c r="B2" s="34" t="s">
        <v>0</v>
      </c>
      <c r="C2" s="35">
        <v>2022</v>
      </c>
      <c r="E2" s="1"/>
      <c r="O2" s="27" t="s">
        <v>1</v>
      </c>
      <c r="AA2" s="67"/>
      <c r="AB2" s="67"/>
      <c r="AC2" s="67"/>
      <c r="AD2" s="67"/>
    </row>
    <row r="3" spans="1:31" x14ac:dyDescent="0.2">
      <c r="B3" s="34" t="s">
        <v>2</v>
      </c>
      <c r="C3" s="34" t="s">
        <v>271</v>
      </c>
      <c r="O3" s="27" t="s">
        <v>1</v>
      </c>
      <c r="Y3" s="64" t="s">
        <v>161</v>
      </c>
      <c r="Z3" s="65"/>
      <c r="AA3" s="68" t="s">
        <v>314</v>
      </c>
      <c r="AB3" s="68"/>
      <c r="AC3" s="69" t="s">
        <v>315</v>
      </c>
      <c r="AD3" s="69"/>
    </row>
    <row r="4" spans="1:31" s="26" customFormat="1" ht="3.75" customHeight="1" x14ac:dyDescent="0.2">
      <c r="A4" s="20"/>
      <c r="B4" s="21"/>
      <c r="C4" s="21"/>
      <c r="D4" s="14"/>
      <c r="E4" s="22"/>
      <c r="F4" s="22"/>
      <c r="G4" s="22"/>
      <c r="H4" s="2"/>
      <c r="I4" s="2"/>
      <c r="J4" s="22"/>
      <c r="K4" s="14"/>
      <c r="L4" s="22"/>
      <c r="M4" s="14"/>
      <c r="N4" s="22"/>
      <c r="O4" s="14"/>
      <c r="P4" s="23"/>
      <c r="Q4" s="24"/>
      <c r="R4" s="23"/>
      <c r="S4" s="24"/>
      <c r="T4" s="23"/>
      <c r="U4" s="23"/>
      <c r="V4" s="22"/>
      <c r="W4" s="22"/>
      <c r="X4" s="22"/>
      <c r="Y4" s="25"/>
      <c r="Z4" s="25"/>
      <c r="AA4" s="55"/>
      <c r="AB4" s="55"/>
      <c r="AC4" s="56"/>
      <c r="AD4" s="56"/>
    </row>
    <row r="5" spans="1:31" s="7" customFormat="1" ht="28.5" customHeight="1" x14ac:dyDescent="0.2">
      <c r="A5" s="15"/>
      <c r="B5" s="29" t="s">
        <v>3</v>
      </c>
      <c r="C5" s="29" t="s">
        <v>4</v>
      </c>
      <c r="D5" s="29" t="s">
        <v>5</v>
      </c>
      <c r="E5" s="29" t="s">
        <v>6</v>
      </c>
      <c r="F5" s="29" t="s">
        <v>7</v>
      </c>
      <c r="G5" s="29" t="s">
        <v>13</v>
      </c>
      <c r="H5" s="29" t="s">
        <v>8</v>
      </c>
      <c r="I5" s="29" t="s">
        <v>9</v>
      </c>
      <c r="J5" s="29" t="s">
        <v>10</v>
      </c>
      <c r="K5" s="29" t="s">
        <v>11</v>
      </c>
      <c r="L5" s="29" t="s">
        <v>12</v>
      </c>
      <c r="M5" s="29" t="s">
        <v>13</v>
      </c>
      <c r="N5" s="29" t="s">
        <v>14</v>
      </c>
      <c r="O5" s="29" t="s">
        <v>15</v>
      </c>
      <c r="P5" s="30" t="s">
        <v>16</v>
      </c>
      <c r="Q5" s="31" t="s">
        <v>17</v>
      </c>
      <c r="R5" s="30" t="s">
        <v>18</v>
      </c>
      <c r="S5" s="31" t="s">
        <v>19</v>
      </c>
      <c r="T5" s="30" t="s">
        <v>20</v>
      </c>
      <c r="U5" s="30" t="s">
        <v>21</v>
      </c>
      <c r="V5" s="29" t="s">
        <v>22</v>
      </c>
      <c r="W5" s="29" t="s">
        <v>23</v>
      </c>
      <c r="X5" s="32" t="s">
        <v>24</v>
      </c>
      <c r="Y5" s="33" t="s">
        <v>25</v>
      </c>
      <c r="Z5" s="30" t="s">
        <v>26</v>
      </c>
      <c r="AA5" s="57" t="s">
        <v>25</v>
      </c>
      <c r="AB5" s="58" t="s">
        <v>26</v>
      </c>
      <c r="AC5" s="59" t="s">
        <v>316</v>
      </c>
      <c r="AD5" s="60" t="s">
        <v>317</v>
      </c>
      <c r="AE5" s="61" t="s">
        <v>318</v>
      </c>
    </row>
    <row r="6" spans="1:31" s="12" customFormat="1" x14ac:dyDescent="0.2">
      <c r="A6" s="15"/>
      <c r="B6" s="28" t="s">
        <v>27</v>
      </c>
      <c r="C6" s="46" t="s">
        <v>60</v>
      </c>
      <c r="D6" s="28" t="s">
        <v>69</v>
      </c>
      <c r="E6" s="48" t="s">
        <v>254</v>
      </c>
      <c r="F6" s="48" t="s">
        <v>254</v>
      </c>
      <c r="G6" s="47" t="s">
        <v>251</v>
      </c>
      <c r="H6" s="47" t="s">
        <v>42</v>
      </c>
      <c r="I6" s="47" t="s">
        <v>258</v>
      </c>
      <c r="J6" s="48" t="s">
        <v>187</v>
      </c>
      <c r="K6" s="51" t="s">
        <v>70</v>
      </c>
      <c r="L6" s="51" t="s">
        <v>71</v>
      </c>
      <c r="M6" s="28" t="s">
        <v>29</v>
      </c>
      <c r="N6" s="48" t="s">
        <v>163</v>
      </c>
      <c r="O6" s="46" t="s">
        <v>30</v>
      </c>
      <c r="P6" s="13">
        <v>31.98</v>
      </c>
      <c r="Q6" s="8">
        <f t="shared" ref="Q6:Q37" si="0">IF(1-R6/P6&lt;0%,0,1-R6/P6)</f>
        <v>0.16373358348968103</v>
      </c>
      <c r="R6" s="9">
        <f t="shared" ref="R6:R37" si="1">+T6*(100%-S6)</f>
        <v>26.7438</v>
      </c>
      <c r="S6" s="16">
        <v>0.13</v>
      </c>
      <c r="T6" s="17">
        <v>30.740000000000002</v>
      </c>
      <c r="U6" s="9">
        <f t="shared" ref="U6:U37" si="2">+IF(P6-R6&lt;0,0,P6-R6)</f>
        <v>5.2362000000000002</v>
      </c>
      <c r="V6" s="38" t="str">
        <f t="shared" ref="V6:V37" si="3">+CONCATENATE(TRIM(F6),TRIM(J6),TRIM(N6))</f>
        <v>1005820140452107361444</v>
      </c>
      <c r="W6" s="10">
        <v>44531</v>
      </c>
      <c r="X6" s="11"/>
      <c r="Y6" s="18"/>
      <c r="Z6" s="19">
        <f t="shared" ref="Z6:Z37" si="4">IFERROR(U6*Y6,0)</f>
        <v>0</v>
      </c>
      <c r="AA6" s="62"/>
      <c r="AB6" s="63">
        <f>IFERROR(AA6*U6,0)</f>
        <v>0</v>
      </c>
      <c r="AC6" s="62"/>
      <c r="AD6" s="62">
        <f>IFERROR(Z6-AB6,0)</f>
        <v>0</v>
      </c>
      <c r="AE6" s="6"/>
    </row>
    <row r="7" spans="1:31" s="12" customFormat="1" x14ac:dyDescent="0.2">
      <c r="A7" s="41"/>
      <c r="B7" s="46" t="s">
        <v>27</v>
      </c>
      <c r="C7" s="46" t="s">
        <v>60</v>
      </c>
      <c r="D7" s="46" t="s">
        <v>69</v>
      </c>
      <c r="E7" s="48" t="s">
        <v>254</v>
      </c>
      <c r="F7" s="48" t="s">
        <v>254</v>
      </c>
      <c r="G7" s="47" t="s">
        <v>251</v>
      </c>
      <c r="H7" s="47" t="s">
        <v>42</v>
      </c>
      <c r="I7" s="47" t="s">
        <v>258</v>
      </c>
      <c r="J7" s="48" t="s">
        <v>187</v>
      </c>
      <c r="K7" s="51" t="s">
        <v>70</v>
      </c>
      <c r="L7" s="51" t="s">
        <v>71</v>
      </c>
      <c r="M7" s="46" t="s">
        <v>29</v>
      </c>
      <c r="N7" s="48" t="s">
        <v>162</v>
      </c>
      <c r="O7" s="46" t="s">
        <v>31</v>
      </c>
      <c r="P7" s="13">
        <v>25.86</v>
      </c>
      <c r="Q7" s="36">
        <f t="shared" si="0"/>
        <v>3.8901778808971388E-2</v>
      </c>
      <c r="R7" s="37">
        <f t="shared" si="1"/>
        <v>24.853999999999999</v>
      </c>
      <c r="S7" s="42">
        <v>0.15</v>
      </c>
      <c r="T7" s="43">
        <v>29.24</v>
      </c>
      <c r="U7" s="37">
        <f t="shared" si="2"/>
        <v>1.0060000000000002</v>
      </c>
      <c r="V7" s="38" t="str">
        <f t="shared" si="3"/>
        <v>1005820140452107361571</v>
      </c>
      <c r="W7" s="39">
        <v>44531</v>
      </c>
      <c r="X7" s="40"/>
      <c r="Y7" s="44">
        <v>35</v>
      </c>
      <c r="Z7" s="45">
        <f t="shared" si="4"/>
        <v>35.210000000000008</v>
      </c>
      <c r="AA7" s="62">
        <f>(60+80)/4</f>
        <v>35</v>
      </c>
      <c r="AB7" s="63">
        <f t="shared" ref="AB7:AB70" si="5">IFERROR(AA7*U7,0)</f>
        <v>35.210000000000008</v>
      </c>
      <c r="AC7" s="62" t="s">
        <v>319</v>
      </c>
      <c r="AD7" s="62">
        <f t="shared" ref="AD7:AD70" si="6">IFERROR(Z7-AB7,0)</f>
        <v>0</v>
      </c>
      <c r="AE7" s="6"/>
    </row>
    <row r="8" spans="1:31" s="12" customFormat="1" x14ac:dyDescent="0.2">
      <c r="A8" s="41"/>
      <c r="B8" s="46" t="s">
        <v>27</v>
      </c>
      <c r="C8" s="46" t="s">
        <v>60</v>
      </c>
      <c r="D8" s="46" t="s">
        <v>69</v>
      </c>
      <c r="E8" s="48" t="s">
        <v>254</v>
      </c>
      <c r="F8" s="48" t="s">
        <v>254</v>
      </c>
      <c r="G8" s="47" t="s">
        <v>251</v>
      </c>
      <c r="H8" s="47" t="s">
        <v>42</v>
      </c>
      <c r="I8" s="47" t="s">
        <v>258</v>
      </c>
      <c r="J8" s="48" t="s">
        <v>187</v>
      </c>
      <c r="K8" s="51" t="s">
        <v>70</v>
      </c>
      <c r="L8" s="51" t="s">
        <v>71</v>
      </c>
      <c r="M8" s="46" t="s">
        <v>34</v>
      </c>
      <c r="N8" s="48" t="s">
        <v>166</v>
      </c>
      <c r="O8" s="46" t="s">
        <v>35</v>
      </c>
      <c r="P8" s="13">
        <v>112.81</v>
      </c>
      <c r="Q8" s="36">
        <f t="shared" si="0"/>
        <v>0.24049286410779191</v>
      </c>
      <c r="R8" s="37">
        <f t="shared" si="1"/>
        <v>85.679999999999993</v>
      </c>
      <c r="S8" s="42">
        <v>0.15</v>
      </c>
      <c r="T8" s="43">
        <v>100.8</v>
      </c>
      <c r="U8" s="37">
        <f t="shared" si="2"/>
        <v>27.13000000000001</v>
      </c>
      <c r="V8" s="38" t="str">
        <f t="shared" si="3"/>
        <v>1005820140452107361531</v>
      </c>
      <c r="W8" s="39">
        <v>44531</v>
      </c>
      <c r="X8" s="40"/>
      <c r="Y8" s="44">
        <v>30</v>
      </c>
      <c r="Z8" s="45">
        <f t="shared" si="4"/>
        <v>813.90000000000032</v>
      </c>
      <c r="AA8" s="62">
        <f>(270+270)/18</f>
        <v>30</v>
      </c>
      <c r="AB8" s="63">
        <f t="shared" si="5"/>
        <v>813.90000000000032</v>
      </c>
      <c r="AC8" s="62" t="s">
        <v>319</v>
      </c>
      <c r="AD8" s="62">
        <f t="shared" si="6"/>
        <v>0</v>
      </c>
      <c r="AE8" s="6"/>
    </row>
    <row r="9" spans="1:31" s="12" customFormat="1" x14ac:dyDescent="0.2">
      <c r="A9" s="41"/>
      <c r="B9" s="46" t="s">
        <v>27</v>
      </c>
      <c r="C9" s="46" t="s">
        <v>60</v>
      </c>
      <c r="D9" s="46" t="s">
        <v>69</v>
      </c>
      <c r="E9" s="48" t="s">
        <v>254</v>
      </c>
      <c r="F9" s="48" t="s">
        <v>254</v>
      </c>
      <c r="G9" s="47" t="s">
        <v>255</v>
      </c>
      <c r="H9" s="47" t="s">
        <v>44</v>
      </c>
      <c r="I9" s="47" t="s">
        <v>64</v>
      </c>
      <c r="J9" s="48" t="s">
        <v>188</v>
      </c>
      <c r="K9" s="51" t="s">
        <v>72</v>
      </c>
      <c r="L9" s="51" t="s">
        <v>73</v>
      </c>
      <c r="M9" s="46" t="s">
        <v>29</v>
      </c>
      <c r="N9" s="48" t="s">
        <v>165</v>
      </c>
      <c r="O9" s="46" t="s">
        <v>33</v>
      </c>
      <c r="P9" s="13">
        <v>50.39</v>
      </c>
      <c r="Q9" s="36">
        <f t="shared" si="0"/>
        <v>0.46763246675927772</v>
      </c>
      <c r="R9" s="37">
        <f t="shared" si="1"/>
        <v>26.825999999999997</v>
      </c>
      <c r="S9" s="42">
        <v>0.15</v>
      </c>
      <c r="T9" s="43">
        <v>31.56</v>
      </c>
      <c r="U9" s="37">
        <f t="shared" si="2"/>
        <v>23.564000000000004</v>
      </c>
      <c r="V9" s="38" t="str">
        <f t="shared" si="3"/>
        <v>1005820100055237361540</v>
      </c>
      <c r="W9" s="39">
        <v>44531</v>
      </c>
      <c r="X9" s="40"/>
      <c r="Y9" s="44">
        <v>296</v>
      </c>
      <c r="Z9" s="45">
        <f t="shared" si="4"/>
        <v>6974.9440000000013</v>
      </c>
      <c r="AA9" s="62">
        <f>155+101+15+25</f>
        <v>296</v>
      </c>
      <c r="AB9" s="63">
        <f t="shared" si="5"/>
        <v>6974.9440000000013</v>
      </c>
      <c r="AC9" s="62" t="s">
        <v>319</v>
      </c>
      <c r="AD9" s="62">
        <f t="shared" si="6"/>
        <v>0</v>
      </c>
      <c r="AE9" s="6"/>
    </row>
    <row r="10" spans="1:31" s="12" customFormat="1" x14ac:dyDescent="0.2">
      <c r="A10" s="41"/>
      <c r="B10" s="46" t="s">
        <v>27</v>
      </c>
      <c r="C10" s="46" t="s">
        <v>60</v>
      </c>
      <c r="D10" s="46" t="s">
        <v>69</v>
      </c>
      <c r="E10" s="48" t="s">
        <v>254</v>
      </c>
      <c r="F10" s="48" t="s">
        <v>254</v>
      </c>
      <c r="G10" s="47" t="s">
        <v>255</v>
      </c>
      <c r="H10" s="47" t="s">
        <v>44</v>
      </c>
      <c r="I10" s="47" t="s">
        <v>64</v>
      </c>
      <c r="J10" s="48" t="s">
        <v>188</v>
      </c>
      <c r="K10" s="51" t="s">
        <v>72</v>
      </c>
      <c r="L10" s="51" t="s">
        <v>73</v>
      </c>
      <c r="M10" s="46" t="s">
        <v>34</v>
      </c>
      <c r="N10" s="48" t="s">
        <v>173</v>
      </c>
      <c r="O10" s="46" t="s">
        <v>47</v>
      </c>
      <c r="P10" s="13">
        <v>41.42</v>
      </c>
      <c r="Q10" s="36">
        <f t="shared" si="0"/>
        <v>0.49270883631096096</v>
      </c>
      <c r="R10" s="37">
        <f t="shared" si="1"/>
        <v>21.011999999999997</v>
      </c>
      <c r="S10" s="42">
        <v>0.15</v>
      </c>
      <c r="T10" s="43">
        <v>24.719999999999995</v>
      </c>
      <c r="U10" s="37">
        <f t="shared" si="2"/>
        <v>20.408000000000005</v>
      </c>
      <c r="V10" s="38" t="str">
        <f t="shared" si="3"/>
        <v>1005820100055237361535</v>
      </c>
      <c r="W10" s="39">
        <v>44531</v>
      </c>
      <c r="X10" s="40"/>
      <c r="Y10" s="44">
        <v>1276</v>
      </c>
      <c r="Z10" s="45">
        <f t="shared" si="4"/>
        <v>26040.608000000007</v>
      </c>
      <c r="AA10" s="62">
        <f>498+678+45+55</f>
        <v>1276</v>
      </c>
      <c r="AB10" s="63">
        <f t="shared" si="5"/>
        <v>26040.608000000007</v>
      </c>
      <c r="AC10" s="62" t="s">
        <v>319</v>
      </c>
      <c r="AD10" s="62">
        <f t="shared" si="6"/>
        <v>0</v>
      </c>
      <c r="AE10" s="6"/>
    </row>
    <row r="11" spans="1:31" s="12" customFormat="1" x14ac:dyDescent="0.2">
      <c r="A11" s="41"/>
      <c r="B11" s="46" t="s">
        <v>27</v>
      </c>
      <c r="C11" s="46" t="s">
        <v>60</v>
      </c>
      <c r="D11" s="46" t="s">
        <v>69</v>
      </c>
      <c r="E11" s="48" t="s">
        <v>254</v>
      </c>
      <c r="F11" s="48" t="s">
        <v>254</v>
      </c>
      <c r="G11" s="47" t="s">
        <v>255</v>
      </c>
      <c r="H11" s="47" t="s">
        <v>44</v>
      </c>
      <c r="I11" s="47" t="s">
        <v>64</v>
      </c>
      <c r="J11" s="48" t="s">
        <v>189</v>
      </c>
      <c r="K11" s="51" t="s">
        <v>74</v>
      </c>
      <c r="L11" s="51" t="s">
        <v>73</v>
      </c>
      <c r="M11" s="46" t="s">
        <v>29</v>
      </c>
      <c r="N11" s="48" t="s">
        <v>165</v>
      </c>
      <c r="O11" s="46" t="s">
        <v>33</v>
      </c>
      <c r="P11" s="13">
        <v>50.39</v>
      </c>
      <c r="Q11" s="36">
        <f t="shared" si="0"/>
        <v>0.46763246675927772</v>
      </c>
      <c r="R11" s="37">
        <f t="shared" si="1"/>
        <v>26.825999999999997</v>
      </c>
      <c r="S11" s="42">
        <v>0.15</v>
      </c>
      <c r="T11" s="43">
        <v>31.56</v>
      </c>
      <c r="U11" s="37">
        <f t="shared" si="2"/>
        <v>23.564000000000004</v>
      </c>
      <c r="V11" s="38" t="str">
        <f t="shared" si="3"/>
        <v>1005820417378911361540</v>
      </c>
      <c r="W11" s="39">
        <v>44531</v>
      </c>
      <c r="X11" s="40"/>
      <c r="Y11" s="44">
        <v>141</v>
      </c>
      <c r="Z11" s="45">
        <f t="shared" si="4"/>
        <v>3322.5240000000003</v>
      </c>
      <c r="AA11" s="62">
        <f>10+50+6+5+20+50</f>
        <v>141</v>
      </c>
      <c r="AB11" s="63">
        <f t="shared" si="5"/>
        <v>3322.5240000000003</v>
      </c>
      <c r="AC11" s="62" t="s">
        <v>319</v>
      </c>
      <c r="AD11" s="62">
        <f t="shared" si="6"/>
        <v>0</v>
      </c>
      <c r="AE11" s="6"/>
    </row>
    <row r="12" spans="1:31" s="12" customFormat="1" x14ac:dyDescent="0.2">
      <c r="A12" s="41"/>
      <c r="B12" s="46" t="s">
        <v>27</v>
      </c>
      <c r="C12" s="46" t="s">
        <v>60</v>
      </c>
      <c r="D12" s="46" t="s">
        <v>69</v>
      </c>
      <c r="E12" s="48" t="s">
        <v>254</v>
      </c>
      <c r="F12" s="48" t="s">
        <v>254</v>
      </c>
      <c r="G12" s="47" t="s">
        <v>255</v>
      </c>
      <c r="H12" s="47" t="s">
        <v>44</v>
      </c>
      <c r="I12" s="47" t="s">
        <v>64</v>
      </c>
      <c r="J12" s="48" t="s">
        <v>189</v>
      </c>
      <c r="K12" s="51" t="s">
        <v>74</v>
      </c>
      <c r="L12" s="51" t="s">
        <v>73</v>
      </c>
      <c r="M12" s="46" t="s">
        <v>34</v>
      </c>
      <c r="N12" s="48" t="s">
        <v>173</v>
      </c>
      <c r="O12" s="46" t="s">
        <v>47</v>
      </c>
      <c r="P12" s="13">
        <v>41.42</v>
      </c>
      <c r="Q12" s="36">
        <f t="shared" si="0"/>
        <v>0.49270883631096096</v>
      </c>
      <c r="R12" s="37">
        <f t="shared" si="1"/>
        <v>21.011999999999997</v>
      </c>
      <c r="S12" s="42">
        <v>0.15</v>
      </c>
      <c r="T12" s="43">
        <v>24.719999999999995</v>
      </c>
      <c r="U12" s="37">
        <f t="shared" si="2"/>
        <v>20.408000000000005</v>
      </c>
      <c r="V12" s="38" t="str">
        <f t="shared" si="3"/>
        <v>1005820417378911361535</v>
      </c>
      <c r="W12" s="39">
        <v>44531</v>
      </c>
      <c r="X12" s="40"/>
      <c r="Y12" s="44"/>
      <c r="Z12" s="45">
        <f t="shared" si="4"/>
        <v>0</v>
      </c>
      <c r="AA12" s="62"/>
      <c r="AB12" s="63">
        <f t="shared" si="5"/>
        <v>0</v>
      </c>
      <c r="AC12" s="62"/>
      <c r="AD12" s="62">
        <f t="shared" si="6"/>
        <v>0</v>
      </c>
      <c r="AE12" s="6"/>
    </row>
    <row r="13" spans="1:31" s="12" customFormat="1" x14ac:dyDescent="0.2">
      <c r="A13" s="41"/>
      <c r="B13" s="46" t="s">
        <v>27</v>
      </c>
      <c r="C13" s="46" t="s">
        <v>60</v>
      </c>
      <c r="D13" s="46" t="s">
        <v>69</v>
      </c>
      <c r="E13" s="48" t="s">
        <v>254</v>
      </c>
      <c r="F13" s="48" t="s">
        <v>254</v>
      </c>
      <c r="G13" s="47" t="s">
        <v>255</v>
      </c>
      <c r="H13" s="47" t="s">
        <v>44</v>
      </c>
      <c r="I13" s="47" t="s">
        <v>64</v>
      </c>
      <c r="J13" s="48" t="s">
        <v>190</v>
      </c>
      <c r="K13" s="51" t="s">
        <v>75</v>
      </c>
      <c r="L13" s="51" t="s">
        <v>73</v>
      </c>
      <c r="M13" s="46" t="s">
        <v>34</v>
      </c>
      <c r="N13" s="48" t="s">
        <v>173</v>
      </c>
      <c r="O13" s="46" t="s">
        <v>47</v>
      </c>
      <c r="P13" s="13">
        <v>41.42</v>
      </c>
      <c r="Q13" s="36">
        <f t="shared" si="0"/>
        <v>0.49270883631096096</v>
      </c>
      <c r="R13" s="37">
        <f t="shared" si="1"/>
        <v>21.011999999999997</v>
      </c>
      <c r="S13" s="42">
        <v>0.15</v>
      </c>
      <c r="T13" s="43">
        <v>24.719999999999995</v>
      </c>
      <c r="U13" s="37">
        <f t="shared" si="2"/>
        <v>20.408000000000005</v>
      </c>
      <c r="V13" s="38" t="str">
        <f t="shared" si="3"/>
        <v>1005820557345931361535</v>
      </c>
      <c r="W13" s="39">
        <v>44531</v>
      </c>
      <c r="X13" s="40"/>
      <c r="Y13" s="44"/>
      <c r="Z13" s="45">
        <f t="shared" si="4"/>
        <v>0</v>
      </c>
      <c r="AA13" s="62"/>
      <c r="AB13" s="63">
        <f t="shared" si="5"/>
        <v>0</v>
      </c>
      <c r="AC13" s="62"/>
      <c r="AD13" s="62">
        <f t="shared" si="6"/>
        <v>0</v>
      </c>
      <c r="AE13" s="6"/>
    </row>
    <row r="14" spans="1:31" s="12" customFormat="1" x14ac:dyDescent="0.2">
      <c r="A14" s="41"/>
      <c r="B14" s="46" t="s">
        <v>27</v>
      </c>
      <c r="C14" s="46" t="s">
        <v>60</v>
      </c>
      <c r="D14" s="46" t="s">
        <v>69</v>
      </c>
      <c r="E14" s="48" t="s">
        <v>254</v>
      </c>
      <c r="F14" s="48" t="s">
        <v>254</v>
      </c>
      <c r="G14" s="47" t="s">
        <v>255</v>
      </c>
      <c r="H14" s="47" t="s">
        <v>44</v>
      </c>
      <c r="I14" s="47" t="s">
        <v>64</v>
      </c>
      <c r="J14" s="48" t="s">
        <v>191</v>
      </c>
      <c r="K14" s="51" t="s">
        <v>76</v>
      </c>
      <c r="L14" s="51" t="s">
        <v>73</v>
      </c>
      <c r="M14" s="46" t="s">
        <v>29</v>
      </c>
      <c r="N14" s="48" t="s">
        <v>165</v>
      </c>
      <c r="O14" s="46" t="s">
        <v>33</v>
      </c>
      <c r="P14" s="13">
        <v>50.39</v>
      </c>
      <c r="Q14" s="36">
        <f t="shared" si="0"/>
        <v>0.32121452669180395</v>
      </c>
      <c r="R14" s="37">
        <f t="shared" si="1"/>
        <v>34.204000000000001</v>
      </c>
      <c r="S14" s="42">
        <v>0.15</v>
      </c>
      <c r="T14" s="43">
        <v>40.24</v>
      </c>
      <c r="U14" s="37">
        <f t="shared" si="2"/>
        <v>16.186</v>
      </c>
      <c r="V14" s="38" t="str">
        <f t="shared" si="3"/>
        <v>1005820552764804361540</v>
      </c>
      <c r="W14" s="39">
        <v>44531</v>
      </c>
      <c r="X14" s="40"/>
      <c r="Y14" s="44">
        <v>24</v>
      </c>
      <c r="Z14" s="45">
        <f t="shared" si="4"/>
        <v>388.464</v>
      </c>
      <c r="AA14" s="62">
        <f>96/4</f>
        <v>24</v>
      </c>
      <c r="AB14" s="63">
        <f t="shared" si="5"/>
        <v>388.464</v>
      </c>
      <c r="AC14" s="62" t="s">
        <v>319</v>
      </c>
      <c r="AD14" s="62">
        <f t="shared" si="6"/>
        <v>0</v>
      </c>
      <c r="AE14" s="6"/>
    </row>
    <row r="15" spans="1:31" s="12" customFormat="1" x14ac:dyDescent="0.2">
      <c r="A15" s="41"/>
      <c r="B15" s="46" t="s">
        <v>27</v>
      </c>
      <c r="C15" s="46" t="s">
        <v>60</v>
      </c>
      <c r="D15" s="46" t="s">
        <v>69</v>
      </c>
      <c r="E15" s="48" t="s">
        <v>254</v>
      </c>
      <c r="F15" s="48" t="s">
        <v>254</v>
      </c>
      <c r="G15" s="47" t="s">
        <v>255</v>
      </c>
      <c r="H15" s="47" t="s">
        <v>44</v>
      </c>
      <c r="I15" s="47" t="s">
        <v>64</v>
      </c>
      <c r="J15" s="48" t="s">
        <v>191</v>
      </c>
      <c r="K15" s="51" t="s">
        <v>76</v>
      </c>
      <c r="L15" s="51" t="s">
        <v>73</v>
      </c>
      <c r="M15" s="46" t="s">
        <v>34</v>
      </c>
      <c r="N15" s="48" t="s">
        <v>166</v>
      </c>
      <c r="O15" s="46" t="s">
        <v>35</v>
      </c>
      <c r="P15" s="13">
        <v>112.81</v>
      </c>
      <c r="Q15" s="36">
        <f t="shared" si="0"/>
        <v>0.3652690364329404</v>
      </c>
      <c r="R15" s="37">
        <f t="shared" si="1"/>
        <v>71.603999999999999</v>
      </c>
      <c r="S15" s="42">
        <v>0.15</v>
      </c>
      <c r="T15" s="43">
        <v>84.24</v>
      </c>
      <c r="U15" s="37">
        <f t="shared" si="2"/>
        <v>41.206000000000003</v>
      </c>
      <c r="V15" s="38" t="str">
        <f t="shared" si="3"/>
        <v>1005820552764804361531</v>
      </c>
      <c r="W15" s="39">
        <v>44531</v>
      </c>
      <c r="X15" s="40"/>
      <c r="Y15" s="44">
        <v>12</v>
      </c>
      <c r="Z15" s="45">
        <f t="shared" si="4"/>
        <v>494.47200000000004</v>
      </c>
      <c r="AA15" s="62">
        <f>216/18</f>
        <v>12</v>
      </c>
      <c r="AB15" s="63">
        <f t="shared" si="5"/>
        <v>494.47200000000004</v>
      </c>
      <c r="AC15" s="62" t="s">
        <v>319</v>
      </c>
      <c r="AD15" s="62">
        <f t="shared" si="6"/>
        <v>0</v>
      </c>
      <c r="AE15" s="6"/>
    </row>
    <row r="16" spans="1:31" s="12" customFormat="1" x14ac:dyDescent="0.2">
      <c r="A16" s="41"/>
      <c r="B16" s="46" t="s">
        <v>27</v>
      </c>
      <c r="C16" s="46" t="s">
        <v>60</v>
      </c>
      <c r="D16" s="46" t="s">
        <v>69</v>
      </c>
      <c r="E16" s="48" t="s">
        <v>254</v>
      </c>
      <c r="F16" s="48" t="s">
        <v>254</v>
      </c>
      <c r="G16" s="47" t="s">
        <v>251</v>
      </c>
      <c r="H16" s="47" t="s">
        <v>68</v>
      </c>
      <c r="I16" s="47" t="s">
        <v>259</v>
      </c>
      <c r="J16" s="48" t="s">
        <v>192</v>
      </c>
      <c r="K16" s="51" t="s">
        <v>77</v>
      </c>
      <c r="L16" s="51" t="s">
        <v>78</v>
      </c>
      <c r="M16" s="46" t="s">
        <v>29</v>
      </c>
      <c r="N16" s="48" t="s">
        <v>162</v>
      </c>
      <c r="O16" s="46" t="s">
        <v>31</v>
      </c>
      <c r="P16" s="13">
        <v>25.86</v>
      </c>
      <c r="Q16" s="36">
        <f t="shared" si="0"/>
        <v>0.17826759474091258</v>
      </c>
      <c r="R16" s="37">
        <f t="shared" si="1"/>
        <v>21.25</v>
      </c>
      <c r="S16" s="42">
        <v>0.15</v>
      </c>
      <c r="T16" s="43">
        <v>25</v>
      </c>
      <c r="U16" s="37">
        <f t="shared" si="2"/>
        <v>4.6099999999999994</v>
      </c>
      <c r="V16" s="38" t="str">
        <f t="shared" si="3"/>
        <v>1005820603817185361571</v>
      </c>
      <c r="W16" s="39">
        <v>44531</v>
      </c>
      <c r="X16" s="40"/>
      <c r="Y16" s="44"/>
      <c r="Z16" s="45">
        <f t="shared" si="4"/>
        <v>0</v>
      </c>
      <c r="AA16" s="62"/>
      <c r="AB16" s="63">
        <f t="shared" si="5"/>
        <v>0</v>
      </c>
      <c r="AC16" s="62"/>
      <c r="AD16" s="62">
        <f t="shared" si="6"/>
        <v>0</v>
      </c>
      <c r="AE16" s="6"/>
    </row>
    <row r="17" spans="1:31" s="12" customFormat="1" x14ac:dyDescent="0.2">
      <c r="A17" s="41"/>
      <c r="B17" s="46" t="s">
        <v>27</v>
      </c>
      <c r="C17" s="46" t="s">
        <v>60</v>
      </c>
      <c r="D17" s="46" t="s">
        <v>69</v>
      </c>
      <c r="E17" s="48" t="s">
        <v>254</v>
      </c>
      <c r="F17" s="48" t="s">
        <v>254</v>
      </c>
      <c r="G17" s="47" t="s">
        <v>251</v>
      </c>
      <c r="H17" s="47" t="s">
        <v>68</v>
      </c>
      <c r="I17" s="47" t="s">
        <v>259</v>
      </c>
      <c r="J17" s="48" t="s">
        <v>192</v>
      </c>
      <c r="K17" s="51" t="s">
        <v>77</v>
      </c>
      <c r="L17" s="51" t="s">
        <v>78</v>
      </c>
      <c r="M17" s="46" t="s">
        <v>34</v>
      </c>
      <c r="N17" s="48" t="s">
        <v>173</v>
      </c>
      <c r="O17" s="46" t="s">
        <v>47</v>
      </c>
      <c r="P17" s="13">
        <v>41.42</v>
      </c>
      <c r="Q17" s="36">
        <f t="shared" si="0"/>
        <v>0.53949782713664896</v>
      </c>
      <c r="R17" s="37">
        <f t="shared" si="1"/>
        <v>19.074000000000002</v>
      </c>
      <c r="S17" s="42">
        <v>0.15</v>
      </c>
      <c r="T17" s="43">
        <v>22.44</v>
      </c>
      <c r="U17" s="37">
        <f t="shared" si="2"/>
        <v>22.346</v>
      </c>
      <c r="V17" s="38" t="str">
        <f t="shared" si="3"/>
        <v>1005820603817185361535</v>
      </c>
      <c r="W17" s="39">
        <v>44531</v>
      </c>
      <c r="X17" s="40"/>
      <c r="Y17" s="44"/>
      <c r="Z17" s="45">
        <f t="shared" si="4"/>
        <v>0</v>
      </c>
      <c r="AA17" s="62"/>
      <c r="AB17" s="63">
        <f t="shared" si="5"/>
        <v>0</v>
      </c>
      <c r="AC17" s="62"/>
      <c r="AD17" s="62">
        <f t="shared" si="6"/>
        <v>0</v>
      </c>
      <c r="AE17" s="6"/>
    </row>
    <row r="18" spans="1:31" s="12" customFormat="1" x14ac:dyDescent="0.2">
      <c r="A18" s="41"/>
      <c r="B18" s="46" t="s">
        <v>27</v>
      </c>
      <c r="C18" s="46" t="s">
        <v>60</v>
      </c>
      <c r="D18" s="46" t="s">
        <v>69</v>
      </c>
      <c r="E18" s="48" t="s">
        <v>254</v>
      </c>
      <c r="F18" s="48" t="s">
        <v>254</v>
      </c>
      <c r="G18" s="47" t="s">
        <v>251</v>
      </c>
      <c r="H18" s="47" t="s">
        <v>68</v>
      </c>
      <c r="I18" s="47" t="s">
        <v>259</v>
      </c>
      <c r="J18" s="48" t="s">
        <v>193</v>
      </c>
      <c r="K18" s="51" t="s">
        <v>79</v>
      </c>
      <c r="L18" s="51" t="s">
        <v>78</v>
      </c>
      <c r="M18" s="46" t="s">
        <v>29</v>
      </c>
      <c r="N18" s="48" t="s">
        <v>162</v>
      </c>
      <c r="O18" s="46" t="s">
        <v>31</v>
      </c>
      <c r="P18" s="13">
        <v>25.86</v>
      </c>
      <c r="Q18" s="36">
        <f t="shared" si="0"/>
        <v>0.17826759474091258</v>
      </c>
      <c r="R18" s="37">
        <f t="shared" si="1"/>
        <v>21.25</v>
      </c>
      <c r="S18" s="42">
        <v>0.15</v>
      </c>
      <c r="T18" s="43">
        <v>25</v>
      </c>
      <c r="U18" s="37">
        <f t="shared" si="2"/>
        <v>4.6099999999999994</v>
      </c>
      <c r="V18" s="38" t="str">
        <f t="shared" si="3"/>
        <v>1005820520869655361571</v>
      </c>
      <c r="W18" s="39">
        <v>44531</v>
      </c>
      <c r="X18" s="40"/>
      <c r="Y18" s="44"/>
      <c r="Z18" s="45">
        <f t="shared" si="4"/>
        <v>0</v>
      </c>
      <c r="AA18" s="62"/>
      <c r="AB18" s="63">
        <f t="shared" si="5"/>
        <v>0</v>
      </c>
      <c r="AC18" s="62"/>
      <c r="AD18" s="62">
        <f t="shared" si="6"/>
        <v>0</v>
      </c>
      <c r="AE18" s="6"/>
    </row>
    <row r="19" spans="1:31" s="12" customFormat="1" x14ac:dyDescent="0.2">
      <c r="A19" s="41"/>
      <c r="B19" s="46" t="s">
        <v>27</v>
      </c>
      <c r="C19" s="46" t="s">
        <v>60</v>
      </c>
      <c r="D19" s="46" t="s">
        <v>69</v>
      </c>
      <c r="E19" s="48" t="s">
        <v>254</v>
      </c>
      <c r="F19" s="48" t="s">
        <v>254</v>
      </c>
      <c r="G19" s="47" t="s">
        <v>251</v>
      </c>
      <c r="H19" s="47" t="s">
        <v>68</v>
      </c>
      <c r="I19" s="47" t="s">
        <v>259</v>
      </c>
      <c r="J19" s="48" t="s">
        <v>193</v>
      </c>
      <c r="K19" s="51" t="s">
        <v>79</v>
      </c>
      <c r="L19" s="51" t="s">
        <v>78</v>
      </c>
      <c r="M19" s="46" t="s">
        <v>34</v>
      </c>
      <c r="N19" s="48" t="s">
        <v>173</v>
      </c>
      <c r="O19" s="46" t="s">
        <v>47</v>
      </c>
      <c r="P19" s="13">
        <v>41.42</v>
      </c>
      <c r="Q19" s="36">
        <f t="shared" si="0"/>
        <v>0.53949782713664896</v>
      </c>
      <c r="R19" s="37">
        <f t="shared" si="1"/>
        <v>19.074000000000002</v>
      </c>
      <c r="S19" s="42">
        <v>0.15</v>
      </c>
      <c r="T19" s="43">
        <v>22.44</v>
      </c>
      <c r="U19" s="37">
        <f t="shared" si="2"/>
        <v>22.346</v>
      </c>
      <c r="V19" s="38" t="str">
        <f t="shared" si="3"/>
        <v>1005820520869655361535</v>
      </c>
      <c r="W19" s="39">
        <v>44531</v>
      </c>
      <c r="X19" s="40"/>
      <c r="Y19" s="44"/>
      <c r="Z19" s="45">
        <f t="shared" si="4"/>
        <v>0</v>
      </c>
      <c r="AA19" s="62"/>
      <c r="AB19" s="63">
        <f t="shared" si="5"/>
        <v>0</v>
      </c>
      <c r="AC19" s="62"/>
      <c r="AD19" s="62">
        <f t="shared" si="6"/>
        <v>0</v>
      </c>
      <c r="AE19" s="6"/>
    </row>
    <row r="20" spans="1:31" s="12" customFormat="1" x14ac:dyDescent="0.2">
      <c r="A20" s="41"/>
      <c r="B20" s="46" t="s">
        <v>27</v>
      </c>
      <c r="C20" s="46" t="s">
        <v>60</v>
      </c>
      <c r="D20" s="46" t="s">
        <v>69</v>
      </c>
      <c r="E20" s="48" t="s">
        <v>254</v>
      </c>
      <c r="F20" s="48" t="s">
        <v>254</v>
      </c>
      <c r="G20" s="47" t="s">
        <v>251</v>
      </c>
      <c r="H20" s="47" t="s">
        <v>68</v>
      </c>
      <c r="I20" s="47" t="s">
        <v>259</v>
      </c>
      <c r="J20" s="48" t="s">
        <v>194</v>
      </c>
      <c r="K20" s="51" t="s">
        <v>80</v>
      </c>
      <c r="L20" s="51" t="s">
        <v>78</v>
      </c>
      <c r="M20" s="46" t="s">
        <v>29</v>
      </c>
      <c r="N20" s="48" t="s">
        <v>162</v>
      </c>
      <c r="O20" s="46" t="s">
        <v>31</v>
      </c>
      <c r="P20" s="13">
        <v>25.86</v>
      </c>
      <c r="Q20" s="36">
        <f t="shared" si="0"/>
        <v>0.18484145398298535</v>
      </c>
      <c r="R20" s="37">
        <f t="shared" si="1"/>
        <v>21.08</v>
      </c>
      <c r="S20" s="42">
        <v>0.15</v>
      </c>
      <c r="T20" s="43">
        <v>24.799999999999997</v>
      </c>
      <c r="U20" s="37">
        <f t="shared" si="2"/>
        <v>4.7800000000000011</v>
      </c>
      <c r="V20" s="38" t="str">
        <f t="shared" si="3"/>
        <v>1005820544705688361571</v>
      </c>
      <c r="W20" s="39">
        <v>44531</v>
      </c>
      <c r="X20" s="40"/>
      <c r="Y20" s="44"/>
      <c r="Z20" s="45">
        <f t="shared" si="4"/>
        <v>0</v>
      </c>
      <c r="AA20" s="62"/>
      <c r="AB20" s="63">
        <f t="shared" si="5"/>
        <v>0</v>
      </c>
      <c r="AC20" s="62"/>
      <c r="AD20" s="62">
        <f t="shared" si="6"/>
        <v>0</v>
      </c>
      <c r="AE20" s="6"/>
    </row>
    <row r="21" spans="1:31" s="12" customFormat="1" x14ac:dyDescent="0.2">
      <c r="A21" s="41"/>
      <c r="B21" s="46" t="s">
        <v>27</v>
      </c>
      <c r="C21" s="46" t="s">
        <v>60</v>
      </c>
      <c r="D21" s="46" t="s">
        <v>69</v>
      </c>
      <c r="E21" s="48" t="s">
        <v>254</v>
      </c>
      <c r="F21" s="48" t="s">
        <v>254</v>
      </c>
      <c r="G21" s="47" t="s">
        <v>251</v>
      </c>
      <c r="H21" s="47" t="s">
        <v>68</v>
      </c>
      <c r="I21" s="47" t="s">
        <v>259</v>
      </c>
      <c r="J21" s="48" t="s">
        <v>194</v>
      </c>
      <c r="K21" s="51" t="s">
        <v>80</v>
      </c>
      <c r="L21" s="51" t="s">
        <v>78</v>
      </c>
      <c r="M21" s="46" t="s">
        <v>34</v>
      </c>
      <c r="N21" s="48" t="s">
        <v>173</v>
      </c>
      <c r="O21" s="46" t="s">
        <v>47</v>
      </c>
      <c r="P21" s="13">
        <v>41.42</v>
      </c>
      <c r="Q21" s="36">
        <f t="shared" si="0"/>
        <v>0.53949782713664896</v>
      </c>
      <c r="R21" s="37">
        <f t="shared" si="1"/>
        <v>19.074000000000002</v>
      </c>
      <c r="S21" s="42">
        <v>0.15</v>
      </c>
      <c r="T21" s="43">
        <v>22.44</v>
      </c>
      <c r="U21" s="37">
        <f t="shared" si="2"/>
        <v>22.346</v>
      </c>
      <c r="V21" s="38" t="str">
        <f t="shared" si="3"/>
        <v>1005820544705688361535</v>
      </c>
      <c r="W21" s="39">
        <v>44531</v>
      </c>
      <c r="X21" s="40"/>
      <c r="Y21" s="44"/>
      <c r="Z21" s="45">
        <f t="shared" si="4"/>
        <v>0</v>
      </c>
      <c r="AA21" s="62"/>
      <c r="AB21" s="63">
        <f t="shared" si="5"/>
        <v>0</v>
      </c>
      <c r="AC21" s="62"/>
      <c r="AD21" s="62">
        <f t="shared" si="6"/>
        <v>0</v>
      </c>
      <c r="AE21" s="6"/>
    </row>
    <row r="22" spans="1:31" s="12" customFormat="1" x14ac:dyDescent="0.2">
      <c r="A22" s="41"/>
      <c r="B22" s="46" t="s">
        <v>27</v>
      </c>
      <c r="C22" s="46" t="s">
        <v>60</v>
      </c>
      <c r="D22" s="46" t="s">
        <v>69</v>
      </c>
      <c r="E22" s="48" t="s">
        <v>254</v>
      </c>
      <c r="F22" s="48" t="s">
        <v>254</v>
      </c>
      <c r="G22" s="47" t="s">
        <v>251</v>
      </c>
      <c r="H22" s="47" t="s">
        <v>81</v>
      </c>
      <c r="I22" s="47" t="s">
        <v>155</v>
      </c>
      <c r="J22" s="48" t="s">
        <v>195</v>
      </c>
      <c r="K22" s="51" t="s">
        <v>82</v>
      </c>
      <c r="L22" s="51" t="s">
        <v>83</v>
      </c>
      <c r="M22" s="46" t="s">
        <v>28</v>
      </c>
      <c r="N22" s="48" t="s">
        <v>267</v>
      </c>
      <c r="O22" s="46" t="s">
        <v>266</v>
      </c>
      <c r="P22" s="13">
        <v>54.03</v>
      </c>
      <c r="Q22" s="36">
        <f t="shared" si="0"/>
        <v>0.220007403294466</v>
      </c>
      <c r="R22" s="37">
        <f t="shared" si="1"/>
        <v>42.143000000000001</v>
      </c>
      <c r="S22" s="42">
        <v>0.15</v>
      </c>
      <c r="T22" s="43">
        <v>49.580000000000005</v>
      </c>
      <c r="U22" s="37">
        <f t="shared" si="2"/>
        <v>11.887</v>
      </c>
      <c r="V22" s="38" t="str">
        <f t="shared" si="3"/>
        <v>1005820107695584361311</v>
      </c>
      <c r="W22" s="39">
        <v>44531</v>
      </c>
      <c r="X22" s="40"/>
      <c r="Y22" s="44">
        <v>60</v>
      </c>
      <c r="Z22" s="45">
        <f t="shared" si="4"/>
        <v>713.22</v>
      </c>
      <c r="AA22" s="62">
        <f>9+31+20</f>
        <v>60</v>
      </c>
      <c r="AB22" s="63">
        <f t="shared" si="5"/>
        <v>713.22</v>
      </c>
      <c r="AC22" s="62" t="s">
        <v>319</v>
      </c>
      <c r="AD22" s="62">
        <f t="shared" si="6"/>
        <v>0</v>
      </c>
      <c r="AE22" s="6"/>
    </row>
    <row r="23" spans="1:31" s="12" customFormat="1" x14ac:dyDescent="0.2">
      <c r="A23" s="41"/>
      <c r="B23" s="46" t="s">
        <v>27</v>
      </c>
      <c r="C23" s="46" t="s">
        <v>60</v>
      </c>
      <c r="D23" s="46" t="s">
        <v>69</v>
      </c>
      <c r="E23" s="48" t="s">
        <v>254</v>
      </c>
      <c r="F23" s="48" t="s">
        <v>254</v>
      </c>
      <c r="G23" s="47" t="s">
        <v>251</v>
      </c>
      <c r="H23" s="47" t="s">
        <v>81</v>
      </c>
      <c r="I23" s="47" t="s">
        <v>155</v>
      </c>
      <c r="J23" s="48" t="s">
        <v>195</v>
      </c>
      <c r="K23" s="51" t="s">
        <v>82</v>
      </c>
      <c r="L23" s="51" t="s">
        <v>83</v>
      </c>
      <c r="M23" s="46" t="s">
        <v>34</v>
      </c>
      <c r="N23" s="48" t="s">
        <v>167</v>
      </c>
      <c r="O23" s="46" t="s">
        <v>36</v>
      </c>
      <c r="P23" s="13">
        <v>26.44</v>
      </c>
      <c r="Q23" s="36">
        <f t="shared" si="0"/>
        <v>8.0559757942511356E-2</v>
      </c>
      <c r="R23" s="37">
        <f t="shared" si="1"/>
        <v>24.310000000000002</v>
      </c>
      <c r="S23" s="42">
        <v>0.15</v>
      </c>
      <c r="T23" s="43">
        <v>28.600000000000005</v>
      </c>
      <c r="U23" s="37">
        <f t="shared" si="2"/>
        <v>2.129999999999999</v>
      </c>
      <c r="V23" s="38" t="str">
        <f t="shared" si="3"/>
        <v>1005820107695584361532</v>
      </c>
      <c r="W23" s="39">
        <v>44531</v>
      </c>
      <c r="X23" s="40"/>
      <c r="Y23" s="44">
        <v>420</v>
      </c>
      <c r="Z23" s="45">
        <f t="shared" si="4"/>
        <v>894.59999999999957</v>
      </c>
      <c r="AA23" s="62">
        <f>(440+400)/2</f>
        <v>420</v>
      </c>
      <c r="AB23" s="63">
        <f t="shared" si="5"/>
        <v>894.59999999999957</v>
      </c>
      <c r="AC23" s="62" t="s">
        <v>319</v>
      </c>
      <c r="AD23" s="62">
        <f t="shared" si="6"/>
        <v>0</v>
      </c>
      <c r="AE23" s="6"/>
    </row>
    <row r="24" spans="1:31" s="12" customFormat="1" x14ac:dyDescent="0.2">
      <c r="A24" s="41"/>
      <c r="B24" s="46" t="s">
        <v>27</v>
      </c>
      <c r="C24" s="46" t="s">
        <v>60</v>
      </c>
      <c r="D24" s="46" t="s">
        <v>69</v>
      </c>
      <c r="E24" s="48" t="s">
        <v>254</v>
      </c>
      <c r="F24" s="48" t="s">
        <v>254</v>
      </c>
      <c r="G24" s="47" t="s">
        <v>251</v>
      </c>
      <c r="H24" s="47" t="s">
        <v>68</v>
      </c>
      <c r="I24" s="47" t="s">
        <v>252</v>
      </c>
      <c r="J24" s="48" t="s">
        <v>196</v>
      </c>
      <c r="K24" s="51" t="s">
        <v>84</v>
      </c>
      <c r="L24" s="51" t="s">
        <v>85</v>
      </c>
      <c r="M24" s="46" t="s">
        <v>29</v>
      </c>
      <c r="N24" s="48" t="s">
        <v>165</v>
      </c>
      <c r="O24" s="46" t="s">
        <v>33</v>
      </c>
      <c r="P24" s="13">
        <v>50.39</v>
      </c>
      <c r="Q24" s="36">
        <f t="shared" si="0"/>
        <v>0.16332605675729317</v>
      </c>
      <c r="R24" s="37">
        <f t="shared" si="1"/>
        <v>42.16</v>
      </c>
      <c r="S24" s="42">
        <v>0.15</v>
      </c>
      <c r="T24" s="43">
        <v>49.599999999999994</v>
      </c>
      <c r="U24" s="37">
        <f t="shared" si="2"/>
        <v>8.230000000000004</v>
      </c>
      <c r="V24" s="38" t="str">
        <f t="shared" si="3"/>
        <v>1005820107314378361540</v>
      </c>
      <c r="W24" s="39">
        <v>44531</v>
      </c>
      <c r="X24" s="40"/>
      <c r="Y24" s="44"/>
      <c r="Z24" s="45">
        <f t="shared" si="4"/>
        <v>0</v>
      </c>
      <c r="AA24" s="62"/>
      <c r="AB24" s="63">
        <f t="shared" si="5"/>
        <v>0</v>
      </c>
      <c r="AC24" s="62"/>
      <c r="AD24" s="62">
        <f t="shared" si="6"/>
        <v>0</v>
      </c>
      <c r="AE24" s="6"/>
    </row>
    <row r="25" spans="1:31" s="12" customFormat="1" x14ac:dyDescent="0.2">
      <c r="A25" s="41"/>
      <c r="B25" s="46" t="s">
        <v>27</v>
      </c>
      <c r="C25" s="46" t="s">
        <v>60</v>
      </c>
      <c r="D25" s="46" t="s">
        <v>69</v>
      </c>
      <c r="E25" s="48" t="s">
        <v>254</v>
      </c>
      <c r="F25" s="48" t="s">
        <v>254</v>
      </c>
      <c r="G25" s="47" t="s">
        <v>251</v>
      </c>
      <c r="H25" s="47" t="s">
        <v>68</v>
      </c>
      <c r="I25" s="47" t="s">
        <v>252</v>
      </c>
      <c r="J25" s="48" t="s">
        <v>196</v>
      </c>
      <c r="K25" s="51" t="s">
        <v>84</v>
      </c>
      <c r="L25" s="51" t="s">
        <v>85</v>
      </c>
      <c r="M25" s="46" t="s">
        <v>34</v>
      </c>
      <c r="N25" s="48" t="s">
        <v>178</v>
      </c>
      <c r="O25" s="46" t="s">
        <v>53</v>
      </c>
      <c r="P25" s="13">
        <v>70.59</v>
      </c>
      <c r="Q25" s="36">
        <f t="shared" si="0"/>
        <v>0.1812545061283346</v>
      </c>
      <c r="R25" s="37">
        <f t="shared" si="1"/>
        <v>57.795244412400862</v>
      </c>
      <c r="S25" s="42">
        <v>0.15</v>
      </c>
      <c r="T25" s="43">
        <v>67.99440519105984</v>
      </c>
      <c r="U25" s="37">
        <f t="shared" si="2"/>
        <v>12.794755587599141</v>
      </c>
      <c r="V25" s="38" t="str">
        <f t="shared" si="3"/>
        <v>1005820107314378361533</v>
      </c>
      <c r="W25" s="39">
        <v>44531</v>
      </c>
      <c r="X25" s="40"/>
      <c r="Y25" s="44"/>
      <c r="Z25" s="45">
        <f t="shared" si="4"/>
        <v>0</v>
      </c>
      <c r="AA25" s="62"/>
      <c r="AB25" s="63">
        <f t="shared" si="5"/>
        <v>0</v>
      </c>
      <c r="AC25" s="62"/>
      <c r="AD25" s="62">
        <f t="shared" si="6"/>
        <v>0</v>
      </c>
      <c r="AE25" s="6"/>
    </row>
    <row r="26" spans="1:31" s="12" customFormat="1" x14ac:dyDescent="0.2">
      <c r="A26" s="41"/>
      <c r="B26" s="46" t="s">
        <v>27</v>
      </c>
      <c r="C26" s="46" t="s">
        <v>60</v>
      </c>
      <c r="D26" s="46" t="s">
        <v>69</v>
      </c>
      <c r="E26" s="48" t="s">
        <v>254</v>
      </c>
      <c r="F26" s="48" t="s">
        <v>254</v>
      </c>
      <c r="G26" s="47" t="s">
        <v>253</v>
      </c>
      <c r="H26" s="47" t="s">
        <v>44</v>
      </c>
      <c r="I26" s="47" t="s">
        <v>59</v>
      </c>
      <c r="J26" s="48" t="s">
        <v>197</v>
      </c>
      <c r="K26" s="51" t="s">
        <v>86</v>
      </c>
      <c r="L26" s="51" t="s">
        <v>87</v>
      </c>
      <c r="M26" s="46" t="s">
        <v>29</v>
      </c>
      <c r="N26" s="49" t="s">
        <v>172</v>
      </c>
      <c r="O26" s="50" t="s">
        <v>46</v>
      </c>
      <c r="P26" s="13">
        <v>11.89</v>
      </c>
      <c r="Q26" s="36">
        <f t="shared" si="0"/>
        <v>0.19932716568545006</v>
      </c>
      <c r="R26" s="37">
        <f t="shared" si="1"/>
        <v>9.52</v>
      </c>
      <c r="S26" s="42">
        <v>0.15</v>
      </c>
      <c r="T26" s="43">
        <v>11.2</v>
      </c>
      <c r="U26" s="37">
        <f t="shared" si="2"/>
        <v>2.370000000000001</v>
      </c>
      <c r="V26" s="38" t="str">
        <f t="shared" si="3"/>
        <v>1005820133530003361085</v>
      </c>
      <c r="W26" s="39">
        <v>44531</v>
      </c>
      <c r="X26" s="40"/>
      <c r="Y26" s="44">
        <v>70</v>
      </c>
      <c r="Z26" s="45">
        <f t="shared" si="4"/>
        <v>165.90000000000006</v>
      </c>
      <c r="AA26" s="62">
        <f>30+40</f>
        <v>70</v>
      </c>
      <c r="AB26" s="63">
        <f t="shared" si="5"/>
        <v>165.90000000000006</v>
      </c>
      <c r="AC26" s="62" t="s">
        <v>319</v>
      </c>
      <c r="AD26" s="62">
        <f t="shared" si="6"/>
        <v>0</v>
      </c>
      <c r="AE26" s="6"/>
    </row>
    <row r="27" spans="1:31" s="12" customFormat="1" x14ac:dyDescent="0.2">
      <c r="A27" s="41"/>
      <c r="B27" s="46" t="s">
        <v>27</v>
      </c>
      <c r="C27" s="46" t="s">
        <v>60</v>
      </c>
      <c r="D27" s="46" t="s">
        <v>69</v>
      </c>
      <c r="E27" s="48" t="s">
        <v>254</v>
      </c>
      <c r="F27" s="48" t="s">
        <v>254</v>
      </c>
      <c r="G27" s="47" t="s">
        <v>253</v>
      </c>
      <c r="H27" s="47" t="s">
        <v>44</v>
      </c>
      <c r="I27" s="47" t="s">
        <v>59</v>
      </c>
      <c r="J27" s="48" t="s">
        <v>197</v>
      </c>
      <c r="K27" s="51" t="s">
        <v>86</v>
      </c>
      <c r="L27" s="51" t="s">
        <v>87</v>
      </c>
      <c r="M27" s="46" t="s">
        <v>29</v>
      </c>
      <c r="N27" s="48" t="s">
        <v>162</v>
      </c>
      <c r="O27" s="46" t="s">
        <v>31</v>
      </c>
      <c r="P27" s="13">
        <v>25.86</v>
      </c>
      <c r="Q27" s="36">
        <f t="shared" si="0"/>
        <v>2.706883217324052E-2</v>
      </c>
      <c r="R27" s="37">
        <f t="shared" si="1"/>
        <v>25.16</v>
      </c>
      <c r="S27" s="42">
        <v>0.15</v>
      </c>
      <c r="T27" s="43">
        <v>29.6</v>
      </c>
      <c r="U27" s="37">
        <f t="shared" si="2"/>
        <v>0.69999999999999929</v>
      </c>
      <c r="V27" s="38" t="str">
        <f t="shared" si="3"/>
        <v>1005820133530003361571</v>
      </c>
      <c r="W27" s="39">
        <v>44531</v>
      </c>
      <c r="X27" s="40"/>
      <c r="Y27" s="44"/>
      <c r="Z27" s="45">
        <f t="shared" si="4"/>
        <v>0</v>
      </c>
      <c r="AA27" s="62"/>
      <c r="AB27" s="63">
        <f t="shared" si="5"/>
        <v>0</v>
      </c>
      <c r="AC27" s="62"/>
      <c r="AD27" s="62">
        <f t="shared" si="6"/>
        <v>0</v>
      </c>
      <c r="AE27" s="6"/>
    </row>
    <row r="28" spans="1:31" s="12" customFormat="1" x14ac:dyDescent="0.2">
      <c r="A28" s="41"/>
      <c r="B28" s="46" t="s">
        <v>27</v>
      </c>
      <c r="C28" s="46" t="s">
        <v>60</v>
      </c>
      <c r="D28" s="46" t="s">
        <v>69</v>
      </c>
      <c r="E28" s="48" t="s">
        <v>254</v>
      </c>
      <c r="F28" s="48" t="s">
        <v>254</v>
      </c>
      <c r="G28" s="47" t="s">
        <v>253</v>
      </c>
      <c r="H28" s="47" t="s">
        <v>44</v>
      </c>
      <c r="I28" s="47" t="s">
        <v>59</v>
      </c>
      <c r="J28" s="48" t="s">
        <v>197</v>
      </c>
      <c r="K28" s="51" t="s">
        <v>86</v>
      </c>
      <c r="L28" s="51" t="s">
        <v>87</v>
      </c>
      <c r="M28" s="46" t="s">
        <v>34</v>
      </c>
      <c r="N28" s="48" t="s">
        <v>180</v>
      </c>
      <c r="O28" s="46" t="s">
        <v>55</v>
      </c>
      <c r="P28" s="13">
        <v>119.29</v>
      </c>
      <c r="Q28" s="36">
        <f t="shared" si="0"/>
        <v>0.21120798055159695</v>
      </c>
      <c r="R28" s="37">
        <f t="shared" si="1"/>
        <v>94.094999999999999</v>
      </c>
      <c r="S28" s="42">
        <v>0.15</v>
      </c>
      <c r="T28" s="43">
        <v>110.7</v>
      </c>
      <c r="U28" s="37">
        <f t="shared" si="2"/>
        <v>25.195000000000007</v>
      </c>
      <c r="V28" s="38" t="str">
        <f t="shared" si="3"/>
        <v>1005820133530003360484</v>
      </c>
      <c r="W28" s="39">
        <v>44531</v>
      </c>
      <c r="X28" s="40"/>
      <c r="Y28" s="44">
        <v>10</v>
      </c>
      <c r="Z28" s="45">
        <f t="shared" si="4"/>
        <v>251.95000000000007</v>
      </c>
      <c r="AA28" s="62">
        <f>180/18</f>
        <v>10</v>
      </c>
      <c r="AB28" s="63">
        <f t="shared" si="5"/>
        <v>251.95000000000007</v>
      </c>
      <c r="AC28" s="62" t="s">
        <v>319</v>
      </c>
      <c r="AD28" s="62">
        <f t="shared" si="6"/>
        <v>0</v>
      </c>
      <c r="AE28" s="6"/>
    </row>
    <row r="29" spans="1:31" s="12" customFormat="1" x14ac:dyDescent="0.2">
      <c r="A29" s="41"/>
      <c r="B29" s="46" t="s">
        <v>27</v>
      </c>
      <c r="C29" s="46" t="s">
        <v>60</v>
      </c>
      <c r="D29" s="46" t="s">
        <v>69</v>
      </c>
      <c r="E29" s="48" t="s">
        <v>254</v>
      </c>
      <c r="F29" s="48" t="s">
        <v>254</v>
      </c>
      <c r="G29" s="47" t="s">
        <v>253</v>
      </c>
      <c r="H29" s="47" t="s">
        <v>44</v>
      </c>
      <c r="I29" s="47" t="s">
        <v>59</v>
      </c>
      <c r="J29" s="48" t="s">
        <v>198</v>
      </c>
      <c r="K29" s="51" t="s">
        <v>88</v>
      </c>
      <c r="L29" s="51" t="s">
        <v>87</v>
      </c>
      <c r="M29" s="46" t="s">
        <v>29</v>
      </c>
      <c r="N29" s="48" t="s">
        <v>162</v>
      </c>
      <c r="O29" s="46" t="s">
        <v>31</v>
      </c>
      <c r="P29" s="13">
        <v>25.86</v>
      </c>
      <c r="Q29" s="36">
        <f t="shared" si="0"/>
        <v>2.706883217324052E-2</v>
      </c>
      <c r="R29" s="37">
        <f t="shared" si="1"/>
        <v>25.16</v>
      </c>
      <c r="S29" s="42">
        <v>0.15</v>
      </c>
      <c r="T29" s="43">
        <v>29.6</v>
      </c>
      <c r="U29" s="37">
        <f t="shared" si="2"/>
        <v>0.69999999999999929</v>
      </c>
      <c r="V29" s="38" t="str">
        <f t="shared" si="3"/>
        <v>1005820264592497361571</v>
      </c>
      <c r="W29" s="39">
        <v>44531</v>
      </c>
      <c r="X29" s="40"/>
      <c r="Y29" s="44">
        <v>30</v>
      </c>
      <c r="Z29" s="45">
        <f t="shared" si="4"/>
        <v>20.999999999999979</v>
      </c>
      <c r="AA29" s="62">
        <f>120/4</f>
        <v>30</v>
      </c>
      <c r="AB29" s="63">
        <f t="shared" si="5"/>
        <v>20.999999999999979</v>
      </c>
      <c r="AC29" s="62" t="s">
        <v>319</v>
      </c>
      <c r="AD29" s="62">
        <f t="shared" si="6"/>
        <v>0</v>
      </c>
      <c r="AE29" s="6"/>
    </row>
    <row r="30" spans="1:31" s="12" customFormat="1" x14ac:dyDescent="0.2">
      <c r="A30" s="41"/>
      <c r="B30" s="46" t="s">
        <v>27</v>
      </c>
      <c r="C30" s="46" t="s">
        <v>60</v>
      </c>
      <c r="D30" s="46" t="s">
        <v>69</v>
      </c>
      <c r="E30" s="48" t="s">
        <v>254</v>
      </c>
      <c r="F30" s="48" t="s">
        <v>254</v>
      </c>
      <c r="G30" s="47" t="s">
        <v>253</v>
      </c>
      <c r="H30" s="47" t="s">
        <v>44</v>
      </c>
      <c r="I30" s="47" t="s">
        <v>59</v>
      </c>
      <c r="J30" s="48" t="s">
        <v>198</v>
      </c>
      <c r="K30" s="51" t="s">
        <v>88</v>
      </c>
      <c r="L30" s="51" t="s">
        <v>87</v>
      </c>
      <c r="M30" s="46" t="s">
        <v>34</v>
      </c>
      <c r="N30" s="48" t="s">
        <v>180</v>
      </c>
      <c r="O30" s="46" t="s">
        <v>55</v>
      </c>
      <c r="P30" s="13">
        <v>119.29</v>
      </c>
      <c r="Q30" s="36">
        <f t="shared" si="0"/>
        <v>0.21120798055159695</v>
      </c>
      <c r="R30" s="37">
        <f t="shared" si="1"/>
        <v>94.094999999999999</v>
      </c>
      <c r="S30" s="42">
        <v>0.15</v>
      </c>
      <c r="T30" s="43">
        <v>110.7</v>
      </c>
      <c r="U30" s="37">
        <f t="shared" si="2"/>
        <v>25.195000000000007</v>
      </c>
      <c r="V30" s="38" t="str">
        <f t="shared" si="3"/>
        <v>1005820264592497360484</v>
      </c>
      <c r="W30" s="39">
        <v>44531</v>
      </c>
      <c r="X30" s="40"/>
      <c r="Y30" s="44">
        <v>4</v>
      </c>
      <c r="Z30" s="45">
        <f t="shared" si="4"/>
        <v>100.78000000000003</v>
      </c>
      <c r="AA30" s="62">
        <f>72/18</f>
        <v>4</v>
      </c>
      <c r="AB30" s="63">
        <f t="shared" si="5"/>
        <v>100.78000000000003</v>
      </c>
      <c r="AC30" s="62" t="s">
        <v>319</v>
      </c>
      <c r="AD30" s="62">
        <f t="shared" si="6"/>
        <v>0</v>
      </c>
      <c r="AE30" s="6"/>
    </row>
    <row r="31" spans="1:31" s="12" customFormat="1" x14ac:dyDescent="0.2">
      <c r="A31" s="41"/>
      <c r="B31" s="46" t="s">
        <v>27</v>
      </c>
      <c r="C31" s="46" t="s">
        <v>60</v>
      </c>
      <c r="D31" s="46" t="s">
        <v>69</v>
      </c>
      <c r="E31" s="48" t="s">
        <v>254</v>
      </c>
      <c r="F31" s="48" t="s">
        <v>254</v>
      </c>
      <c r="G31" s="47" t="s">
        <v>251</v>
      </c>
      <c r="H31" s="47" t="s">
        <v>58</v>
      </c>
      <c r="I31" s="47" t="s">
        <v>50</v>
      </c>
      <c r="J31" s="48" t="s">
        <v>199</v>
      </c>
      <c r="K31" s="51" t="s">
        <v>89</v>
      </c>
      <c r="L31" s="51" t="s">
        <v>90</v>
      </c>
      <c r="M31" s="46" t="s">
        <v>29</v>
      </c>
      <c r="N31" s="48" t="s">
        <v>162</v>
      </c>
      <c r="O31" s="46" t="s">
        <v>31</v>
      </c>
      <c r="P31" s="13">
        <v>25.86</v>
      </c>
      <c r="Q31" s="36">
        <f t="shared" si="0"/>
        <v>0.191415313225058</v>
      </c>
      <c r="R31" s="37">
        <f t="shared" si="1"/>
        <v>20.91</v>
      </c>
      <c r="S31" s="42">
        <v>0.15</v>
      </c>
      <c r="T31" s="43">
        <v>24.6</v>
      </c>
      <c r="U31" s="37">
        <f t="shared" si="2"/>
        <v>4.9499999999999993</v>
      </c>
      <c r="V31" s="38" t="str">
        <f t="shared" si="3"/>
        <v>1005820101045995361571</v>
      </c>
      <c r="W31" s="39">
        <v>44531</v>
      </c>
      <c r="X31" s="40"/>
      <c r="Y31" s="44"/>
      <c r="Z31" s="45">
        <f t="shared" si="4"/>
        <v>0</v>
      </c>
      <c r="AA31" s="62"/>
      <c r="AB31" s="63">
        <f t="shared" si="5"/>
        <v>0</v>
      </c>
      <c r="AC31" s="62"/>
      <c r="AD31" s="62">
        <f t="shared" si="6"/>
        <v>0</v>
      </c>
      <c r="AE31" s="6"/>
    </row>
    <row r="32" spans="1:31" s="12" customFormat="1" x14ac:dyDescent="0.2">
      <c r="A32" s="41"/>
      <c r="B32" s="46" t="s">
        <v>27</v>
      </c>
      <c r="C32" s="46" t="s">
        <v>60</v>
      </c>
      <c r="D32" s="46" t="s">
        <v>69</v>
      </c>
      <c r="E32" s="48" t="s">
        <v>254</v>
      </c>
      <c r="F32" s="48" t="s">
        <v>254</v>
      </c>
      <c r="G32" s="47" t="s">
        <v>251</v>
      </c>
      <c r="H32" s="47" t="s">
        <v>58</v>
      </c>
      <c r="I32" s="47" t="s">
        <v>50</v>
      </c>
      <c r="J32" s="48" t="s">
        <v>199</v>
      </c>
      <c r="K32" s="51" t="s">
        <v>89</v>
      </c>
      <c r="L32" s="51" t="s">
        <v>90</v>
      </c>
      <c r="M32" s="46" t="s">
        <v>34</v>
      </c>
      <c r="N32" s="48" t="s">
        <v>166</v>
      </c>
      <c r="O32" s="46" t="s">
        <v>35</v>
      </c>
      <c r="P32" s="13">
        <v>112.81</v>
      </c>
      <c r="Q32" s="36">
        <f t="shared" si="0"/>
        <v>0.38968176580090419</v>
      </c>
      <c r="R32" s="37">
        <f t="shared" si="1"/>
        <v>68.849999999999994</v>
      </c>
      <c r="S32" s="42">
        <v>0.15</v>
      </c>
      <c r="T32" s="43">
        <v>81</v>
      </c>
      <c r="U32" s="37">
        <f t="shared" si="2"/>
        <v>43.960000000000008</v>
      </c>
      <c r="V32" s="38" t="str">
        <f t="shared" si="3"/>
        <v>1005820101045995361531</v>
      </c>
      <c r="W32" s="39">
        <v>44531</v>
      </c>
      <c r="X32" s="40"/>
      <c r="Y32" s="44"/>
      <c r="Z32" s="45">
        <f t="shared" si="4"/>
        <v>0</v>
      </c>
      <c r="AA32" s="62"/>
      <c r="AB32" s="63">
        <f t="shared" si="5"/>
        <v>0</v>
      </c>
      <c r="AC32" s="62"/>
      <c r="AD32" s="62">
        <f t="shared" si="6"/>
        <v>0</v>
      </c>
      <c r="AE32" s="6"/>
    </row>
    <row r="33" spans="1:31" s="12" customFormat="1" x14ac:dyDescent="0.2">
      <c r="A33" s="41"/>
      <c r="B33" s="46" t="s">
        <v>27</v>
      </c>
      <c r="C33" s="46" t="s">
        <v>60</v>
      </c>
      <c r="D33" s="46" t="s">
        <v>69</v>
      </c>
      <c r="E33" s="48" t="s">
        <v>254</v>
      </c>
      <c r="F33" s="48" t="s">
        <v>254</v>
      </c>
      <c r="G33" s="47" t="s">
        <v>251</v>
      </c>
      <c r="H33" s="47" t="s">
        <v>58</v>
      </c>
      <c r="I33" s="47" t="s">
        <v>50</v>
      </c>
      <c r="J33" s="48" t="s">
        <v>199</v>
      </c>
      <c r="K33" s="51" t="s">
        <v>89</v>
      </c>
      <c r="L33" s="51" t="s">
        <v>90</v>
      </c>
      <c r="M33" s="46" t="s">
        <v>34</v>
      </c>
      <c r="N33" s="48" t="s">
        <v>167</v>
      </c>
      <c r="O33" s="46" t="s">
        <v>36</v>
      </c>
      <c r="P33" s="13">
        <v>26.44</v>
      </c>
      <c r="Q33" s="36">
        <f t="shared" si="0"/>
        <v>0.247087745839637</v>
      </c>
      <c r="R33" s="37">
        <f t="shared" si="1"/>
        <v>19.907</v>
      </c>
      <c r="S33" s="42">
        <v>0.15</v>
      </c>
      <c r="T33" s="43">
        <v>23.42</v>
      </c>
      <c r="U33" s="37">
        <f t="shared" si="2"/>
        <v>6.5330000000000013</v>
      </c>
      <c r="V33" s="38" t="str">
        <f t="shared" si="3"/>
        <v>1005820101045995361532</v>
      </c>
      <c r="W33" s="39">
        <v>44531</v>
      </c>
      <c r="X33" s="40"/>
      <c r="Y33" s="44"/>
      <c r="Z33" s="45">
        <f t="shared" si="4"/>
        <v>0</v>
      </c>
      <c r="AA33" s="62"/>
      <c r="AB33" s="63">
        <f t="shared" si="5"/>
        <v>0</v>
      </c>
      <c r="AC33" s="62"/>
      <c r="AD33" s="62">
        <f t="shared" si="6"/>
        <v>0</v>
      </c>
      <c r="AE33" s="6"/>
    </row>
    <row r="34" spans="1:31" s="12" customFormat="1" x14ac:dyDescent="0.2">
      <c r="A34" s="41"/>
      <c r="B34" s="46" t="s">
        <v>27</v>
      </c>
      <c r="C34" s="46" t="s">
        <v>60</v>
      </c>
      <c r="D34" s="46" t="s">
        <v>69</v>
      </c>
      <c r="E34" s="48" t="s">
        <v>254</v>
      </c>
      <c r="F34" s="48" t="s">
        <v>254</v>
      </c>
      <c r="G34" s="47" t="s">
        <v>251</v>
      </c>
      <c r="H34" s="47" t="s">
        <v>58</v>
      </c>
      <c r="I34" s="47" t="s">
        <v>50</v>
      </c>
      <c r="J34" s="48" t="s">
        <v>199</v>
      </c>
      <c r="K34" s="51" t="s">
        <v>89</v>
      </c>
      <c r="L34" s="51" t="s">
        <v>90</v>
      </c>
      <c r="M34" s="46" t="s">
        <v>38</v>
      </c>
      <c r="N34" s="48" t="s">
        <v>169</v>
      </c>
      <c r="O34" s="46" t="s">
        <v>39</v>
      </c>
      <c r="P34" s="13">
        <v>44.95</v>
      </c>
      <c r="Q34" s="36">
        <f t="shared" si="0"/>
        <v>0.21996662958843161</v>
      </c>
      <c r="R34" s="37">
        <f t="shared" si="1"/>
        <v>35.0625</v>
      </c>
      <c r="S34" s="42">
        <v>0.15</v>
      </c>
      <c r="T34" s="43">
        <v>41.25</v>
      </c>
      <c r="U34" s="37">
        <f t="shared" si="2"/>
        <v>9.8875000000000028</v>
      </c>
      <c r="V34" s="38" t="str">
        <f t="shared" si="3"/>
        <v>1005820101045995360442</v>
      </c>
      <c r="W34" s="39">
        <v>44531</v>
      </c>
      <c r="X34" s="40"/>
      <c r="Y34" s="44"/>
      <c r="Z34" s="45">
        <f t="shared" si="4"/>
        <v>0</v>
      </c>
      <c r="AA34" s="62"/>
      <c r="AB34" s="63">
        <f t="shared" si="5"/>
        <v>0</v>
      </c>
      <c r="AC34" s="62"/>
      <c r="AD34" s="62">
        <f t="shared" si="6"/>
        <v>0</v>
      </c>
      <c r="AE34" s="6"/>
    </row>
    <row r="35" spans="1:31" s="12" customFormat="1" x14ac:dyDescent="0.2">
      <c r="A35" s="41"/>
      <c r="B35" s="46" t="s">
        <v>27</v>
      </c>
      <c r="C35" s="46" t="s">
        <v>60</v>
      </c>
      <c r="D35" s="46" t="s">
        <v>69</v>
      </c>
      <c r="E35" s="48" t="s">
        <v>254</v>
      </c>
      <c r="F35" s="48" t="s">
        <v>254</v>
      </c>
      <c r="G35" s="47" t="s">
        <v>251</v>
      </c>
      <c r="H35" s="47" t="s">
        <v>58</v>
      </c>
      <c r="I35" s="47" t="s">
        <v>50</v>
      </c>
      <c r="J35" s="48" t="s">
        <v>200</v>
      </c>
      <c r="K35" s="51" t="s">
        <v>91</v>
      </c>
      <c r="L35" s="51" t="s">
        <v>90</v>
      </c>
      <c r="M35" s="46" t="s">
        <v>29</v>
      </c>
      <c r="N35" s="48" t="s">
        <v>162</v>
      </c>
      <c r="O35" s="46" t="s">
        <v>31</v>
      </c>
      <c r="P35" s="13">
        <v>25.86</v>
      </c>
      <c r="Q35" s="36">
        <f t="shared" si="0"/>
        <v>0.191415313225058</v>
      </c>
      <c r="R35" s="37">
        <f t="shared" si="1"/>
        <v>20.91</v>
      </c>
      <c r="S35" s="42">
        <v>0.15</v>
      </c>
      <c r="T35" s="43">
        <v>24.6</v>
      </c>
      <c r="U35" s="37">
        <f t="shared" si="2"/>
        <v>4.9499999999999993</v>
      </c>
      <c r="V35" s="38" t="str">
        <f t="shared" si="3"/>
        <v>1005820387004301361571</v>
      </c>
      <c r="W35" s="39">
        <v>44531</v>
      </c>
      <c r="X35" s="40"/>
      <c r="Y35" s="44"/>
      <c r="Z35" s="45">
        <f t="shared" si="4"/>
        <v>0</v>
      </c>
      <c r="AA35" s="62"/>
      <c r="AB35" s="63">
        <f t="shared" si="5"/>
        <v>0</v>
      </c>
      <c r="AC35" s="62"/>
      <c r="AD35" s="62">
        <f t="shared" si="6"/>
        <v>0</v>
      </c>
      <c r="AE35" s="6"/>
    </row>
    <row r="36" spans="1:31" s="12" customFormat="1" x14ac:dyDescent="0.2">
      <c r="A36" s="41"/>
      <c r="B36" s="46" t="s">
        <v>27</v>
      </c>
      <c r="C36" s="46" t="s">
        <v>60</v>
      </c>
      <c r="D36" s="46" t="s">
        <v>69</v>
      </c>
      <c r="E36" s="48" t="s">
        <v>254</v>
      </c>
      <c r="F36" s="48" t="s">
        <v>254</v>
      </c>
      <c r="G36" s="47" t="s">
        <v>251</v>
      </c>
      <c r="H36" s="47" t="s">
        <v>58</v>
      </c>
      <c r="I36" s="47" t="s">
        <v>50</v>
      </c>
      <c r="J36" s="48" t="s">
        <v>200</v>
      </c>
      <c r="K36" s="51" t="s">
        <v>91</v>
      </c>
      <c r="L36" s="51" t="s">
        <v>90</v>
      </c>
      <c r="M36" s="46" t="s">
        <v>34</v>
      </c>
      <c r="N36" s="48" t="s">
        <v>166</v>
      </c>
      <c r="O36" s="46" t="s">
        <v>35</v>
      </c>
      <c r="P36" s="13">
        <v>112.81</v>
      </c>
      <c r="Q36" s="36">
        <f t="shared" si="0"/>
        <v>0.3164435776970127</v>
      </c>
      <c r="R36" s="37">
        <f t="shared" si="1"/>
        <v>77.111999999999995</v>
      </c>
      <c r="S36" s="42">
        <v>0.15</v>
      </c>
      <c r="T36" s="43">
        <v>90.72</v>
      </c>
      <c r="U36" s="37">
        <f t="shared" si="2"/>
        <v>35.698000000000008</v>
      </c>
      <c r="V36" s="38" t="str">
        <f t="shared" si="3"/>
        <v>1005820387004301361531</v>
      </c>
      <c r="W36" s="39">
        <v>44531</v>
      </c>
      <c r="X36" s="40"/>
      <c r="Y36" s="44"/>
      <c r="Z36" s="45">
        <f t="shared" si="4"/>
        <v>0</v>
      </c>
      <c r="AA36" s="62"/>
      <c r="AB36" s="63">
        <f t="shared" si="5"/>
        <v>0</v>
      </c>
      <c r="AC36" s="62"/>
      <c r="AD36" s="62">
        <f t="shared" si="6"/>
        <v>0</v>
      </c>
      <c r="AE36" s="6"/>
    </row>
    <row r="37" spans="1:31" s="12" customFormat="1" x14ac:dyDescent="0.2">
      <c r="A37" s="41"/>
      <c r="B37" s="46" t="s">
        <v>27</v>
      </c>
      <c r="C37" s="46" t="s">
        <v>60</v>
      </c>
      <c r="D37" s="46" t="s">
        <v>69</v>
      </c>
      <c r="E37" s="48" t="s">
        <v>254</v>
      </c>
      <c r="F37" s="48" t="s">
        <v>254</v>
      </c>
      <c r="G37" s="47" t="s">
        <v>251</v>
      </c>
      <c r="H37" s="47" t="s">
        <v>58</v>
      </c>
      <c r="I37" s="47" t="s">
        <v>50</v>
      </c>
      <c r="J37" s="48" t="s">
        <v>200</v>
      </c>
      <c r="K37" s="51" t="s">
        <v>91</v>
      </c>
      <c r="L37" s="51" t="s">
        <v>90</v>
      </c>
      <c r="M37" s="46" t="s">
        <v>34</v>
      </c>
      <c r="N37" s="48" t="s">
        <v>167</v>
      </c>
      <c r="O37" s="46" t="s">
        <v>36</v>
      </c>
      <c r="P37" s="13">
        <v>26.44</v>
      </c>
      <c r="Q37" s="36">
        <f t="shared" si="0"/>
        <v>0.247087745839637</v>
      </c>
      <c r="R37" s="37">
        <f t="shared" si="1"/>
        <v>19.907</v>
      </c>
      <c r="S37" s="42">
        <v>0.15</v>
      </c>
      <c r="T37" s="43">
        <v>23.42</v>
      </c>
      <c r="U37" s="37">
        <f t="shared" si="2"/>
        <v>6.5330000000000013</v>
      </c>
      <c r="V37" s="38" t="str">
        <f t="shared" si="3"/>
        <v>1005820387004301361532</v>
      </c>
      <c r="W37" s="39">
        <v>44531</v>
      </c>
      <c r="X37" s="40"/>
      <c r="Y37" s="44"/>
      <c r="Z37" s="45">
        <f t="shared" si="4"/>
        <v>0</v>
      </c>
      <c r="AA37" s="62"/>
      <c r="AB37" s="63">
        <f t="shared" si="5"/>
        <v>0</v>
      </c>
      <c r="AC37" s="62"/>
      <c r="AD37" s="62">
        <f t="shared" si="6"/>
        <v>0</v>
      </c>
      <c r="AE37" s="6"/>
    </row>
    <row r="38" spans="1:31" s="12" customFormat="1" x14ac:dyDescent="0.2">
      <c r="A38" s="41"/>
      <c r="B38" s="46" t="s">
        <v>27</v>
      </c>
      <c r="C38" s="46" t="s">
        <v>60</v>
      </c>
      <c r="D38" s="46" t="s">
        <v>69</v>
      </c>
      <c r="E38" s="48" t="s">
        <v>254</v>
      </c>
      <c r="F38" s="48" t="s">
        <v>254</v>
      </c>
      <c r="G38" s="47" t="s">
        <v>251</v>
      </c>
      <c r="H38" s="47" t="s">
        <v>58</v>
      </c>
      <c r="I38" s="47" t="s">
        <v>50</v>
      </c>
      <c r="J38" s="48" t="s">
        <v>200</v>
      </c>
      <c r="K38" s="51" t="s">
        <v>91</v>
      </c>
      <c r="L38" s="51" t="s">
        <v>90</v>
      </c>
      <c r="M38" s="46" t="s">
        <v>48</v>
      </c>
      <c r="N38" s="48" t="s">
        <v>182</v>
      </c>
      <c r="O38" s="46" t="s">
        <v>57</v>
      </c>
      <c r="P38" s="13">
        <v>97.25</v>
      </c>
      <c r="Q38" s="36">
        <f t="shared" ref="Q38:Q69" si="7">IF(1-R38/P38&lt;0%,0,1-R38/P38)</f>
        <v>0.31777686375321323</v>
      </c>
      <c r="R38" s="37">
        <f t="shared" ref="R38:R69" si="8">+T38*(100%-S38)</f>
        <v>66.34620000000001</v>
      </c>
      <c r="S38" s="42">
        <v>0.13</v>
      </c>
      <c r="T38" s="43">
        <v>76.260000000000005</v>
      </c>
      <c r="U38" s="37">
        <f t="shared" ref="U38:U69" si="9">+IF(P38-R38&lt;0,0,P38-R38)</f>
        <v>30.90379999999999</v>
      </c>
      <c r="V38" s="38" t="str">
        <f t="shared" ref="V38:V69" si="10">+CONCATENATE(TRIM(F38),TRIM(J38),TRIM(N38))</f>
        <v>1005820387004301370039</v>
      </c>
      <c r="W38" s="39">
        <v>44531</v>
      </c>
      <c r="X38" s="40"/>
      <c r="Y38" s="44"/>
      <c r="Z38" s="45">
        <f t="shared" ref="Z38:Z69" si="11">IFERROR(U38*Y38,0)</f>
        <v>0</v>
      </c>
      <c r="AA38" s="62"/>
      <c r="AB38" s="63">
        <f t="shared" si="5"/>
        <v>0</v>
      </c>
      <c r="AC38" s="62"/>
      <c r="AD38" s="62">
        <f t="shared" si="6"/>
        <v>0</v>
      </c>
      <c r="AE38" s="6"/>
    </row>
    <row r="39" spans="1:31" s="12" customFormat="1" x14ac:dyDescent="0.2">
      <c r="A39" s="41"/>
      <c r="B39" s="46" t="s">
        <v>27</v>
      </c>
      <c r="C39" s="46" t="s">
        <v>60</v>
      </c>
      <c r="D39" s="46" t="s">
        <v>69</v>
      </c>
      <c r="E39" s="48" t="s">
        <v>254</v>
      </c>
      <c r="F39" s="48" t="s">
        <v>254</v>
      </c>
      <c r="G39" s="47" t="s">
        <v>257</v>
      </c>
      <c r="H39" s="47" t="s">
        <v>44</v>
      </c>
      <c r="I39" s="47" t="s">
        <v>92</v>
      </c>
      <c r="J39" s="48" t="s">
        <v>201</v>
      </c>
      <c r="K39" s="51" t="s">
        <v>93</v>
      </c>
      <c r="L39" s="51" t="s">
        <v>94</v>
      </c>
      <c r="M39" s="46" t="s">
        <v>29</v>
      </c>
      <c r="N39" s="48" t="s">
        <v>183</v>
      </c>
      <c r="O39" s="46" t="s">
        <v>62</v>
      </c>
      <c r="P39" s="13">
        <v>54.46</v>
      </c>
      <c r="Q39" s="36">
        <f t="shared" si="7"/>
        <v>0</v>
      </c>
      <c r="R39" s="37">
        <f t="shared" si="8"/>
        <v>77.349999999999994</v>
      </c>
      <c r="S39" s="42">
        <v>0.15</v>
      </c>
      <c r="T39" s="43">
        <v>91</v>
      </c>
      <c r="U39" s="37">
        <f t="shared" si="9"/>
        <v>0</v>
      </c>
      <c r="V39" s="38" t="str">
        <f t="shared" si="10"/>
        <v>1005820506006024361421</v>
      </c>
      <c r="W39" s="39">
        <v>44531</v>
      </c>
      <c r="X39" s="40"/>
      <c r="Y39" s="44"/>
      <c r="Z39" s="45">
        <f t="shared" si="11"/>
        <v>0</v>
      </c>
      <c r="AA39" s="62"/>
      <c r="AB39" s="63">
        <f t="shared" si="5"/>
        <v>0</v>
      </c>
      <c r="AC39" s="62"/>
      <c r="AD39" s="62">
        <f t="shared" si="6"/>
        <v>0</v>
      </c>
      <c r="AE39" s="6"/>
    </row>
    <row r="40" spans="1:31" s="12" customFormat="1" x14ac:dyDescent="0.2">
      <c r="A40" s="41"/>
      <c r="B40" s="46" t="s">
        <v>27</v>
      </c>
      <c r="C40" s="46" t="s">
        <v>60</v>
      </c>
      <c r="D40" s="46" t="s">
        <v>69</v>
      </c>
      <c r="E40" s="48" t="s">
        <v>254</v>
      </c>
      <c r="F40" s="48" t="s">
        <v>254</v>
      </c>
      <c r="G40" s="47" t="s">
        <v>257</v>
      </c>
      <c r="H40" s="47" t="s">
        <v>44</v>
      </c>
      <c r="I40" s="47" t="s">
        <v>92</v>
      </c>
      <c r="J40" s="48" t="s">
        <v>201</v>
      </c>
      <c r="K40" s="51" t="s">
        <v>93</v>
      </c>
      <c r="L40" s="51" t="s">
        <v>94</v>
      </c>
      <c r="M40" s="46" t="s">
        <v>29</v>
      </c>
      <c r="N40" s="48" t="s">
        <v>162</v>
      </c>
      <c r="O40" s="46" t="s">
        <v>31</v>
      </c>
      <c r="P40" s="13">
        <v>25.86</v>
      </c>
      <c r="Q40" s="36">
        <f t="shared" si="7"/>
        <v>6.6511987625676783E-2</v>
      </c>
      <c r="R40" s="37">
        <f t="shared" si="8"/>
        <v>24.139999999999997</v>
      </c>
      <c r="S40" s="42">
        <v>0.15</v>
      </c>
      <c r="T40" s="43">
        <v>28.4</v>
      </c>
      <c r="U40" s="37">
        <f t="shared" si="9"/>
        <v>1.7200000000000024</v>
      </c>
      <c r="V40" s="38" t="str">
        <f t="shared" si="10"/>
        <v>1005820506006024361571</v>
      </c>
      <c r="W40" s="39">
        <v>44531</v>
      </c>
      <c r="X40" s="40"/>
      <c r="Y40" s="44">
        <v>51.5</v>
      </c>
      <c r="Z40" s="45">
        <f t="shared" si="11"/>
        <v>88.580000000000126</v>
      </c>
      <c r="AA40" s="62">
        <f>(104+102)/4</f>
        <v>51.5</v>
      </c>
      <c r="AB40" s="63">
        <f t="shared" si="5"/>
        <v>88.580000000000126</v>
      </c>
      <c r="AC40" s="62" t="s">
        <v>319</v>
      </c>
      <c r="AD40" s="62">
        <f t="shared" si="6"/>
        <v>0</v>
      </c>
      <c r="AE40" s="6"/>
    </row>
    <row r="41" spans="1:31" s="12" customFormat="1" x14ac:dyDescent="0.2">
      <c r="A41" s="41"/>
      <c r="B41" s="46" t="s">
        <v>27</v>
      </c>
      <c r="C41" s="46" t="s">
        <v>60</v>
      </c>
      <c r="D41" s="46" t="s">
        <v>69</v>
      </c>
      <c r="E41" s="48" t="s">
        <v>254</v>
      </c>
      <c r="F41" s="48" t="s">
        <v>254</v>
      </c>
      <c r="G41" s="47" t="s">
        <v>257</v>
      </c>
      <c r="H41" s="47" t="s">
        <v>44</v>
      </c>
      <c r="I41" s="47" t="s">
        <v>92</v>
      </c>
      <c r="J41" s="48" t="s">
        <v>201</v>
      </c>
      <c r="K41" s="51" t="s">
        <v>93</v>
      </c>
      <c r="L41" s="51" t="s">
        <v>94</v>
      </c>
      <c r="M41" s="46" t="s">
        <v>34</v>
      </c>
      <c r="N41" s="48" t="s">
        <v>173</v>
      </c>
      <c r="O41" s="46" t="s">
        <v>47</v>
      </c>
      <c r="P41" s="13">
        <v>41.42</v>
      </c>
      <c r="Q41" s="36">
        <f t="shared" si="7"/>
        <v>0.4623370352486722</v>
      </c>
      <c r="R41" s="37">
        <f t="shared" si="8"/>
        <v>22.27</v>
      </c>
      <c r="S41" s="42">
        <v>0.15</v>
      </c>
      <c r="T41" s="43">
        <v>26.2</v>
      </c>
      <c r="U41" s="37">
        <f t="shared" si="9"/>
        <v>19.150000000000002</v>
      </c>
      <c r="V41" s="38" t="str">
        <f t="shared" si="10"/>
        <v>1005820506006024361535</v>
      </c>
      <c r="W41" s="39">
        <v>44531</v>
      </c>
      <c r="X41" s="40"/>
      <c r="Y41" s="44">
        <v>213.5</v>
      </c>
      <c r="Z41" s="45">
        <f t="shared" si="11"/>
        <v>4088.5250000000005</v>
      </c>
      <c r="AA41" s="62">
        <f>(217+210)/2</f>
        <v>213.5</v>
      </c>
      <c r="AB41" s="63">
        <f t="shared" si="5"/>
        <v>4088.5250000000005</v>
      </c>
      <c r="AC41" s="62" t="s">
        <v>319</v>
      </c>
      <c r="AD41" s="62">
        <f t="shared" si="6"/>
        <v>0</v>
      </c>
      <c r="AE41" s="6"/>
    </row>
    <row r="42" spans="1:31" s="12" customFormat="1" x14ac:dyDescent="0.2">
      <c r="A42" s="41"/>
      <c r="B42" s="46" t="s">
        <v>27</v>
      </c>
      <c r="C42" s="46" t="s">
        <v>60</v>
      </c>
      <c r="D42" s="46" t="s">
        <v>69</v>
      </c>
      <c r="E42" s="48" t="s">
        <v>254</v>
      </c>
      <c r="F42" s="48" t="s">
        <v>254</v>
      </c>
      <c r="G42" s="47" t="s">
        <v>257</v>
      </c>
      <c r="H42" s="47" t="s">
        <v>44</v>
      </c>
      <c r="I42" s="47" t="s">
        <v>92</v>
      </c>
      <c r="J42" s="48" t="s">
        <v>202</v>
      </c>
      <c r="K42" s="51" t="s">
        <v>95</v>
      </c>
      <c r="L42" s="51" t="s">
        <v>94</v>
      </c>
      <c r="M42" s="46" t="s">
        <v>29</v>
      </c>
      <c r="N42" s="48" t="s">
        <v>183</v>
      </c>
      <c r="O42" s="46" t="s">
        <v>62</v>
      </c>
      <c r="P42" s="13">
        <v>54.46</v>
      </c>
      <c r="Q42" s="36">
        <f t="shared" si="7"/>
        <v>0</v>
      </c>
      <c r="R42" s="37">
        <f t="shared" si="8"/>
        <v>77.349999999999994</v>
      </c>
      <c r="S42" s="42">
        <v>0.15</v>
      </c>
      <c r="T42" s="43">
        <v>91</v>
      </c>
      <c r="U42" s="37">
        <f t="shared" si="9"/>
        <v>0</v>
      </c>
      <c r="V42" s="38" t="str">
        <f t="shared" si="10"/>
        <v>1005820503258901361421</v>
      </c>
      <c r="W42" s="39">
        <v>44531</v>
      </c>
      <c r="X42" s="40"/>
      <c r="Y42" s="44"/>
      <c r="Z42" s="45">
        <f t="shared" si="11"/>
        <v>0</v>
      </c>
      <c r="AA42" s="62"/>
      <c r="AB42" s="63">
        <f t="shared" si="5"/>
        <v>0</v>
      </c>
      <c r="AC42" s="62"/>
      <c r="AD42" s="62">
        <f t="shared" si="6"/>
        <v>0</v>
      </c>
      <c r="AE42" s="6"/>
    </row>
    <row r="43" spans="1:31" s="12" customFormat="1" x14ac:dyDescent="0.2">
      <c r="A43" s="41"/>
      <c r="B43" s="46" t="s">
        <v>27</v>
      </c>
      <c r="C43" s="46" t="s">
        <v>60</v>
      </c>
      <c r="D43" s="46" t="s">
        <v>69</v>
      </c>
      <c r="E43" s="48" t="s">
        <v>254</v>
      </c>
      <c r="F43" s="48" t="s">
        <v>254</v>
      </c>
      <c r="G43" s="47" t="s">
        <v>257</v>
      </c>
      <c r="H43" s="47" t="s">
        <v>44</v>
      </c>
      <c r="I43" s="47" t="s">
        <v>92</v>
      </c>
      <c r="J43" s="48" t="s">
        <v>202</v>
      </c>
      <c r="K43" s="51" t="s">
        <v>95</v>
      </c>
      <c r="L43" s="51" t="s">
        <v>94</v>
      </c>
      <c r="M43" s="46" t="s">
        <v>29</v>
      </c>
      <c r="N43" s="48" t="s">
        <v>162</v>
      </c>
      <c r="O43" s="46" t="s">
        <v>31</v>
      </c>
      <c r="P43" s="13">
        <v>25.86</v>
      </c>
      <c r="Q43" s="36">
        <f t="shared" si="7"/>
        <v>6.6511987625676783E-2</v>
      </c>
      <c r="R43" s="37">
        <f t="shared" si="8"/>
        <v>24.139999999999997</v>
      </c>
      <c r="S43" s="42">
        <v>0.15</v>
      </c>
      <c r="T43" s="43">
        <v>28.4</v>
      </c>
      <c r="U43" s="37">
        <f t="shared" si="9"/>
        <v>1.7200000000000024</v>
      </c>
      <c r="V43" s="38" t="str">
        <f t="shared" si="10"/>
        <v>1005820503258901361571</v>
      </c>
      <c r="W43" s="39">
        <v>44531</v>
      </c>
      <c r="X43" s="40"/>
      <c r="Y43" s="44">
        <v>132</v>
      </c>
      <c r="Z43" s="45">
        <f t="shared" si="11"/>
        <v>227.0400000000003</v>
      </c>
      <c r="AA43" s="62">
        <f>(171+171+186)/4</f>
        <v>132</v>
      </c>
      <c r="AB43" s="63">
        <f t="shared" si="5"/>
        <v>227.0400000000003</v>
      </c>
      <c r="AC43" s="62" t="s">
        <v>319</v>
      </c>
      <c r="AD43" s="62">
        <f t="shared" si="6"/>
        <v>0</v>
      </c>
      <c r="AE43" s="6"/>
    </row>
    <row r="44" spans="1:31" s="12" customFormat="1" x14ac:dyDescent="0.2">
      <c r="A44" s="41"/>
      <c r="B44" s="46" t="s">
        <v>27</v>
      </c>
      <c r="C44" s="46" t="s">
        <v>60</v>
      </c>
      <c r="D44" s="46" t="s">
        <v>69</v>
      </c>
      <c r="E44" s="48" t="s">
        <v>254</v>
      </c>
      <c r="F44" s="48" t="s">
        <v>254</v>
      </c>
      <c r="G44" s="47" t="s">
        <v>257</v>
      </c>
      <c r="H44" s="47" t="s">
        <v>44</v>
      </c>
      <c r="I44" s="47" t="s">
        <v>92</v>
      </c>
      <c r="J44" s="48" t="s">
        <v>202</v>
      </c>
      <c r="K44" s="51" t="s">
        <v>95</v>
      </c>
      <c r="L44" s="51" t="s">
        <v>94</v>
      </c>
      <c r="M44" s="46" t="s">
        <v>34</v>
      </c>
      <c r="N44" s="48" t="s">
        <v>173</v>
      </c>
      <c r="O44" s="46" t="s">
        <v>47</v>
      </c>
      <c r="P44" s="13">
        <v>41.42</v>
      </c>
      <c r="Q44" s="36">
        <f t="shared" si="7"/>
        <v>0.4623370352486722</v>
      </c>
      <c r="R44" s="37">
        <f t="shared" si="8"/>
        <v>22.27</v>
      </c>
      <c r="S44" s="42">
        <v>0.15</v>
      </c>
      <c r="T44" s="43">
        <v>26.2</v>
      </c>
      <c r="U44" s="37">
        <f t="shared" si="9"/>
        <v>19.150000000000002</v>
      </c>
      <c r="V44" s="38" t="str">
        <f t="shared" si="10"/>
        <v>1005820503258901361535</v>
      </c>
      <c r="W44" s="39">
        <v>44531</v>
      </c>
      <c r="X44" s="40"/>
      <c r="Y44" s="44"/>
      <c r="Z44" s="45">
        <f t="shared" si="11"/>
        <v>0</v>
      </c>
      <c r="AA44" s="62"/>
      <c r="AB44" s="63">
        <f t="shared" si="5"/>
        <v>0</v>
      </c>
      <c r="AC44" s="62"/>
      <c r="AD44" s="62">
        <f t="shared" si="6"/>
        <v>0</v>
      </c>
      <c r="AE44" s="6"/>
    </row>
    <row r="45" spans="1:31" s="12" customFormat="1" x14ac:dyDescent="0.2">
      <c r="A45" s="41"/>
      <c r="B45" s="46" t="s">
        <v>27</v>
      </c>
      <c r="C45" s="46" t="s">
        <v>60</v>
      </c>
      <c r="D45" s="46" t="s">
        <v>69</v>
      </c>
      <c r="E45" s="48" t="s">
        <v>254</v>
      </c>
      <c r="F45" s="48" t="s">
        <v>254</v>
      </c>
      <c r="G45" s="47" t="s">
        <v>253</v>
      </c>
      <c r="H45" s="47" t="s">
        <v>44</v>
      </c>
      <c r="I45" s="47" t="s">
        <v>59</v>
      </c>
      <c r="J45" s="48" t="s">
        <v>203</v>
      </c>
      <c r="K45" s="51" t="s">
        <v>96</v>
      </c>
      <c r="L45" s="51" t="s">
        <v>97</v>
      </c>
      <c r="M45" s="46" t="s">
        <v>29</v>
      </c>
      <c r="N45" s="48" t="s">
        <v>183</v>
      </c>
      <c r="O45" s="46" t="s">
        <v>62</v>
      </c>
      <c r="P45" s="13">
        <v>54.46</v>
      </c>
      <c r="Q45" s="36">
        <f t="shared" si="7"/>
        <v>0</v>
      </c>
      <c r="R45" s="37">
        <f t="shared" si="8"/>
        <v>59.295999999999999</v>
      </c>
      <c r="S45" s="42">
        <v>0.15</v>
      </c>
      <c r="T45" s="43">
        <v>69.760000000000005</v>
      </c>
      <c r="U45" s="37">
        <f t="shared" si="9"/>
        <v>0</v>
      </c>
      <c r="V45" s="38" t="str">
        <f t="shared" si="10"/>
        <v>1005820104121374361421</v>
      </c>
      <c r="W45" s="39">
        <v>44531</v>
      </c>
      <c r="X45" s="40"/>
      <c r="Y45" s="44"/>
      <c r="Z45" s="45">
        <f t="shared" si="11"/>
        <v>0</v>
      </c>
      <c r="AA45" s="62"/>
      <c r="AB45" s="63">
        <f t="shared" si="5"/>
        <v>0</v>
      </c>
      <c r="AC45" s="62"/>
      <c r="AD45" s="62">
        <f t="shared" si="6"/>
        <v>0</v>
      </c>
      <c r="AE45" s="6"/>
    </row>
    <row r="46" spans="1:31" s="12" customFormat="1" x14ac:dyDescent="0.2">
      <c r="A46" s="41"/>
      <c r="B46" s="46" t="s">
        <v>27</v>
      </c>
      <c r="C46" s="46" t="s">
        <v>60</v>
      </c>
      <c r="D46" s="46" t="s">
        <v>69</v>
      </c>
      <c r="E46" s="48" t="s">
        <v>254</v>
      </c>
      <c r="F46" s="48" t="s">
        <v>254</v>
      </c>
      <c r="G46" s="47" t="s">
        <v>253</v>
      </c>
      <c r="H46" s="47" t="s">
        <v>44</v>
      </c>
      <c r="I46" s="47" t="s">
        <v>59</v>
      </c>
      <c r="J46" s="48" t="s">
        <v>203</v>
      </c>
      <c r="K46" s="51" t="s">
        <v>96</v>
      </c>
      <c r="L46" s="51" t="s">
        <v>97</v>
      </c>
      <c r="M46" s="46" t="s">
        <v>29</v>
      </c>
      <c r="N46" s="49" t="s">
        <v>172</v>
      </c>
      <c r="O46" s="50" t="s">
        <v>46</v>
      </c>
      <c r="P46" s="13">
        <v>11.89</v>
      </c>
      <c r="Q46" s="36">
        <f t="shared" si="7"/>
        <v>9.1379310344827713E-2</v>
      </c>
      <c r="R46" s="37">
        <f t="shared" si="8"/>
        <v>10.8035</v>
      </c>
      <c r="S46" s="42">
        <v>0.15</v>
      </c>
      <c r="T46" s="43">
        <v>12.709999999999999</v>
      </c>
      <c r="U46" s="37">
        <f t="shared" si="9"/>
        <v>1.0865000000000009</v>
      </c>
      <c r="V46" s="38" t="str">
        <f t="shared" si="10"/>
        <v>1005820104121374361085</v>
      </c>
      <c r="W46" s="39">
        <v>44531</v>
      </c>
      <c r="X46" s="40"/>
      <c r="Y46" s="44"/>
      <c r="Z46" s="45">
        <f t="shared" si="11"/>
        <v>0</v>
      </c>
      <c r="AA46" s="62"/>
      <c r="AB46" s="63">
        <f t="shared" si="5"/>
        <v>0</v>
      </c>
      <c r="AC46" s="62"/>
      <c r="AD46" s="62">
        <f t="shared" si="6"/>
        <v>0</v>
      </c>
      <c r="AE46" s="6"/>
    </row>
    <row r="47" spans="1:31" s="12" customFormat="1" x14ac:dyDescent="0.2">
      <c r="A47" s="41"/>
      <c r="B47" s="46" t="s">
        <v>27</v>
      </c>
      <c r="C47" s="46" t="s">
        <v>60</v>
      </c>
      <c r="D47" s="46" t="s">
        <v>69</v>
      </c>
      <c r="E47" s="48" t="s">
        <v>254</v>
      </c>
      <c r="F47" s="48" t="s">
        <v>254</v>
      </c>
      <c r="G47" s="47" t="s">
        <v>253</v>
      </c>
      <c r="H47" s="47" t="s">
        <v>44</v>
      </c>
      <c r="I47" s="47" t="s">
        <v>59</v>
      </c>
      <c r="J47" s="48" t="s">
        <v>204</v>
      </c>
      <c r="K47" s="51" t="s">
        <v>98</v>
      </c>
      <c r="L47" s="51" t="s">
        <v>97</v>
      </c>
      <c r="M47" s="46" t="s">
        <v>29</v>
      </c>
      <c r="N47" s="49" t="s">
        <v>172</v>
      </c>
      <c r="O47" s="50" t="s">
        <v>46</v>
      </c>
      <c r="P47" s="13">
        <v>11.89</v>
      </c>
      <c r="Q47" s="36">
        <f t="shared" si="7"/>
        <v>9.1379310344827713E-2</v>
      </c>
      <c r="R47" s="37">
        <f t="shared" si="8"/>
        <v>10.8035</v>
      </c>
      <c r="S47" s="42">
        <v>0.15</v>
      </c>
      <c r="T47" s="43">
        <v>12.709999999999999</v>
      </c>
      <c r="U47" s="37">
        <f t="shared" si="9"/>
        <v>1.0865000000000009</v>
      </c>
      <c r="V47" s="38" t="str">
        <f t="shared" si="10"/>
        <v>1005820450122395361085</v>
      </c>
      <c r="W47" s="39">
        <v>44531</v>
      </c>
      <c r="X47" s="40"/>
      <c r="Y47" s="44"/>
      <c r="Z47" s="45">
        <f t="shared" si="11"/>
        <v>0</v>
      </c>
      <c r="AA47" s="62"/>
      <c r="AB47" s="63">
        <f t="shared" si="5"/>
        <v>0</v>
      </c>
      <c r="AC47" s="62"/>
      <c r="AD47" s="62">
        <f t="shared" si="6"/>
        <v>0</v>
      </c>
      <c r="AE47" s="6"/>
    </row>
    <row r="48" spans="1:31" s="12" customFormat="1" x14ac:dyDescent="0.2">
      <c r="A48" s="41"/>
      <c r="B48" s="46" t="s">
        <v>27</v>
      </c>
      <c r="C48" s="46" t="s">
        <v>60</v>
      </c>
      <c r="D48" s="46" t="s">
        <v>69</v>
      </c>
      <c r="E48" s="48" t="s">
        <v>254</v>
      </c>
      <c r="F48" s="48" t="s">
        <v>254</v>
      </c>
      <c r="G48" s="47" t="s">
        <v>253</v>
      </c>
      <c r="H48" s="47" t="s">
        <v>44</v>
      </c>
      <c r="I48" s="47" t="s">
        <v>59</v>
      </c>
      <c r="J48" s="48" t="s">
        <v>205</v>
      </c>
      <c r="K48" s="51" t="s">
        <v>99</v>
      </c>
      <c r="L48" s="51" t="s">
        <v>97</v>
      </c>
      <c r="M48" s="46" t="s">
        <v>29</v>
      </c>
      <c r="N48" s="48" t="s">
        <v>183</v>
      </c>
      <c r="O48" s="46" t="s">
        <v>62</v>
      </c>
      <c r="P48" s="13">
        <v>54.46</v>
      </c>
      <c r="Q48" s="36">
        <f t="shared" si="7"/>
        <v>0</v>
      </c>
      <c r="R48" s="37">
        <f t="shared" si="8"/>
        <v>59.5</v>
      </c>
      <c r="S48" s="42">
        <v>0.15</v>
      </c>
      <c r="T48" s="43">
        <v>70</v>
      </c>
      <c r="U48" s="37">
        <f t="shared" si="9"/>
        <v>0</v>
      </c>
      <c r="V48" s="38" t="str">
        <f t="shared" si="10"/>
        <v>1005820450125904361421</v>
      </c>
      <c r="W48" s="39">
        <v>44531</v>
      </c>
      <c r="X48" s="40"/>
      <c r="Y48" s="44"/>
      <c r="Z48" s="45">
        <f t="shared" si="11"/>
        <v>0</v>
      </c>
      <c r="AA48" s="62"/>
      <c r="AB48" s="63">
        <f t="shared" si="5"/>
        <v>0</v>
      </c>
      <c r="AC48" s="62"/>
      <c r="AD48" s="62">
        <f t="shared" si="6"/>
        <v>0</v>
      </c>
      <c r="AE48" s="6"/>
    </row>
    <row r="49" spans="1:31" s="12" customFormat="1" x14ac:dyDescent="0.2">
      <c r="A49" s="41"/>
      <c r="B49" s="46" t="s">
        <v>27</v>
      </c>
      <c r="C49" s="46" t="s">
        <v>60</v>
      </c>
      <c r="D49" s="46" t="s">
        <v>69</v>
      </c>
      <c r="E49" s="48" t="s">
        <v>254</v>
      </c>
      <c r="F49" s="48" t="s">
        <v>254</v>
      </c>
      <c r="G49" s="47" t="s">
        <v>253</v>
      </c>
      <c r="H49" s="47" t="s">
        <v>44</v>
      </c>
      <c r="I49" s="47" t="s">
        <v>59</v>
      </c>
      <c r="J49" s="48" t="s">
        <v>205</v>
      </c>
      <c r="K49" s="51" t="s">
        <v>99</v>
      </c>
      <c r="L49" s="51" t="s">
        <v>97</v>
      </c>
      <c r="M49" s="46" t="s">
        <v>29</v>
      </c>
      <c r="N49" s="49" t="s">
        <v>172</v>
      </c>
      <c r="O49" s="50" t="s">
        <v>46</v>
      </c>
      <c r="P49" s="13">
        <v>11.89</v>
      </c>
      <c r="Q49" s="36">
        <f t="shared" si="7"/>
        <v>9.1379310344827713E-2</v>
      </c>
      <c r="R49" s="37">
        <f t="shared" si="8"/>
        <v>10.8035</v>
      </c>
      <c r="S49" s="42">
        <v>0.15</v>
      </c>
      <c r="T49" s="43">
        <v>12.709999999999999</v>
      </c>
      <c r="U49" s="37">
        <f t="shared" si="9"/>
        <v>1.0865000000000009</v>
      </c>
      <c r="V49" s="38" t="str">
        <f t="shared" si="10"/>
        <v>1005820450125904361085</v>
      </c>
      <c r="W49" s="39">
        <v>44531</v>
      </c>
      <c r="X49" s="40"/>
      <c r="Y49" s="44">
        <v>200</v>
      </c>
      <c r="Z49" s="45">
        <f t="shared" si="11"/>
        <v>217.30000000000018</v>
      </c>
      <c r="AA49" s="62">
        <v>200</v>
      </c>
      <c r="AB49" s="63">
        <f t="shared" si="5"/>
        <v>217.30000000000018</v>
      </c>
      <c r="AC49" s="62" t="s">
        <v>319</v>
      </c>
      <c r="AD49" s="62">
        <f t="shared" si="6"/>
        <v>0</v>
      </c>
      <c r="AE49" s="6"/>
    </row>
    <row r="50" spans="1:31" s="12" customFormat="1" x14ac:dyDescent="0.2">
      <c r="A50" s="41"/>
      <c r="B50" s="46" t="s">
        <v>27</v>
      </c>
      <c r="C50" s="46" t="s">
        <v>60</v>
      </c>
      <c r="D50" s="46" t="s">
        <v>69</v>
      </c>
      <c r="E50" s="48" t="s">
        <v>254</v>
      </c>
      <c r="F50" s="48" t="s">
        <v>254</v>
      </c>
      <c r="G50" s="47" t="s">
        <v>257</v>
      </c>
      <c r="H50" s="47" t="s">
        <v>44</v>
      </c>
      <c r="I50" s="47" t="s">
        <v>100</v>
      </c>
      <c r="J50" s="48" t="s">
        <v>206</v>
      </c>
      <c r="K50" s="51" t="s">
        <v>101</v>
      </c>
      <c r="L50" s="51" t="s">
        <v>102</v>
      </c>
      <c r="M50" s="46" t="s">
        <v>29</v>
      </c>
      <c r="N50" s="48" t="s">
        <v>162</v>
      </c>
      <c r="O50" s="46" t="s">
        <v>31</v>
      </c>
      <c r="P50" s="13">
        <v>25.86</v>
      </c>
      <c r="Q50" s="36">
        <f t="shared" si="7"/>
        <v>0.191415313225058</v>
      </c>
      <c r="R50" s="37">
        <f t="shared" si="8"/>
        <v>20.91</v>
      </c>
      <c r="S50" s="42">
        <v>0.15</v>
      </c>
      <c r="T50" s="43">
        <v>24.6</v>
      </c>
      <c r="U50" s="37">
        <f t="shared" si="9"/>
        <v>4.9499999999999993</v>
      </c>
      <c r="V50" s="38" t="str">
        <f t="shared" si="10"/>
        <v>1005820421526258361571</v>
      </c>
      <c r="W50" s="39">
        <v>44531</v>
      </c>
      <c r="X50" s="40"/>
      <c r="Y50" s="44">
        <v>300</v>
      </c>
      <c r="Z50" s="45">
        <f t="shared" si="11"/>
        <v>1484.9999999999998</v>
      </c>
      <c r="AA50" s="62">
        <f>1200/4</f>
        <v>300</v>
      </c>
      <c r="AB50" s="63">
        <f t="shared" si="5"/>
        <v>1484.9999999999998</v>
      </c>
      <c r="AC50" s="62" t="s">
        <v>319</v>
      </c>
      <c r="AD50" s="62">
        <f t="shared" si="6"/>
        <v>0</v>
      </c>
      <c r="AE50" s="6"/>
    </row>
    <row r="51" spans="1:31" s="12" customFormat="1" x14ac:dyDescent="0.2">
      <c r="A51" s="41"/>
      <c r="B51" s="46" t="s">
        <v>27</v>
      </c>
      <c r="C51" s="46" t="s">
        <v>60</v>
      </c>
      <c r="D51" s="46" t="s">
        <v>69</v>
      </c>
      <c r="E51" s="48" t="s">
        <v>254</v>
      </c>
      <c r="F51" s="48" t="s">
        <v>254</v>
      </c>
      <c r="G51" s="47" t="s">
        <v>257</v>
      </c>
      <c r="H51" s="47" t="s">
        <v>44</v>
      </c>
      <c r="I51" s="47" t="s">
        <v>100</v>
      </c>
      <c r="J51" s="48" t="s">
        <v>206</v>
      </c>
      <c r="K51" s="51" t="s">
        <v>101</v>
      </c>
      <c r="L51" s="51" t="s">
        <v>102</v>
      </c>
      <c r="M51" s="46" t="s">
        <v>34</v>
      </c>
      <c r="N51" s="48" t="s">
        <v>167</v>
      </c>
      <c r="O51" s="46" t="s">
        <v>36</v>
      </c>
      <c r="P51" s="13">
        <v>26.44</v>
      </c>
      <c r="Q51" s="36">
        <f t="shared" si="7"/>
        <v>0.247087745839637</v>
      </c>
      <c r="R51" s="37">
        <f t="shared" si="8"/>
        <v>19.907</v>
      </c>
      <c r="S51" s="42">
        <v>0.15</v>
      </c>
      <c r="T51" s="43">
        <v>23.42</v>
      </c>
      <c r="U51" s="37">
        <f t="shared" si="9"/>
        <v>6.5330000000000013</v>
      </c>
      <c r="V51" s="38" t="str">
        <f t="shared" si="10"/>
        <v>1005820421526258361532</v>
      </c>
      <c r="W51" s="39">
        <v>44531</v>
      </c>
      <c r="X51" s="40"/>
      <c r="Y51" s="44"/>
      <c r="Z51" s="45">
        <f t="shared" si="11"/>
        <v>0</v>
      </c>
      <c r="AA51" s="62"/>
      <c r="AB51" s="63">
        <f t="shared" si="5"/>
        <v>0</v>
      </c>
      <c r="AC51" s="62"/>
      <c r="AD51" s="62">
        <f t="shared" si="6"/>
        <v>0</v>
      </c>
      <c r="AE51" s="6"/>
    </row>
    <row r="52" spans="1:31" s="12" customFormat="1" x14ac:dyDescent="0.2">
      <c r="A52" s="41"/>
      <c r="B52" s="46" t="s">
        <v>27</v>
      </c>
      <c r="C52" s="46" t="s">
        <v>60</v>
      </c>
      <c r="D52" s="46" t="s">
        <v>69</v>
      </c>
      <c r="E52" s="48" t="s">
        <v>254</v>
      </c>
      <c r="F52" s="48" t="s">
        <v>254</v>
      </c>
      <c r="G52" s="47" t="s">
        <v>251</v>
      </c>
      <c r="H52" s="47" t="s">
        <v>68</v>
      </c>
      <c r="I52" s="47" t="s">
        <v>252</v>
      </c>
      <c r="J52" s="48" t="s">
        <v>207</v>
      </c>
      <c r="K52" s="51" t="s">
        <v>103</v>
      </c>
      <c r="L52" s="51" t="s">
        <v>104</v>
      </c>
      <c r="M52" s="46" t="s">
        <v>29</v>
      </c>
      <c r="N52" s="48" t="s">
        <v>183</v>
      </c>
      <c r="O52" s="46" t="s">
        <v>62</v>
      </c>
      <c r="P52" s="13">
        <v>54.46</v>
      </c>
      <c r="Q52" s="36">
        <f t="shared" si="7"/>
        <v>0</v>
      </c>
      <c r="R52" s="37">
        <f t="shared" si="8"/>
        <v>75.071999999999989</v>
      </c>
      <c r="S52" s="42">
        <v>0.15</v>
      </c>
      <c r="T52" s="43">
        <v>88.32</v>
      </c>
      <c r="U52" s="37">
        <f t="shared" si="9"/>
        <v>0</v>
      </c>
      <c r="V52" s="38" t="str">
        <f t="shared" si="10"/>
        <v>1005820136629591361421</v>
      </c>
      <c r="W52" s="39">
        <v>44531</v>
      </c>
      <c r="X52" s="40"/>
      <c r="Y52" s="44"/>
      <c r="Z52" s="45">
        <f t="shared" si="11"/>
        <v>0</v>
      </c>
      <c r="AA52" s="62"/>
      <c r="AB52" s="63">
        <f t="shared" si="5"/>
        <v>0</v>
      </c>
      <c r="AC52" s="62"/>
      <c r="AD52" s="62">
        <f t="shared" si="6"/>
        <v>0</v>
      </c>
      <c r="AE52" s="6"/>
    </row>
    <row r="53" spans="1:31" s="12" customFormat="1" x14ac:dyDescent="0.2">
      <c r="A53" s="41"/>
      <c r="B53" s="46" t="s">
        <v>27</v>
      </c>
      <c r="C53" s="46" t="s">
        <v>60</v>
      </c>
      <c r="D53" s="46" t="s">
        <v>69</v>
      </c>
      <c r="E53" s="48" t="s">
        <v>254</v>
      </c>
      <c r="F53" s="48" t="s">
        <v>254</v>
      </c>
      <c r="G53" s="47" t="s">
        <v>255</v>
      </c>
      <c r="H53" s="47" t="s">
        <v>44</v>
      </c>
      <c r="I53" s="47" t="s">
        <v>61</v>
      </c>
      <c r="J53" s="48" t="s">
        <v>208</v>
      </c>
      <c r="K53" s="51" t="s">
        <v>105</v>
      </c>
      <c r="L53" s="51" t="s">
        <v>106</v>
      </c>
      <c r="M53" s="46" t="s">
        <v>29</v>
      </c>
      <c r="N53" s="48" t="s">
        <v>165</v>
      </c>
      <c r="O53" s="46" t="s">
        <v>33</v>
      </c>
      <c r="P53" s="13">
        <v>50.39</v>
      </c>
      <c r="Q53" s="36">
        <f t="shared" si="7"/>
        <v>0.20178606866441751</v>
      </c>
      <c r="R53" s="37">
        <f t="shared" si="8"/>
        <v>40.222000000000001</v>
      </c>
      <c r="S53" s="42">
        <v>0.15</v>
      </c>
      <c r="T53" s="43">
        <v>47.32</v>
      </c>
      <c r="U53" s="37">
        <f t="shared" si="9"/>
        <v>10.167999999999999</v>
      </c>
      <c r="V53" s="38" t="str">
        <f t="shared" si="10"/>
        <v>1005820101920721361540</v>
      </c>
      <c r="W53" s="39">
        <v>44531</v>
      </c>
      <c r="X53" s="40"/>
      <c r="Y53" s="44">
        <v>25</v>
      </c>
      <c r="Z53" s="45">
        <f t="shared" si="11"/>
        <v>254.2</v>
      </c>
      <c r="AA53" s="62">
        <f>100/4</f>
        <v>25</v>
      </c>
      <c r="AB53" s="63">
        <f t="shared" si="5"/>
        <v>254.2</v>
      </c>
      <c r="AC53" s="62" t="s">
        <v>319</v>
      </c>
      <c r="AD53" s="62">
        <f t="shared" si="6"/>
        <v>0</v>
      </c>
      <c r="AE53" s="6"/>
    </row>
    <row r="54" spans="1:31" s="12" customFormat="1" x14ac:dyDescent="0.2">
      <c r="A54" s="41"/>
      <c r="B54" s="46" t="s">
        <v>27</v>
      </c>
      <c r="C54" s="46" t="s">
        <v>60</v>
      </c>
      <c r="D54" s="46" t="s">
        <v>69</v>
      </c>
      <c r="E54" s="48" t="s">
        <v>254</v>
      </c>
      <c r="F54" s="48" t="s">
        <v>254</v>
      </c>
      <c r="G54" s="47" t="s">
        <v>260</v>
      </c>
      <c r="H54" s="47" t="s">
        <v>44</v>
      </c>
      <c r="I54" s="47" t="s">
        <v>107</v>
      </c>
      <c r="J54" s="48" t="s">
        <v>209</v>
      </c>
      <c r="K54" s="51" t="s">
        <v>108</v>
      </c>
      <c r="L54" s="51" t="s">
        <v>109</v>
      </c>
      <c r="M54" s="46" t="s">
        <v>29</v>
      </c>
      <c r="N54" s="49" t="s">
        <v>172</v>
      </c>
      <c r="O54" s="50" t="s">
        <v>46</v>
      </c>
      <c r="P54" s="13">
        <v>11.89</v>
      </c>
      <c r="Q54" s="36">
        <f t="shared" si="7"/>
        <v>0.41522287636669475</v>
      </c>
      <c r="R54" s="37">
        <f t="shared" si="8"/>
        <v>6.9529999999999994</v>
      </c>
      <c r="S54" s="42">
        <v>0.15</v>
      </c>
      <c r="T54" s="43">
        <v>8.18</v>
      </c>
      <c r="U54" s="37">
        <f t="shared" si="9"/>
        <v>4.9370000000000012</v>
      </c>
      <c r="V54" s="38" t="str">
        <f t="shared" si="10"/>
        <v>1005820352465331361085</v>
      </c>
      <c r="W54" s="39">
        <v>44531</v>
      </c>
      <c r="X54" s="40"/>
      <c r="Y54" s="44"/>
      <c r="Z54" s="45">
        <f t="shared" si="11"/>
        <v>0</v>
      </c>
      <c r="AA54" s="62"/>
      <c r="AB54" s="63">
        <f t="shared" si="5"/>
        <v>0</v>
      </c>
      <c r="AC54" s="62"/>
      <c r="AD54" s="62">
        <f t="shared" si="6"/>
        <v>0</v>
      </c>
      <c r="AE54" s="6"/>
    </row>
    <row r="55" spans="1:31" s="12" customFormat="1" x14ac:dyDescent="0.2">
      <c r="A55" s="41"/>
      <c r="B55" s="46" t="s">
        <v>27</v>
      </c>
      <c r="C55" s="46" t="s">
        <v>60</v>
      </c>
      <c r="D55" s="46" t="s">
        <v>69</v>
      </c>
      <c r="E55" s="48" t="s">
        <v>254</v>
      </c>
      <c r="F55" s="48" t="s">
        <v>254</v>
      </c>
      <c r="G55" s="47" t="s">
        <v>260</v>
      </c>
      <c r="H55" s="47" t="s">
        <v>44</v>
      </c>
      <c r="I55" s="47" t="s">
        <v>107</v>
      </c>
      <c r="J55" s="48" t="s">
        <v>209</v>
      </c>
      <c r="K55" s="51" t="s">
        <v>108</v>
      </c>
      <c r="L55" s="51" t="s">
        <v>109</v>
      </c>
      <c r="M55" s="46" t="s">
        <v>29</v>
      </c>
      <c r="N55" s="48" t="s">
        <v>162</v>
      </c>
      <c r="O55" s="46" t="s">
        <v>31</v>
      </c>
      <c r="P55" s="13">
        <v>25.86</v>
      </c>
      <c r="Q55" s="36">
        <f t="shared" si="7"/>
        <v>0.1453982985305492</v>
      </c>
      <c r="R55" s="37">
        <f t="shared" si="8"/>
        <v>22.099999999999998</v>
      </c>
      <c r="S55" s="42">
        <v>0.15</v>
      </c>
      <c r="T55" s="43">
        <v>25.999999999999996</v>
      </c>
      <c r="U55" s="37">
        <f t="shared" si="9"/>
        <v>3.7600000000000016</v>
      </c>
      <c r="V55" s="38" t="str">
        <f t="shared" si="10"/>
        <v>1005820352465331361571</v>
      </c>
      <c r="W55" s="39">
        <v>44531</v>
      </c>
      <c r="X55" s="40"/>
      <c r="Y55" s="44"/>
      <c r="Z55" s="45">
        <f t="shared" si="11"/>
        <v>0</v>
      </c>
      <c r="AA55" s="62"/>
      <c r="AB55" s="63">
        <f t="shared" si="5"/>
        <v>0</v>
      </c>
      <c r="AC55" s="62"/>
      <c r="AD55" s="62">
        <f t="shared" si="6"/>
        <v>0</v>
      </c>
      <c r="AE55" s="6"/>
    </row>
    <row r="56" spans="1:31" s="12" customFormat="1" x14ac:dyDescent="0.2">
      <c r="A56" s="41"/>
      <c r="B56" s="46" t="s">
        <v>27</v>
      </c>
      <c r="C56" s="46" t="s">
        <v>60</v>
      </c>
      <c r="D56" s="46" t="s">
        <v>69</v>
      </c>
      <c r="E56" s="48" t="s">
        <v>254</v>
      </c>
      <c r="F56" s="48" t="s">
        <v>254</v>
      </c>
      <c r="G56" s="47" t="s">
        <v>260</v>
      </c>
      <c r="H56" s="47" t="s">
        <v>44</v>
      </c>
      <c r="I56" s="47" t="s">
        <v>107</v>
      </c>
      <c r="J56" s="48" t="s">
        <v>209</v>
      </c>
      <c r="K56" s="51" t="s">
        <v>108</v>
      </c>
      <c r="L56" s="51" t="s">
        <v>109</v>
      </c>
      <c r="M56" s="46" t="s">
        <v>34</v>
      </c>
      <c r="N56" s="48" t="s">
        <v>173</v>
      </c>
      <c r="O56" s="46" t="s">
        <v>47</v>
      </c>
      <c r="P56" s="13">
        <v>41.42</v>
      </c>
      <c r="Q56" s="36">
        <f t="shared" si="7"/>
        <v>0.45823273780782237</v>
      </c>
      <c r="R56" s="37">
        <f t="shared" si="8"/>
        <v>22.439999999999998</v>
      </c>
      <c r="S56" s="42">
        <v>0.15</v>
      </c>
      <c r="T56" s="43">
        <v>26.4</v>
      </c>
      <c r="U56" s="37">
        <f t="shared" si="9"/>
        <v>18.980000000000004</v>
      </c>
      <c r="V56" s="38" t="str">
        <f t="shared" si="10"/>
        <v>1005820352465331361535</v>
      </c>
      <c r="W56" s="39">
        <v>44531</v>
      </c>
      <c r="X56" s="40"/>
      <c r="Y56" s="44"/>
      <c r="Z56" s="45">
        <f t="shared" si="11"/>
        <v>0</v>
      </c>
      <c r="AA56" s="62"/>
      <c r="AB56" s="63">
        <f t="shared" si="5"/>
        <v>0</v>
      </c>
      <c r="AC56" s="62"/>
      <c r="AD56" s="62">
        <f t="shared" si="6"/>
        <v>0</v>
      </c>
      <c r="AE56" s="6"/>
    </row>
    <row r="57" spans="1:31" s="12" customFormat="1" x14ac:dyDescent="0.2">
      <c r="A57" s="41"/>
      <c r="B57" s="46" t="s">
        <v>27</v>
      </c>
      <c r="C57" s="46" t="s">
        <v>60</v>
      </c>
      <c r="D57" s="46" t="s">
        <v>69</v>
      </c>
      <c r="E57" s="48" t="s">
        <v>254</v>
      </c>
      <c r="F57" s="48" t="s">
        <v>254</v>
      </c>
      <c r="G57" s="47" t="s">
        <v>260</v>
      </c>
      <c r="H57" s="47" t="s">
        <v>44</v>
      </c>
      <c r="I57" s="47" t="s">
        <v>107</v>
      </c>
      <c r="J57" s="48" t="s">
        <v>210</v>
      </c>
      <c r="K57" s="51" t="s">
        <v>110</v>
      </c>
      <c r="L57" s="51" t="s">
        <v>109</v>
      </c>
      <c r="M57" s="46" t="s">
        <v>29</v>
      </c>
      <c r="N57" s="48" t="s">
        <v>162</v>
      </c>
      <c r="O57" s="46" t="s">
        <v>31</v>
      </c>
      <c r="P57" s="13">
        <v>25.86</v>
      </c>
      <c r="Q57" s="36">
        <f t="shared" si="7"/>
        <v>0.1453982985305492</v>
      </c>
      <c r="R57" s="37">
        <f t="shared" si="8"/>
        <v>22.099999999999998</v>
      </c>
      <c r="S57" s="42">
        <v>0.15</v>
      </c>
      <c r="T57" s="43">
        <v>25.999999999999996</v>
      </c>
      <c r="U57" s="37">
        <f t="shared" si="9"/>
        <v>3.7600000000000016</v>
      </c>
      <c r="V57" s="38" t="str">
        <f t="shared" si="10"/>
        <v>1005820100176450361571</v>
      </c>
      <c r="W57" s="39">
        <v>44531</v>
      </c>
      <c r="X57" s="40"/>
      <c r="Y57" s="44"/>
      <c r="Z57" s="45">
        <f t="shared" si="11"/>
        <v>0</v>
      </c>
      <c r="AA57" s="62"/>
      <c r="AB57" s="63">
        <f t="shared" si="5"/>
        <v>0</v>
      </c>
      <c r="AC57" s="62"/>
      <c r="AD57" s="62">
        <f t="shared" si="6"/>
        <v>0</v>
      </c>
      <c r="AE57" s="6"/>
    </row>
    <row r="58" spans="1:31" s="12" customFormat="1" x14ac:dyDescent="0.2">
      <c r="A58" s="41"/>
      <c r="B58" s="46" t="s">
        <v>27</v>
      </c>
      <c r="C58" s="46" t="s">
        <v>60</v>
      </c>
      <c r="D58" s="46" t="s">
        <v>69</v>
      </c>
      <c r="E58" s="48" t="s">
        <v>254</v>
      </c>
      <c r="F58" s="48" t="s">
        <v>254</v>
      </c>
      <c r="G58" s="47" t="s">
        <v>260</v>
      </c>
      <c r="H58" s="47" t="s">
        <v>44</v>
      </c>
      <c r="I58" s="47" t="s">
        <v>107</v>
      </c>
      <c r="J58" s="48" t="s">
        <v>210</v>
      </c>
      <c r="K58" s="51" t="s">
        <v>110</v>
      </c>
      <c r="L58" s="51" t="s">
        <v>109</v>
      </c>
      <c r="M58" s="46" t="s">
        <v>34</v>
      </c>
      <c r="N58" s="48" t="s">
        <v>166</v>
      </c>
      <c r="O58" s="46" t="s">
        <v>35</v>
      </c>
      <c r="P58" s="13">
        <v>112.81</v>
      </c>
      <c r="Q58" s="36">
        <f t="shared" si="7"/>
        <v>0.21336760925449882</v>
      </c>
      <c r="R58" s="37">
        <f t="shared" si="8"/>
        <v>88.74</v>
      </c>
      <c r="S58" s="42">
        <v>0.15</v>
      </c>
      <c r="T58" s="43">
        <v>104.39999999999999</v>
      </c>
      <c r="U58" s="37">
        <f t="shared" si="9"/>
        <v>24.070000000000007</v>
      </c>
      <c r="V58" s="38" t="str">
        <f t="shared" si="10"/>
        <v>1005820100176450361531</v>
      </c>
      <c r="W58" s="39">
        <v>44531</v>
      </c>
      <c r="X58" s="40"/>
      <c r="Y58" s="44">
        <v>10</v>
      </c>
      <c r="Z58" s="45">
        <f t="shared" si="11"/>
        <v>240.70000000000007</v>
      </c>
      <c r="AA58" s="62">
        <f>180/18</f>
        <v>10</v>
      </c>
      <c r="AB58" s="63">
        <f t="shared" si="5"/>
        <v>240.70000000000007</v>
      </c>
      <c r="AC58" s="62" t="s">
        <v>319</v>
      </c>
      <c r="AD58" s="62">
        <f t="shared" si="6"/>
        <v>0</v>
      </c>
      <c r="AE58" s="6"/>
    </row>
    <row r="59" spans="1:31" s="12" customFormat="1" x14ac:dyDescent="0.2">
      <c r="A59" s="41"/>
      <c r="B59" s="46" t="s">
        <v>27</v>
      </c>
      <c r="C59" s="46" t="s">
        <v>60</v>
      </c>
      <c r="D59" s="46" t="s">
        <v>69</v>
      </c>
      <c r="E59" s="48" t="s">
        <v>254</v>
      </c>
      <c r="F59" s="48" t="s">
        <v>254</v>
      </c>
      <c r="G59" s="47" t="s">
        <v>260</v>
      </c>
      <c r="H59" s="47" t="s">
        <v>44</v>
      </c>
      <c r="I59" s="47" t="s">
        <v>107</v>
      </c>
      <c r="J59" s="48" t="s">
        <v>210</v>
      </c>
      <c r="K59" s="51" t="s">
        <v>110</v>
      </c>
      <c r="L59" s="51" t="s">
        <v>109</v>
      </c>
      <c r="M59" s="46" t="s">
        <v>34</v>
      </c>
      <c r="N59" s="48" t="s">
        <v>173</v>
      </c>
      <c r="O59" s="46" t="s">
        <v>47</v>
      </c>
      <c r="P59" s="13">
        <v>41.42</v>
      </c>
      <c r="Q59" s="36">
        <f t="shared" si="7"/>
        <v>0.45823273780782237</v>
      </c>
      <c r="R59" s="37">
        <f t="shared" si="8"/>
        <v>22.439999999999998</v>
      </c>
      <c r="S59" s="42">
        <v>0.15</v>
      </c>
      <c r="T59" s="43">
        <v>26.4</v>
      </c>
      <c r="U59" s="37">
        <f t="shared" si="9"/>
        <v>18.980000000000004</v>
      </c>
      <c r="V59" s="38" t="str">
        <f t="shared" si="10"/>
        <v>1005820100176450361535</v>
      </c>
      <c r="W59" s="39">
        <v>44531</v>
      </c>
      <c r="X59" s="40"/>
      <c r="Y59" s="44"/>
      <c r="Z59" s="45">
        <f t="shared" si="11"/>
        <v>0</v>
      </c>
      <c r="AA59" s="62"/>
      <c r="AB59" s="63">
        <f t="shared" si="5"/>
        <v>0</v>
      </c>
      <c r="AC59" s="62"/>
      <c r="AD59" s="62">
        <f t="shared" si="6"/>
        <v>0</v>
      </c>
      <c r="AE59" s="6"/>
    </row>
    <row r="60" spans="1:31" s="12" customFormat="1" x14ac:dyDescent="0.2">
      <c r="A60" s="41"/>
      <c r="B60" s="46" t="s">
        <v>27</v>
      </c>
      <c r="C60" s="46" t="s">
        <v>60</v>
      </c>
      <c r="D60" s="46" t="s">
        <v>69</v>
      </c>
      <c r="E60" s="48" t="s">
        <v>254</v>
      </c>
      <c r="F60" s="48" t="s">
        <v>254</v>
      </c>
      <c r="G60" s="47" t="s">
        <v>255</v>
      </c>
      <c r="H60" s="47" t="s">
        <v>44</v>
      </c>
      <c r="I60" s="47" t="s">
        <v>64</v>
      </c>
      <c r="J60" s="48" t="s">
        <v>211</v>
      </c>
      <c r="K60" s="51" t="s">
        <v>111</v>
      </c>
      <c r="L60" s="51" t="s">
        <v>256</v>
      </c>
      <c r="M60" s="46" t="s">
        <v>29</v>
      </c>
      <c r="N60" s="48" t="s">
        <v>165</v>
      </c>
      <c r="O60" s="46" t="s">
        <v>33</v>
      </c>
      <c r="P60" s="13">
        <v>50.39</v>
      </c>
      <c r="Q60" s="36">
        <f t="shared" si="7"/>
        <v>0.16332605675729317</v>
      </c>
      <c r="R60" s="37">
        <f t="shared" si="8"/>
        <v>42.16</v>
      </c>
      <c r="S60" s="42">
        <v>0.15</v>
      </c>
      <c r="T60" s="43">
        <v>49.599999999999994</v>
      </c>
      <c r="U60" s="37">
        <f t="shared" si="9"/>
        <v>8.230000000000004</v>
      </c>
      <c r="V60" s="38" t="str">
        <f t="shared" si="10"/>
        <v>1005820100050359361540</v>
      </c>
      <c r="W60" s="39">
        <v>44531</v>
      </c>
      <c r="X60" s="40"/>
      <c r="Y60" s="44"/>
      <c r="Z60" s="45">
        <f t="shared" si="11"/>
        <v>0</v>
      </c>
      <c r="AA60" s="62"/>
      <c r="AB60" s="63">
        <f t="shared" si="5"/>
        <v>0</v>
      </c>
      <c r="AC60" s="62"/>
      <c r="AD60" s="62">
        <f t="shared" si="6"/>
        <v>0</v>
      </c>
      <c r="AE60" s="6"/>
    </row>
    <row r="61" spans="1:31" s="12" customFormat="1" x14ac:dyDescent="0.2">
      <c r="A61" s="41"/>
      <c r="B61" s="46" t="s">
        <v>27</v>
      </c>
      <c r="C61" s="46" t="s">
        <v>60</v>
      </c>
      <c r="D61" s="46" t="s">
        <v>69</v>
      </c>
      <c r="E61" s="48" t="s">
        <v>254</v>
      </c>
      <c r="F61" s="48" t="s">
        <v>254</v>
      </c>
      <c r="G61" s="47" t="s">
        <v>255</v>
      </c>
      <c r="H61" s="47" t="s">
        <v>44</v>
      </c>
      <c r="I61" s="47" t="s">
        <v>64</v>
      </c>
      <c r="J61" s="48" t="s">
        <v>211</v>
      </c>
      <c r="K61" s="51" t="s">
        <v>111</v>
      </c>
      <c r="L61" s="51" t="s">
        <v>256</v>
      </c>
      <c r="M61" s="46" t="s">
        <v>34</v>
      </c>
      <c r="N61" s="48" t="s">
        <v>181</v>
      </c>
      <c r="O61" s="46" t="s">
        <v>56</v>
      </c>
      <c r="P61" s="13">
        <v>116.69</v>
      </c>
      <c r="Q61" s="36">
        <f t="shared" si="7"/>
        <v>0.17658753963493012</v>
      </c>
      <c r="R61" s="37">
        <f t="shared" si="8"/>
        <v>96.084000000000003</v>
      </c>
      <c r="S61" s="42">
        <v>0.15</v>
      </c>
      <c r="T61" s="43">
        <v>113.04</v>
      </c>
      <c r="U61" s="37">
        <f t="shared" si="9"/>
        <v>20.605999999999995</v>
      </c>
      <c r="V61" s="38" t="str">
        <f t="shared" si="10"/>
        <v>1005820100050359361530</v>
      </c>
      <c r="W61" s="39">
        <v>44531</v>
      </c>
      <c r="X61" s="40"/>
      <c r="Y61" s="44"/>
      <c r="Z61" s="45">
        <f t="shared" si="11"/>
        <v>0</v>
      </c>
      <c r="AA61" s="62"/>
      <c r="AB61" s="63">
        <f t="shared" si="5"/>
        <v>0</v>
      </c>
      <c r="AC61" s="62"/>
      <c r="AD61" s="62">
        <f t="shared" si="6"/>
        <v>0</v>
      </c>
      <c r="AE61" s="6"/>
    </row>
    <row r="62" spans="1:31" s="12" customFormat="1" x14ac:dyDescent="0.2">
      <c r="A62" s="41"/>
      <c r="B62" s="46" t="s">
        <v>27</v>
      </c>
      <c r="C62" s="46" t="s">
        <v>60</v>
      </c>
      <c r="D62" s="46" t="s">
        <v>69</v>
      </c>
      <c r="E62" s="48" t="s">
        <v>254</v>
      </c>
      <c r="F62" s="48" t="s">
        <v>254</v>
      </c>
      <c r="G62" s="47" t="s">
        <v>255</v>
      </c>
      <c r="H62" s="47" t="s">
        <v>44</v>
      </c>
      <c r="I62" s="47" t="s">
        <v>64</v>
      </c>
      <c r="J62" s="48" t="s">
        <v>211</v>
      </c>
      <c r="K62" s="51" t="s">
        <v>111</v>
      </c>
      <c r="L62" s="51" t="s">
        <v>256</v>
      </c>
      <c r="M62" s="46" t="s">
        <v>34</v>
      </c>
      <c r="N62" s="48" t="s">
        <v>177</v>
      </c>
      <c r="O62" s="46" t="s">
        <v>52</v>
      </c>
      <c r="P62" s="13">
        <v>77.8</v>
      </c>
      <c r="Q62" s="36">
        <f t="shared" si="7"/>
        <v>0.21577120822622109</v>
      </c>
      <c r="R62" s="37">
        <f t="shared" si="8"/>
        <v>61.012999999999998</v>
      </c>
      <c r="S62" s="42">
        <v>0.15</v>
      </c>
      <c r="T62" s="43">
        <v>71.78</v>
      </c>
      <c r="U62" s="37">
        <f t="shared" si="9"/>
        <v>16.786999999999999</v>
      </c>
      <c r="V62" s="38" t="str">
        <f t="shared" si="10"/>
        <v>1005820100050359361537</v>
      </c>
      <c r="W62" s="39">
        <v>44531</v>
      </c>
      <c r="X62" s="40"/>
      <c r="Y62" s="44"/>
      <c r="Z62" s="45">
        <f t="shared" si="11"/>
        <v>0</v>
      </c>
      <c r="AA62" s="62"/>
      <c r="AB62" s="63">
        <f t="shared" si="5"/>
        <v>0</v>
      </c>
      <c r="AC62" s="62"/>
      <c r="AD62" s="62">
        <f t="shared" si="6"/>
        <v>0</v>
      </c>
      <c r="AE62" s="6"/>
    </row>
    <row r="63" spans="1:31" s="12" customFormat="1" x14ac:dyDescent="0.2">
      <c r="A63" s="41"/>
      <c r="B63" s="46" t="s">
        <v>27</v>
      </c>
      <c r="C63" s="46" t="s">
        <v>60</v>
      </c>
      <c r="D63" s="46" t="s">
        <v>69</v>
      </c>
      <c r="E63" s="48" t="s">
        <v>254</v>
      </c>
      <c r="F63" s="48" t="s">
        <v>254</v>
      </c>
      <c r="G63" s="47" t="s">
        <v>255</v>
      </c>
      <c r="H63" s="47" t="s">
        <v>44</v>
      </c>
      <c r="I63" s="47" t="s">
        <v>64</v>
      </c>
      <c r="J63" s="48" t="s">
        <v>211</v>
      </c>
      <c r="K63" s="51" t="s">
        <v>111</v>
      </c>
      <c r="L63" s="51" t="s">
        <v>256</v>
      </c>
      <c r="M63" s="46" t="s">
        <v>34</v>
      </c>
      <c r="N63" s="48" t="s">
        <v>178</v>
      </c>
      <c r="O63" s="46" t="s">
        <v>53</v>
      </c>
      <c r="P63" s="13">
        <v>70.59</v>
      </c>
      <c r="Q63" s="36">
        <f t="shared" si="7"/>
        <v>0.18359541011474723</v>
      </c>
      <c r="R63" s="37">
        <f t="shared" si="8"/>
        <v>57.629999999999995</v>
      </c>
      <c r="S63" s="42">
        <v>0.15</v>
      </c>
      <c r="T63" s="43">
        <v>67.8</v>
      </c>
      <c r="U63" s="37">
        <f t="shared" si="9"/>
        <v>12.960000000000008</v>
      </c>
      <c r="V63" s="38" t="str">
        <f t="shared" si="10"/>
        <v>1005820100050359361533</v>
      </c>
      <c r="W63" s="39">
        <v>44531</v>
      </c>
      <c r="X63" s="40"/>
      <c r="Y63" s="44"/>
      <c r="Z63" s="45">
        <f t="shared" si="11"/>
        <v>0</v>
      </c>
      <c r="AA63" s="62"/>
      <c r="AB63" s="63">
        <f t="shared" si="5"/>
        <v>0</v>
      </c>
      <c r="AC63" s="62"/>
      <c r="AD63" s="62">
        <f t="shared" si="6"/>
        <v>0</v>
      </c>
      <c r="AE63" s="6"/>
    </row>
    <row r="64" spans="1:31" s="12" customFormat="1" x14ac:dyDescent="0.2">
      <c r="A64" s="41"/>
      <c r="B64" s="46" t="s">
        <v>27</v>
      </c>
      <c r="C64" s="46" t="s">
        <v>60</v>
      </c>
      <c r="D64" s="46" t="s">
        <v>69</v>
      </c>
      <c r="E64" s="48" t="s">
        <v>254</v>
      </c>
      <c r="F64" s="48" t="s">
        <v>254</v>
      </c>
      <c r="G64" s="47" t="s">
        <v>253</v>
      </c>
      <c r="H64" s="47" t="s">
        <v>44</v>
      </c>
      <c r="I64" s="47" t="s">
        <v>59</v>
      </c>
      <c r="J64" s="48" t="s">
        <v>212</v>
      </c>
      <c r="K64" s="51" t="s">
        <v>112</v>
      </c>
      <c r="L64" s="51" t="s">
        <v>256</v>
      </c>
      <c r="M64" s="46" t="s">
        <v>29</v>
      </c>
      <c r="N64" s="48" t="s">
        <v>162</v>
      </c>
      <c r="O64" s="46" t="s">
        <v>31</v>
      </c>
      <c r="P64" s="13">
        <v>25.86</v>
      </c>
      <c r="Q64" s="36">
        <f t="shared" si="7"/>
        <v>8.2289249806651199E-2</v>
      </c>
      <c r="R64" s="37">
        <f t="shared" si="8"/>
        <v>23.731999999999999</v>
      </c>
      <c r="S64" s="42">
        <v>0.15</v>
      </c>
      <c r="T64" s="43">
        <v>27.919999999999998</v>
      </c>
      <c r="U64" s="37">
        <f t="shared" si="9"/>
        <v>2.1280000000000001</v>
      </c>
      <c r="V64" s="38" t="str">
        <f t="shared" si="10"/>
        <v>1005820104420282361571</v>
      </c>
      <c r="W64" s="39">
        <v>44531</v>
      </c>
      <c r="X64" s="40"/>
      <c r="Y64" s="44">
        <v>60</v>
      </c>
      <c r="Z64" s="45">
        <f t="shared" si="11"/>
        <v>127.68</v>
      </c>
      <c r="AA64" s="62">
        <f>240/4</f>
        <v>60</v>
      </c>
      <c r="AB64" s="63">
        <f t="shared" si="5"/>
        <v>127.68</v>
      </c>
      <c r="AC64" s="62" t="s">
        <v>319</v>
      </c>
      <c r="AD64" s="62">
        <f t="shared" si="6"/>
        <v>0</v>
      </c>
      <c r="AE64" s="6"/>
    </row>
    <row r="65" spans="1:31" s="12" customFormat="1" x14ac:dyDescent="0.2">
      <c r="A65" s="41"/>
      <c r="B65" s="46" t="s">
        <v>27</v>
      </c>
      <c r="C65" s="46" t="s">
        <v>60</v>
      </c>
      <c r="D65" s="46" t="s">
        <v>69</v>
      </c>
      <c r="E65" s="48" t="s">
        <v>254</v>
      </c>
      <c r="F65" s="48" t="s">
        <v>254</v>
      </c>
      <c r="G65" s="47" t="s">
        <v>253</v>
      </c>
      <c r="H65" s="47" t="s">
        <v>44</v>
      </c>
      <c r="I65" s="47" t="s">
        <v>59</v>
      </c>
      <c r="J65" s="48" t="s">
        <v>212</v>
      </c>
      <c r="K65" s="51" t="s">
        <v>112</v>
      </c>
      <c r="L65" s="51" t="s">
        <v>256</v>
      </c>
      <c r="M65" s="46" t="s">
        <v>34</v>
      </c>
      <c r="N65" s="48" t="s">
        <v>181</v>
      </c>
      <c r="O65" s="46" t="s">
        <v>56</v>
      </c>
      <c r="P65" s="13">
        <v>116.69</v>
      </c>
      <c r="Q65" s="36">
        <f t="shared" si="7"/>
        <v>0.18969920301653964</v>
      </c>
      <c r="R65" s="37">
        <f t="shared" si="8"/>
        <v>94.553999999999988</v>
      </c>
      <c r="S65" s="42">
        <v>0.15</v>
      </c>
      <c r="T65" s="43">
        <v>111.24</v>
      </c>
      <c r="U65" s="37">
        <f t="shared" si="9"/>
        <v>22.13600000000001</v>
      </c>
      <c r="V65" s="38" t="str">
        <f t="shared" si="10"/>
        <v>1005820104420282361530</v>
      </c>
      <c r="W65" s="39">
        <v>44531</v>
      </c>
      <c r="X65" s="40"/>
      <c r="Y65" s="44"/>
      <c r="Z65" s="45">
        <f t="shared" si="11"/>
        <v>0</v>
      </c>
      <c r="AA65" s="62"/>
      <c r="AB65" s="63">
        <f t="shared" si="5"/>
        <v>0</v>
      </c>
      <c r="AC65" s="62"/>
      <c r="AD65" s="62">
        <f t="shared" si="6"/>
        <v>0</v>
      </c>
      <c r="AE65" s="6"/>
    </row>
    <row r="66" spans="1:31" s="12" customFormat="1" x14ac:dyDescent="0.2">
      <c r="A66" s="41"/>
      <c r="B66" s="46" t="s">
        <v>27</v>
      </c>
      <c r="C66" s="46" t="s">
        <v>60</v>
      </c>
      <c r="D66" s="46" t="s">
        <v>69</v>
      </c>
      <c r="E66" s="48" t="s">
        <v>254</v>
      </c>
      <c r="F66" s="48" t="s">
        <v>254</v>
      </c>
      <c r="G66" s="47" t="s">
        <v>253</v>
      </c>
      <c r="H66" s="47" t="s">
        <v>44</v>
      </c>
      <c r="I66" s="47" t="s">
        <v>59</v>
      </c>
      <c r="J66" s="48" t="s">
        <v>213</v>
      </c>
      <c r="K66" s="51" t="s">
        <v>113</v>
      </c>
      <c r="L66" s="51" t="s">
        <v>256</v>
      </c>
      <c r="M66" s="46" t="s">
        <v>34</v>
      </c>
      <c r="N66" s="48" t="s">
        <v>167</v>
      </c>
      <c r="O66" s="46" t="s">
        <v>36</v>
      </c>
      <c r="P66" s="13">
        <v>26.44</v>
      </c>
      <c r="Q66" s="36">
        <f t="shared" si="7"/>
        <v>0.42312904014731223</v>
      </c>
      <c r="R66" s="37">
        <f t="shared" si="8"/>
        <v>15.252468178505065</v>
      </c>
      <c r="S66" s="42">
        <v>0.15</v>
      </c>
      <c r="T66" s="43">
        <v>17.944080210005961</v>
      </c>
      <c r="U66" s="37">
        <f t="shared" si="9"/>
        <v>11.187531821494936</v>
      </c>
      <c r="V66" s="38" t="str">
        <f t="shared" si="10"/>
        <v>1005820602822207361532</v>
      </c>
      <c r="W66" s="39">
        <v>44531</v>
      </c>
      <c r="X66" s="40"/>
      <c r="Y66" s="44"/>
      <c r="Z66" s="45">
        <f t="shared" si="11"/>
        <v>0</v>
      </c>
      <c r="AA66" s="62"/>
      <c r="AB66" s="63">
        <f t="shared" si="5"/>
        <v>0</v>
      </c>
      <c r="AC66" s="62"/>
      <c r="AD66" s="62">
        <f t="shared" si="6"/>
        <v>0</v>
      </c>
      <c r="AE66" s="6"/>
    </row>
    <row r="67" spans="1:31" s="12" customFormat="1" x14ac:dyDescent="0.2">
      <c r="A67" s="41"/>
      <c r="B67" s="46" t="s">
        <v>27</v>
      </c>
      <c r="C67" s="46" t="s">
        <v>60</v>
      </c>
      <c r="D67" s="46" t="s">
        <v>69</v>
      </c>
      <c r="E67" s="48" t="s">
        <v>254</v>
      </c>
      <c r="F67" s="48" t="s">
        <v>254</v>
      </c>
      <c r="G67" s="47" t="s">
        <v>251</v>
      </c>
      <c r="H67" s="47" t="s">
        <v>58</v>
      </c>
      <c r="I67" s="47" t="s">
        <v>67</v>
      </c>
      <c r="J67" s="48" t="s">
        <v>214</v>
      </c>
      <c r="K67" s="51" t="s">
        <v>114</v>
      </c>
      <c r="L67" s="51" t="s">
        <v>256</v>
      </c>
      <c r="M67" s="46" t="s">
        <v>34</v>
      </c>
      <c r="N67" s="48" t="s">
        <v>167</v>
      </c>
      <c r="O67" s="46" t="s">
        <v>36</v>
      </c>
      <c r="P67" s="13">
        <v>26.44</v>
      </c>
      <c r="Q67" s="36">
        <f t="shared" si="7"/>
        <v>8.6346444780635467E-2</v>
      </c>
      <c r="R67" s="37">
        <f t="shared" si="8"/>
        <v>24.157</v>
      </c>
      <c r="S67" s="42">
        <v>0.15</v>
      </c>
      <c r="T67" s="43">
        <v>28.42</v>
      </c>
      <c r="U67" s="37">
        <f t="shared" si="9"/>
        <v>2.2830000000000013</v>
      </c>
      <c r="V67" s="38" t="str">
        <f t="shared" si="10"/>
        <v>1005820100055661361532</v>
      </c>
      <c r="W67" s="39">
        <v>44531</v>
      </c>
      <c r="X67" s="40"/>
      <c r="Y67" s="44">
        <v>15</v>
      </c>
      <c r="Z67" s="45">
        <f t="shared" si="11"/>
        <v>34.245000000000019</v>
      </c>
      <c r="AA67" s="62">
        <f>30/2</f>
        <v>15</v>
      </c>
      <c r="AB67" s="63">
        <f t="shared" si="5"/>
        <v>34.245000000000019</v>
      </c>
      <c r="AC67" s="62" t="s">
        <v>319</v>
      </c>
      <c r="AD67" s="62">
        <f t="shared" si="6"/>
        <v>0</v>
      </c>
      <c r="AE67" s="6"/>
    </row>
    <row r="68" spans="1:31" s="12" customFormat="1" x14ac:dyDescent="0.2">
      <c r="A68" s="41"/>
      <c r="B68" s="46" t="s">
        <v>27</v>
      </c>
      <c r="C68" s="46" t="s">
        <v>60</v>
      </c>
      <c r="D68" s="46" t="s">
        <v>69</v>
      </c>
      <c r="E68" s="48" t="s">
        <v>254</v>
      </c>
      <c r="F68" s="48" t="s">
        <v>254</v>
      </c>
      <c r="G68" s="47" t="s">
        <v>251</v>
      </c>
      <c r="H68" s="47" t="s">
        <v>81</v>
      </c>
      <c r="I68" s="47" t="s">
        <v>155</v>
      </c>
      <c r="J68" s="48" t="s">
        <v>215</v>
      </c>
      <c r="K68" s="51" t="s">
        <v>115</v>
      </c>
      <c r="L68" s="51" t="s">
        <v>256</v>
      </c>
      <c r="M68" s="46" t="s">
        <v>28</v>
      </c>
      <c r="N68" s="48" t="s">
        <v>267</v>
      </c>
      <c r="O68" s="46" t="s">
        <v>266</v>
      </c>
      <c r="P68" s="13">
        <v>54.03</v>
      </c>
      <c r="Q68" s="36">
        <f t="shared" si="7"/>
        <v>0.16683324079215256</v>
      </c>
      <c r="R68" s="37">
        <f t="shared" si="8"/>
        <v>45.015999999999998</v>
      </c>
      <c r="S68" s="42">
        <v>0.15</v>
      </c>
      <c r="T68" s="43">
        <v>52.96</v>
      </c>
      <c r="U68" s="37">
        <f t="shared" si="9"/>
        <v>9.0140000000000029</v>
      </c>
      <c r="V68" s="38" t="str">
        <f t="shared" si="10"/>
        <v>1005820100122368361311</v>
      </c>
      <c r="W68" s="39">
        <v>44531</v>
      </c>
      <c r="X68" s="40">
        <v>15</v>
      </c>
      <c r="Y68" s="44">
        <v>25</v>
      </c>
      <c r="Z68" s="45">
        <f t="shared" si="11"/>
        <v>225.35000000000008</v>
      </c>
      <c r="AA68" s="62">
        <f>10+15</f>
        <v>25</v>
      </c>
      <c r="AB68" s="63">
        <f t="shared" si="5"/>
        <v>225.35000000000008</v>
      </c>
      <c r="AC68" s="62" t="s">
        <v>319</v>
      </c>
      <c r="AD68" s="62">
        <f t="shared" si="6"/>
        <v>0</v>
      </c>
      <c r="AE68" s="6"/>
    </row>
    <row r="69" spans="1:31" s="12" customFormat="1" x14ac:dyDescent="0.2">
      <c r="A69" s="41"/>
      <c r="B69" s="46" t="s">
        <v>27</v>
      </c>
      <c r="C69" s="46" t="s">
        <v>60</v>
      </c>
      <c r="D69" s="46" t="s">
        <v>69</v>
      </c>
      <c r="E69" s="48" t="s">
        <v>254</v>
      </c>
      <c r="F69" s="48" t="s">
        <v>254</v>
      </c>
      <c r="G69" s="47" t="s">
        <v>251</v>
      </c>
      <c r="H69" s="47" t="s">
        <v>81</v>
      </c>
      <c r="I69" s="47" t="s">
        <v>155</v>
      </c>
      <c r="J69" s="48" t="s">
        <v>215</v>
      </c>
      <c r="K69" s="51" t="s">
        <v>115</v>
      </c>
      <c r="L69" s="51" t="s">
        <v>256</v>
      </c>
      <c r="M69" s="46" t="s">
        <v>29</v>
      </c>
      <c r="N69" s="48" t="s">
        <v>162</v>
      </c>
      <c r="O69" s="46" t="s">
        <v>31</v>
      </c>
      <c r="P69" s="13">
        <v>25.86</v>
      </c>
      <c r="Q69" s="36">
        <f t="shared" si="7"/>
        <v>8.1216030880730483E-2</v>
      </c>
      <c r="R69" s="37">
        <f t="shared" si="8"/>
        <v>23.759753441424309</v>
      </c>
      <c r="S69" s="42">
        <v>0.15</v>
      </c>
      <c r="T69" s="43">
        <v>27.952651107558012</v>
      </c>
      <c r="U69" s="37">
        <f t="shared" si="9"/>
        <v>2.1002465585756909</v>
      </c>
      <c r="V69" s="38" t="str">
        <f t="shared" si="10"/>
        <v>1005820100122368361571</v>
      </c>
      <c r="W69" s="39">
        <v>44531</v>
      </c>
      <c r="X69" s="40">
        <v>60</v>
      </c>
      <c r="Y69" s="44">
        <v>60</v>
      </c>
      <c r="Z69" s="45">
        <f t="shared" si="11"/>
        <v>126.01479351454145</v>
      </c>
      <c r="AA69" s="62">
        <f>(140+100)/4</f>
        <v>60</v>
      </c>
      <c r="AB69" s="63">
        <f t="shared" si="5"/>
        <v>126.01479351454145</v>
      </c>
      <c r="AC69" s="62" t="s">
        <v>319</v>
      </c>
      <c r="AD69" s="62">
        <f t="shared" si="6"/>
        <v>0</v>
      </c>
      <c r="AE69" s="6"/>
    </row>
    <row r="70" spans="1:31" s="12" customFormat="1" x14ac:dyDescent="0.2">
      <c r="A70" s="41"/>
      <c r="B70" s="46" t="s">
        <v>27</v>
      </c>
      <c r="C70" s="46" t="s">
        <v>60</v>
      </c>
      <c r="D70" s="46" t="s">
        <v>69</v>
      </c>
      <c r="E70" s="48" t="s">
        <v>254</v>
      </c>
      <c r="F70" s="48" t="s">
        <v>254</v>
      </c>
      <c r="G70" s="47" t="s">
        <v>251</v>
      </c>
      <c r="H70" s="47" t="s">
        <v>81</v>
      </c>
      <c r="I70" s="47" t="s">
        <v>155</v>
      </c>
      <c r="J70" s="48" t="s">
        <v>215</v>
      </c>
      <c r="K70" s="51" t="s">
        <v>115</v>
      </c>
      <c r="L70" s="51" t="s">
        <v>256</v>
      </c>
      <c r="M70" s="46" t="s">
        <v>34</v>
      </c>
      <c r="N70" s="48" t="s">
        <v>173</v>
      </c>
      <c r="O70" s="46" t="s">
        <v>47</v>
      </c>
      <c r="P70" s="13">
        <v>41.42</v>
      </c>
      <c r="Q70" s="36">
        <f t="shared" ref="Q70:Q101" si="12">IF(1-R70/P70&lt;0%,0,1-R70/P70)</f>
        <v>0.53949782713664896</v>
      </c>
      <c r="R70" s="37">
        <f t="shared" ref="R70:R101" si="13">+T70*(100%-S70)</f>
        <v>19.074000000000002</v>
      </c>
      <c r="S70" s="42">
        <v>0.15</v>
      </c>
      <c r="T70" s="43">
        <v>22.44</v>
      </c>
      <c r="U70" s="37">
        <f t="shared" ref="U70:U101" si="14">+IF(P70-R70&lt;0,0,P70-R70)</f>
        <v>22.346</v>
      </c>
      <c r="V70" s="38" t="str">
        <f t="shared" ref="V70:V101" si="15">+CONCATENATE(TRIM(F70),TRIM(J70),TRIM(N70))</f>
        <v>1005820100122368361535</v>
      </c>
      <c r="W70" s="39">
        <v>44531</v>
      </c>
      <c r="X70" s="40">
        <v>120</v>
      </c>
      <c r="Y70" s="44">
        <v>100</v>
      </c>
      <c r="Z70" s="45">
        <f t="shared" ref="Z70:Z101" si="16">IFERROR(U70*Y70,0)</f>
        <v>2234.6</v>
      </c>
      <c r="AA70" s="62">
        <f>(100+100)/2</f>
        <v>100</v>
      </c>
      <c r="AB70" s="63">
        <f t="shared" si="5"/>
        <v>2234.6</v>
      </c>
      <c r="AC70" s="62" t="s">
        <v>319</v>
      </c>
      <c r="AD70" s="62">
        <f t="shared" si="6"/>
        <v>0</v>
      </c>
      <c r="AE70" s="6"/>
    </row>
    <row r="71" spans="1:31" s="12" customFormat="1" x14ac:dyDescent="0.2">
      <c r="A71" s="41"/>
      <c r="B71" s="46" t="s">
        <v>27</v>
      </c>
      <c r="C71" s="46" t="s">
        <v>60</v>
      </c>
      <c r="D71" s="46" t="s">
        <v>69</v>
      </c>
      <c r="E71" s="48" t="s">
        <v>254</v>
      </c>
      <c r="F71" s="48" t="s">
        <v>254</v>
      </c>
      <c r="G71" s="47" t="s">
        <v>251</v>
      </c>
      <c r="H71" s="47" t="s">
        <v>81</v>
      </c>
      <c r="I71" s="47" t="s">
        <v>155</v>
      </c>
      <c r="J71" s="48" t="s">
        <v>215</v>
      </c>
      <c r="K71" s="51" t="s">
        <v>115</v>
      </c>
      <c r="L71" s="51" t="s">
        <v>256</v>
      </c>
      <c r="M71" s="46" t="s">
        <v>34</v>
      </c>
      <c r="N71" s="48" t="s">
        <v>166</v>
      </c>
      <c r="O71" s="46" t="s">
        <v>35</v>
      </c>
      <c r="P71" s="13">
        <v>112.81</v>
      </c>
      <c r="Q71" s="36">
        <f t="shared" si="12"/>
        <v>0.25653184629731396</v>
      </c>
      <c r="R71" s="37">
        <f t="shared" si="13"/>
        <v>83.87064241920001</v>
      </c>
      <c r="S71" s="42">
        <v>0.15</v>
      </c>
      <c r="T71" s="43">
        <v>98.671344022588244</v>
      </c>
      <c r="U71" s="37">
        <f t="shared" si="14"/>
        <v>28.939357580799992</v>
      </c>
      <c r="V71" s="38" t="str">
        <f t="shared" si="15"/>
        <v>1005820100122368361531</v>
      </c>
      <c r="W71" s="39">
        <v>44531</v>
      </c>
      <c r="X71" s="40">
        <v>30</v>
      </c>
      <c r="Y71" s="44"/>
      <c r="Z71" s="45">
        <f t="shared" si="16"/>
        <v>0</v>
      </c>
      <c r="AA71" s="62"/>
      <c r="AB71" s="63">
        <f t="shared" ref="AB71:AB134" si="17">IFERROR(AA71*U71,0)</f>
        <v>0</v>
      </c>
      <c r="AC71" s="62"/>
      <c r="AD71" s="62">
        <f t="shared" ref="AD71:AD134" si="18">IFERROR(Z71-AB71,0)</f>
        <v>0</v>
      </c>
      <c r="AE71" s="6"/>
    </row>
    <row r="72" spans="1:31" s="12" customFormat="1" x14ac:dyDescent="0.2">
      <c r="A72" s="41"/>
      <c r="B72" s="46" t="s">
        <v>27</v>
      </c>
      <c r="C72" s="46" t="s">
        <v>60</v>
      </c>
      <c r="D72" s="46" t="s">
        <v>69</v>
      </c>
      <c r="E72" s="48" t="s">
        <v>254</v>
      </c>
      <c r="F72" s="48" t="s">
        <v>254</v>
      </c>
      <c r="G72" s="47" t="s">
        <v>251</v>
      </c>
      <c r="H72" s="47" t="s">
        <v>42</v>
      </c>
      <c r="I72" s="47" t="s">
        <v>258</v>
      </c>
      <c r="J72" s="48" t="s">
        <v>216</v>
      </c>
      <c r="K72" s="51" t="s">
        <v>116</v>
      </c>
      <c r="L72" s="51" t="s">
        <v>256</v>
      </c>
      <c r="M72" s="46" t="s">
        <v>29</v>
      </c>
      <c r="N72" s="48" t="s">
        <v>162</v>
      </c>
      <c r="O72" s="46" t="s">
        <v>31</v>
      </c>
      <c r="P72" s="13">
        <v>25.86</v>
      </c>
      <c r="Q72" s="36">
        <f t="shared" si="12"/>
        <v>0.17432327919566892</v>
      </c>
      <c r="R72" s="37">
        <f t="shared" si="13"/>
        <v>21.352</v>
      </c>
      <c r="S72" s="42">
        <v>0.15</v>
      </c>
      <c r="T72" s="43">
        <v>25.12</v>
      </c>
      <c r="U72" s="37">
        <f t="shared" si="14"/>
        <v>4.5079999999999991</v>
      </c>
      <c r="V72" s="38" t="str">
        <f t="shared" si="15"/>
        <v>1005820162842031361571</v>
      </c>
      <c r="W72" s="39">
        <v>44531</v>
      </c>
      <c r="X72" s="40"/>
      <c r="Y72" s="44">
        <v>66</v>
      </c>
      <c r="Z72" s="45">
        <f t="shared" si="16"/>
        <v>297.52799999999996</v>
      </c>
      <c r="AA72" s="62">
        <f>264/4</f>
        <v>66</v>
      </c>
      <c r="AB72" s="63">
        <f t="shared" si="17"/>
        <v>297.52799999999996</v>
      </c>
      <c r="AC72" s="62" t="s">
        <v>319</v>
      </c>
      <c r="AD72" s="62">
        <f t="shared" si="18"/>
        <v>0</v>
      </c>
      <c r="AE72" s="6"/>
    </row>
    <row r="73" spans="1:31" s="12" customFormat="1" x14ac:dyDescent="0.2">
      <c r="A73" s="41"/>
      <c r="B73" s="46" t="s">
        <v>27</v>
      </c>
      <c r="C73" s="46" t="s">
        <v>60</v>
      </c>
      <c r="D73" s="46" t="s">
        <v>69</v>
      </c>
      <c r="E73" s="48" t="s">
        <v>254</v>
      </c>
      <c r="F73" s="48" t="s">
        <v>254</v>
      </c>
      <c r="G73" s="47" t="s">
        <v>260</v>
      </c>
      <c r="H73" s="47" t="s">
        <v>44</v>
      </c>
      <c r="I73" s="47" t="s">
        <v>261</v>
      </c>
      <c r="J73" s="48" t="s">
        <v>217</v>
      </c>
      <c r="K73" s="51" t="s">
        <v>117</v>
      </c>
      <c r="L73" s="51" t="s">
        <v>256</v>
      </c>
      <c r="M73" s="46" t="s">
        <v>29</v>
      </c>
      <c r="N73" s="48" t="s">
        <v>183</v>
      </c>
      <c r="O73" s="46" t="s">
        <v>62</v>
      </c>
      <c r="P73" s="13">
        <v>54.46</v>
      </c>
      <c r="Q73" s="36">
        <f t="shared" si="12"/>
        <v>0</v>
      </c>
      <c r="R73" s="37">
        <f t="shared" si="13"/>
        <v>70.346000000000004</v>
      </c>
      <c r="S73" s="42">
        <v>0.15</v>
      </c>
      <c r="T73" s="43">
        <v>82.76</v>
      </c>
      <c r="U73" s="37">
        <f t="shared" si="14"/>
        <v>0</v>
      </c>
      <c r="V73" s="38" t="str">
        <f t="shared" si="15"/>
        <v>1005820330262428361421</v>
      </c>
      <c r="W73" s="39">
        <v>44531</v>
      </c>
      <c r="X73" s="40"/>
      <c r="Y73" s="44"/>
      <c r="Z73" s="45">
        <f t="shared" si="16"/>
        <v>0</v>
      </c>
      <c r="AA73" s="62"/>
      <c r="AB73" s="63">
        <f t="shared" si="17"/>
        <v>0</v>
      </c>
      <c r="AC73" s="62"/>
      <c r="AD73" s="62">
        <f t="shared" si="18"/>
        <v>0</v>
      </c>
      <c r="AE73" s="6"/>
    </row>
    <row r="74" spans="1:31" s="12" customFormat="1" x14ac:dyDescent="0.2">
      <c r="A74" s="41"/>
      <c r="B74" s="46" t="s">
        <v>27</v>
      </c>
      <c r="C74" s="46" t="s">
        <v>60</v>
      </c>
      <c r="D74" s="46" t="s">
        <v>69</v>
      </c>
      <c r="E74" s="48" t="s">
        <v>254</v>
      </c>
      <c r="F74" s="48" t="s">
        <v>254</v>
      </c>
      <c r="G74" s="47" t="s">
        <v>260</v>
      </c>
      <c r="H74" s="47" t="s">
        <v>44</v>
      </c>
      <c r="I74" s="47" t="s">
        <v>261</v>
      </c>
      <c r="J74" s="48" t="s">
        <v>217</v>
      </c>
      <c r="K74" s="51" t="s">
        <v>117</v>
      </c>
      <c r="L74" s="51" t="s">
        <v>256</v>
      </c>
      <c r="M74" s="46" t="s">
        <v>34</v>
      </c>
      <c r="N74" s="48" t="s">
        <v>177</v>
      </c>
      <c r="O74" s="46" t="s">
        <v>52</v>
      </c>
      <c r="P74" s="13">
        <v>77.8</v>
      </c>
      <c r="Q74" s="36">
        <f t="shared" si="12"/>
        <v>0.2603470437017994</v>
      </c>
      <c r="R74" s="37">
        <f t="shared" si="13"/>
        <v>57.545000000000002</v>
      </c>
      <c r="S74" s="42">
        <v>0.15</v>
      </c>
      <c r="T74" s="43">
        <v>67.7</v>
      </c>
      <c r="U74" s="37">
        <f t="shared" si="14"/>
        <v>20.254999999999995</v>
      </c>
      <c r="V74" s="38" t="str">
        <f t="shared" si="15"/>
        <v>1005820330262428361537</v>
      </c>
      <c r="W74" s="39">
        <v>44531</v>
      </c>
      <c r="X74" s="40"/>
      <c r="Y74" s="44">
        <v>18</v>
      </c>
      <c r="Z74" s="45">
        <f t="shared" si="16"/>
        <v>364.58999999999992</v>
      </c>
      <c r="AA74" s="62">
        <f>(12+24)/2</f>
        <v>18</v>
      </c>
      <c r="AB74" s="63">
        <f t="shared" si="17"/>
        <v>364.58999999999992</v>
      </c>
      <c r="AC74" s="62" t="s">
        <v>319</v>
      </c>
      <c r="AD74" s="62">
        <f t="shared" si="18"/>
        <v>0</v>
      </c>
      <c r="AE74" s="6"/>
    </row>
    <row r="75" spans="1:31" s="12" customFormat="1" x14ac:dyDescent="0.2">
      <c r="A75" s="41"/>
      <c r="B75" s="46" t="s">
        <v>27</v>
      </c>
      <c r="C75" s="46" t="s">
        <v>60</v>
      </c>
      <c r="D75" s="46" t="s">
        <v>69</v>
      </c>
      <c r="E75" s="48" t="s">
        <v>254</v>
      </c>
      <c r="F75" s="48" t="s">
        <v>254</v>
      </c>
      <c r="G75" s="47" t="s">
        <v>260</v>
      </c>
      <c r="H75" s="47" t="s">
        <v>44</v>
      </c>
      <c r="I75" s="47" t="s">
        <v>261</v>
      </c>
      <c r="J75" s="48" t="s">
        <v>218</v>
      </c>
      <c r="K75" s="51" t="s">
        <v>118</v>
      </c>
      <c r="L75" s="51" t="s">
        <v>256</v>
      </c>
      <c r="M75" s="46" t="s">
        <v>29</v>
      </c>
      <c r="N75" s="48" t="s">
        <v>165</v>
      </c>
      <c r="O75" s="46" t="s">
        <v>33</v>
      </c>
      <c r="P75" s="13">
        <v>50.39</v>
      </c>
      <c r="Q75" s="36">
        <f t="shared" si="12"/>
        <v>0.21730502083746783</v>
      </c>
      <c r="R75" s="37">
        <f t="shared" si="13"/>
        <v>39.44</v>
      </c>
      <c r="S75" s="42">
        <v>0.15</v>
      </c>
      <c r="T75" s="43">
        <v>46.4</v>
      </c>
      <c r="U75" s="37">
        <f t="shared" si="14"/>
        <v>10.950000000000003</v>
      </c>
      <c r="V75" s="38" t="str">
        <f t="shared" si="15"/>
        <v>1005820114915026361540</v>
      </c>
      <c r="W75" s="39">
        <v>44531</v>
      </c>
      <c r="X75" s="40">
        <v>180</v>
      </c>
      <c r="Y75" s="44">
        <v>250</v>
      </c>
      <c r="Z75" s="45">
        <f t="shared" si="16"/>
        <v>2737.5000000000009</v>
      </c>
      <c r="AA75" s="62">
        <f>(600+400)/4</f>
        <v>250</v>
      </c>
      <c r="AB75" s="63">
        <f t="shared" si="17"/>
        <v>2737.5000000000009</v>
      </c>
      <c r="AC75" s="62" t="s">
        <v>319</v>
      </c>
      <c r="AD75" s="62">
        <f t="shared" si="18"/>
        <v>0</v>
      </c>
      <c r="AE75" s="6"/>
    </row>
    <row r="76" spans="1:31" s="12" customFormat="1" x14ac:dyDescent="0.2">
      <c r="A76" s="41"/>
      <c r="B76" s="46" t="s">
        <v>27</v>
      </c>
      <c r="C76" s="46" t="s">
        <v>60</v>
      </c>
      <c r="D76" s="46" t="s">
        <v>69</v>
      </c>
      <c r="E76" s="48" t="s">
        <v>254</v>
      </c>
      <c r="F76" s="48" t="s">
        <v>254</v>
      </c>
      <c r="G76" s="47" t="s">
        <v>260</v>
      </c>
      <c r="H76" s="47" t="s">
        <v>44</v>
      </c>
      <c r="I76" s="47" t="s">
        <v>261</v>
      </c>
      <c r="J76" s="48" t="s">
        <v>218</v>
      </c>
      <c r="K76" s="51" t="s">
        <v>118</v>
      </c>
      <c r="L76" s="51" t="s">
        <v>256</v>
      </c>
      <c r="M76" s="46" t="s">
        <v>34</v>
      </c>
      <c r="N76" s="48" t="s">
        <v>181</v>
      </c>
      <c r="O76" s="46" t="s">
        <v>56</v>
      </c>
      <c r="P76" s="13">
        <v>116.69</v>
      </c>
      <c r="Q76" s="36">
        <f t="shared" si="12"/>
        <v>0.15116548118947637</v>
      </c>
      <c r="R76" s="37">
        <f t="shared" si="13"/>
        <v>99.0505</v>
      </c>
      <c r="S76" s="42">
        <v>0.15</v>
      </c>
      <c r="T76" s="43">
        <v>116.53</v>
      </c>
      <c r="U76" s="37">
        <f t="shared" si="14"/>
        <v>17.639499999999998</v>
      </c>
      <c r="V76" s="38" t="str">
        <f t="shared" si="15"/>
        <v>1005820114915026361530</v>
      </c>
      <c r="W76" s="39">
        <v>44531</v>
      </c>
      <c r="X76" s="40"/>
      <c r="Y76" s="44">
        <v>20</v>
      </c>
      <c r="Z76" s="45">
        <f t="shared" si="16"/>
        <v>352.78999999999996</v>
      </c>
      <c r="AA76" s="62">
        <v>20</v>
      </c>
      <c r="AB76" s="63">
        <f t="shared" si="17"/>
        <v>352.78999999999996</v>
      </c>
      <c r="AC76" s="62" t="s">
        <v>319</v>
      </c>
      <c r="AD76" s="62">
        <f t="shared" si="18"/>
        <v>0</v>
      </c>
      <c r="AE76" s="6"/>
    </row>
    <row r="77" spans="1:31" s="12" customFormat="1" x14ac:dyDescent="0.2">
      <c r="A77" s="41"/>
      <c r="B77" s="46" t="s">
        <v>27</v>
      </c>
      <c r="C77" s="46" t="s">
        <v>60</v>
      </c>
      <c r="D77" s="46" t="s">
        <v>69</v>
      </c>
      <c r="E77" s="48" t="s">
        <v>254</v>
      </c>
      <c r="F77" s="48" t="s">
        <v>254</v>
      </c>
      <c r="G77" s="47" t="s">
        <v>260</v>
      </c>
      <c r="H77" s="47" t="s">
        <v>44</v>
      </c>
      <c r="I77" s="47" t="s">
        <v>261</v>
      </c>
      <c r="J77" s="48" t="s">
        <v>218</v>
      </c>
      <c r="K77" s="51" t="s">
        <v>118</v>
      </c>
      <c r="L77" s="51" t="s">
        <v>256</v>
      </c>
      <c r="M77" s="46" t="s">
        <v>34</v>
      </c>
      <c r="N77" s="48" t="s">
        <v>177</v>
      </c>
      <c r="O77" s="46" t="s">
        <v>52</v>
      </c>
      <c r="P77" s="13">
        <v>77.8</v>
      </c>
      <c r="Q77" s="36">
        <f t="shared" si="12"/>
        <v>0.26735218508997427</v>
      </c>
      <c r="R77" s="37">
        <f t="shared" si="13"/>
        <v>57</v>
      </c>
      <c r="S77" s="42">
        <v>0.15</v>
      </c>
      <c r="T77" s="43">
        <v>67.058823529411768</v>
      </c>
      <c r="U77" s="37">
        <f t="shared" si="14"/>
        <v>20.799999999999997</v>
      </c>
      <c r="V77" s="38" t="str">
        <f t="shared" si="15"/>
        <v>1005820114915026361537</v>
      </c>
      <c r="W77" s="39">
        <v>44531</v>
      </c>
      <c r="X77" s="40">
        <v>140</v>
      </c>
      <c r="Y77" s="44"/>
      <c r="Z77" s="45">
        <f t="shared" si="16"/>
        <v>0</v>
      </c>
      <c r="AA77" s="62"/>
      <c r="AB77" s="63">
        <f t="shared" si="17"/>
        <v>0</v>
      </c>
      <c r="AC77" s="62"/>
      <c r="AD77" s="62">
        <f t="shared" si="18"/>
        <v>0</v>
      </c>
      <c r="AE77" s="6"/>
    </row>
    <row r="78" spans="1:31" s="12" customFormat="1" x14ac:dyDescent="0.2">
      <c r="A78" s="41"/>
      <c r="B78" s="46" t="s">
        <v>27</v>
      </c>
      <c r="C78" s="46" t="s">
        <v>60</v>
      </c>
      <c r="D78" s="46" t="s">
        <v>69</v>
      </c>
      <c r="E78" s="48" t="s">
        <v>254</v>
      </c>
      <c r="F78" s="48" t="s">
        <v>254</v>
      </c>
      <c r="G78" s="47" t="s">
        <v>251</v>
      </c>
      <c r="H78" s="47" t="s">
        <v>58</v>
      </c>
      <c r="I78" s="47" t="s">
        <v>67</v>
      </c>
      <c r="J78" s="48" t="s">
        <v>219</v>
      </c>
      <c r="K78" s="51" t="s">
        <v>119</v>
      </c>
      <c r="L78" s="51" t="s">
        <v>256</v>
      </c>
      <c r="M78" s="46" t="s">
        <v>34</v>
      </c>
      <c r="N78" s="48" t="s">
        <v>167</v>
      </c>
      <c r="O78" s="46" t="s">
        <v>36</v>
      </c>
      <c r="P78" s="13">
        <v>26.44</v>
      </c>
      <c r="Q78" s="36">
        <f t="shared" si="12"/>
        <v>0.24384432088959496</v>
      </c>
      <c r="R78" s="37">
        <f t="shared" si="13"/>
        <v>19.99275615567911</v>
      </c>
      <c r="S78" s="42">
        <v>0.15</v>
      </c>
      <c r="T78" s="43">
        <v>23.5208895949166</v>
      </c>
      <c r="U78" s="37">
        <f t="shared" si="14"/>
        <v>6.4472438443208908</v>
      </c>
      <c r="V78" s="38" t="str">
        <f t="shared" si="15"/>
        <v>1005820545235138361532</v>
      </c>
      <c r="W78" s="39">
        <v>44531</v>
      </c>
      <c r="X78" s="40"/>
      <c r="Y78" s="44"/>
      <c r="Z78" s="45">
        <f t="shared" si="16"/>
        <v>0</v>
      </c>
      <c r="AA78" s="62"/>
      <c r="AB78" s="63">
        <f t="shared" si="17"/>
        <v>0</v>
      </c>
      <c r="AC78" s="62"/>
      <c r="AD78" s="62">
        <f t="shared" si="18"/>
        <v>0</v>
      </c>
      <c r="AE78" s="6"/>
    </row>
    <row r="79" spans="1:31" s="12" customFormat="1" x14ac:dyDescent="0.2">
      <c r="A79" s="41"/>
      <c r="B79" s="46" t="s">
        <v>27</v>
      </c>
      <c r="C79" s="46" t="s">
        <v>60</v>
      </c>
      <c r="D79" s="46" t="s">
        <v>69</v>
      </c>
      <c r="E79" s="48" t="s">
        <v>254</v>
      </c>
      <c r="F79" s="48" t="s">
        <v>254</v>
      </c>
      <c r="G79" s="47" t="s">
        <v>255</v>
      </c>
      <c r="H79" s="47" t="s">
        <v>44</v>
      </c>
      <c r="I79" s="47" t="s">
        <v>120</v>
      </c>
      <c r="J79" s="48" t="s">
        <v>220</v>
      </c>
      <c r="K79" s="51" t="s">
        <v>121</v>
      </c>
      <c r="L79" s="51" t="s">
        <v>256</v>
      </c>
      <c r="M79" s="46" t="s">
        <v>29</v>
      </c>
      <c r="N79" s="48" t="s">
        <v>162</v>
      </c>
      <c r="O79" s="46" t="s">
        <v>31</v>
      </c>
      <c r="P79" s="13">
        <v>25.86</v>
      </c>
      <c r="Q79" s="36">
        <f t="shared" si="12"/>
        <v>0</v>
      </c>
      <c r="R79" s="37">
        <f t="shared" si="13"/>
        <v>26.52</v>
      </c>
      <c r="S79" s="42">
        <v>0.15</v>
      </c>
      <c r="T79" s="43">
        <v>31.2</v>
      </c>
      <c r="U79" s="37">
        <f t="shared" si="14"/>
        <v>0</v>
      </c>
      <c r="V79" s="38" t="str">
        <f t="shared" si="15"/>
        <v>1005820370146994361571</v>
      </c>
      <c r="W79" s="39">
        <v>43831</v>
      </c>
      <c r="X79" s="40"/>
      <c r="Y79" s="44"/>
      <c r="Z79" s="45">
        <f t="shared" si="16"/>
        <v>0</v>
      </c>
      <c r="AA79" s="62"/>
      <c r="AB79" s="63">
        <f t="shared" si="17"/>
        <v>0</v>
      </c>
      <c r="AC79" s="62"/>
      <c r="AD79" s="62">
        <f t="shared" si="18"/>
        <v>0</v>
      </c>
      <c r="AE79" s="6"/>
    </row>
    <row r="80" spans="1:31" s="12" customFormat="1" x14ac:dyDescent="0.2">
      <c r="A80" s="41"/>
      <c r="B80" s="46" t="s">
        <v>27</v>
      </c>
      <c r="C80" s="46" t="s">
        <v>60</v>
      </c>
      <c r="D80" s="46" t="s">
        <v>69</v>
      </c>
      <c r="E80" s="48" t="s">
        <v>254</v>
      </c>
      <c r="F80" s="48" t="s">
        <v>254</v>
      </c>
      <c r="G80" s="47" t="s">
        <v>251</v>
      </c>
      <c r="H80" s="47" t="s">
        <v>42</v>
      </c>
      <c r="I80" s="47" t="s">
        <v>258</v>
      </c>
      <c r="J80" s="48" t="s">
        <v>221</v>
      </c>
      <c r="K80" s="51" t="s">
        <v>122</v>
      </c>
      <c r="L80" s="51" t="s">
        <v>256</v>
      </c>
      <c r="M80" s="46" t="s">
        <v>29</v>
      </c>
      <c r="N80" s="49" t="s">
        <v>172</v>
      </c>
      <c r="O80" s="50" t="s">
        <v>46</v>
      </c>
      <c r="P80" s="13">
        <v>11.89</v>
      </c>
      <c r="Q80" s="36">
        <f t="shared" si="12"/>
        <v>0.15643397813288473</v>
      </c>
      <c r="R80" s="37">
        <f t="shared" si="13"/>
        <v>10.030000000000001</v>
      </c>
      <c r="S80" s="42">
        <v>0.15</v>
      </c>
      <c r="T80" s="43">
        <v>11.800000000000002</v>
      </c>
      <c r="U80" s="37">
        <f t="shared" si="14"/>
        <v>1.8599999999999994</v>
      </c>
      <c r="V80" s="38" t="str">
        <f t="shared" si="15"/>
        <v>1005820148020028361085</v>
      </c>
      <c r="W80" s="39">
        <v>44531</v>
      </c>
      <c r="X80" s="40"/>
      <c r="Y80" s="44">
        <v>25</v>
      </c>
      <c r="Z80" s="45">
        <f t="shared" si="16"/>
        <v>46.499999999999986</v>
      </c>
      <c r="AA80" s="62">
        <v>25</v>
      </c>
      <c r="AB80" s="63">
        <f t="shared" si="17"/>
        <v>46.499999999999986</v>
      </c>
      <c r="AC80" s="62" t="s">
        <v>319</v>
      </c>
      <c r="AD80" s="62">
        <f t="shared" si="18"/>
        <v>0</v>
      </c>
      <c r="AE80" s="6"/>
    </row>
    <row r="81" spans="1:31" s="12" customFormat="1" x14ac:dyDescent="0.2">
      <c r="A81" s="41"/>
      <c r="B81" s="46" t="s">
        <v>27</v>
      </c>
      <c r="C81" s="46" t="s">
        <v>60</v>
      </c>
      <c r="D81" s="46" t="s">
        <v>69</v>
      </c>
      <c r="E81" s="48" t="s">
        <v>254</v>
      </c>
      <c r="F81" s="48" t="s">
        <v>254</v>
      </c>
      <c r="G81" s="47" t="s">
        <v>251</v>
      </c>
      <c r="H81" s="47" t="s">
        <v>42</v>
      </c>
      <c r="I81" s="47" t="s">
        <v>258</v>
      </c>
      <c r="J81" s="48" t="s">
        <v>221</v>
      </c>
      <c r="K81" s="51" t="s">
        <v>122</v>
      </c>
      <c r="L81" s="51" t="s">
        <v>256</v>
      </c>
      <c r="M81" s="46" t="s">
        <v>29</v>
      </c>
      <c r="N81" s="48" t="s">
        <v>162</v>
      </c>
      <c r="O81" s="46" t="s">
        <v>31</v>
      </c>
      <c r="P81" s="13">
        <v>25.86</v>
      </c>
      <c r="Q81" s="36">
        <f t="shared" si="12"/>
        <v>0.13488012374323277</v>
      </c>
      <c r="R81" s="37">
        <f t="shared" si="13"/>
        <v>22.372</v>
      </c>
      <c r="S81" s="42">
        <v>0.15</v>
      </c>
      <c r="T81" s="43">
        <v>26.32</v>
      </c>
      <c r="U81" s="37">
        <f t="shared" si="14"/>
        <v>3.4879999999999995</v>
      </c>
      <c r="V81" s="38" t="str">
        <f t="shared" si="15"/>
        <v>1005820148020028361571</v>
      </c>
      <c r="W81" s="39">
        <v>44531</v>
      </c>
      <c r="X81" s="40"/>
      <c r="Y81" s="44">
        <v>22.5</v>
      </c>
      <c r="Z81" s="45">
        <f t="shared" si="16"/>
        <v>78.47999999999999</v>
      </c>
      <c r="AA81" s="62">
        <f>(60+30)/4</f>
        <v>22.5</v>
      </c>
      <c r="AB81" s="63">
        <f t="shared" si="17"/>
        <v>78.47999999999999</v>
      </c>
      <c r="AC81" s="62" t="s">
        <v>319</v>
      </c>
      <c r="AD81" s="62">
        <f t="shared" si="18"/>
        <v>0</v>
      </c>
      <c r="AE81" s="6"/>
    </row>
    <row r="82" spans="1:31" s="12" customFormat="1" x14ac:dyDescent="0.2">
      <c r="A82" s="41"/>
      <c r="B82" s="46" t="s">
        <v>27</v>
      </c>
      <c r="C82" s="46" t="s">
        <v>60</v>
      </c>
      <c r="D82" s="46" t="s">
        <v>69</v>
      </c>
      <c r="E82" s="48" t="s">
        <v>254</v>
      </c>
      <c r="F82" s="48" t="s">
        <v>254</v>
      </c>
      <c r="G82" s="47" t="s">
        <v>251</v>
      </c>
      <c r="H82" s="47" t="s">
        <v>42</v>
      </c>
      <c r="I82" s="47" t="s">
        <v>258</v>
      </c>
      <c r="J82" s="48" t="s">
        <v>221</v>
      </c>
      <c r="K82" s="51" t="s">
        <v>122</v>
      </c>
      <c r="L82" s="51" t="s">
        <v>256</v>
      </c>
      <c r="M82" s="46" t="s">
        <v>29</v>
      </c>
      <c r="N82" s="48" t="s">
        <v>165</v>
      </c>
      <c r="O82" s="46" t="s">
        <v>33</v>
      </c>
      <c r="P82" s="13">
        <v>50.39</v>
      </c>
      <c r="Q82" s="36">
        <f t="shared" si="12"/>
        <v>0.343480849374876</v>
      </c>
      <c r="R82" s="37">
        <f t="shared" si="13"/>
        <v>33.082000000000001</v>
      </c>
      <c r="S82" s="42">
        <v>0.15</v>
      </c>
      <c r="T82" s="43">
        <v>38.92</v>
      </c>
      <c r="U82" s="37">
        <f t="shared" si="14"/>
        <v>17.308</v>
      </c>
      <c r="V82" s="38" t="str">
        <f t="shared" si="15"/>
        <v>1005820148020028361540</v>
      </c>
      <c r="W82" s="39">
        <v>44531</v>
      </c>
      <c r="X82" s="40">
        <v>38</v>
      </c>
      <c r="Y82" s="44">
        <v>40</v>
      </c>
      <c r="Z82" s="45">
        <f t="shared" si="16"/>
        <v>692.31999999999994</v>
      </c>
      <c r="AA82" s="62">
        <f>(60+100)/4</f>
        <v>40</v>
      </c>
      <c r="AB82" s="63">
        <f t="shared" si="17"/>
        <v>692.31999999999994</v>
      </c>
      <c r="AC82" s="62" t="s">
        <v>319</v>
      </c>
      <c r="AD82" s="62">
        <f t="shared" si="18"/>
        <v>0</v>
      </c>
      <c r="AE82" s="6"/>
    </row>
    <row r="83" spans="1:31" s="12" customFormat="1" x14ac:dyDescent="0.2">
      <c r="A83" s="41"/>
      <c r="B83" s="46" t="s">
        <v>27</v>
      </c>
      <c r="C83" s="46" t="s">
        <v>60</v>
      </c>
      <c r="D83" s="46" t="s">
        <v>69</v>
      </c>
      <c r="E83" s="48" t="s">
        <v>254</v>
      </c>
      <c r="F83" s="48" t="s">
        <v>254</v>
      </c>
      <c r="G83" s="47" t="s">
        <v>251</v>
      </c>
      <c r="H83" s="47" t="s">
        <v>42</v>
      </c>
      <c r="I83" s="47" t="s">
        <v>258</v>
      </c>
      <c r="J83" s="48" t="s">
        <v>221</v>
      </c>
      <c r="K83" s="51" t="s">
        <v>122</v>
      </c>
      <c r="L83" s="51" t="s">
        <v>256</v>
      </c>
      <c r="M83" s="46" t="s">
        <v>34</v>
      </c>
      <c r="N83" s="48" t="s">
        <v>166</v>
      </c>
      <c r="O83" s="46" t="s">
        <v>35</v>
      </c>
      <c r="P83" s="13">
        <v>112.81</v>
      </c>
      <c r="Q83" s="36">
        <f t="shared" si="12"/>
        <v>0.3083060012410247</v>
      </c>
      <c r="R83" s="37">
        <f t="shared" si="13"/>
        <v>78.03</v>
      </c>
      <c r="S83" s="42">
        <v>0.15</v>
      </c>
      <c r="T83" s="43">
        <v>91.8</v>
      </c>
      <c r="U83" s="37">
        <f t="shared" si="14"/>
        <v>34.78</v>
      </c>
      <c r="V83" s="38" t="str">
        <f t="shared" si="15"/>
        <v>1005820148020028361531</v>
      </c>
      <c r="W83" s="39">
        <v>44531</v>
      </c>
      <c r="X83" s="40"/>
      <c r="Y83" s="44">
        <v>6.67</v>
      </c>
      <c r="Z83" s="45">
        <f t="shared" si="16"/>
        <v>231.98260000000002</v>
      </c>
      <c r="AA83" s="62">
        <v>6.67</v>
      </c>
      <c r="AB83" s="63">
        <f t="shared" si="17"/>
        <v>231.98260000000002</v>
      </c>
      <c r="AC83" s="62" t="s">
        <v>319</v>
      </c>
      <c r="AD83" s="62">
        <f t="shared" si="18"/>
        <v>0</v>
      </c>
      <c r="AE83" s="6"/>
    </row>
    <row r="84" spans="1:31" s="12" customFormat="1" x14ac:dyDescent="0.2">
      <c r="A84" s="41"/>
      <c r="B84" s="46" t="s">
        <v>27</v>
      </c>
      <c r="C84" s="46" t="s">
        <v>60</v>
      </c>
      <c r="D84" s="46" t="s">
        <v>69</v>
      </c>
      <c r="E84" s="48" t="s">
        <v>254</v>
      </c>
      <c r="F84" s="48" t="s">
        <v>254</v>
      </c>
      <c r="G84" s="47" t="s">
        <v>251</v>
      </c>
      <c r="H84" s="47" t="s">
        <v>42</v>
      </c>
      <c r="I84" s="47" t="s">
        <v>258</v>
      </c>
      <c r="J84" s="48" t="s">
        <v>221</v>
      </c>
      <c r="K84" s="51" t="s">
        <v>122</v>
      </c>
      <c r="L84" s="51" t="s">
        <v>256</v>
      </c>
      <c r="M84" s="46" t="s">
        <v>34</v>
      </c>
      <c r="N84" s="48" t="s">
        <v>167</v>
      </c>
      <c r="O84" s="46" t="s">
        <v>36</v>
      </c>
      <c r="P84" s="13">
        <v>26.44</v>
      </c>
      <c r="Q84" s="36">
        <f t="shared" si="12"/>
        <v>0.21028744326777615</v>
      </c>
      <c r="R84" s="37">
        <f t="shared" si="13"/>
        <v>20.88</v>
      </c>
      <c r="S84" s="42">
        <v>0.13</v>
      </c>
      <c r="T84" s="43">
        <v>24</v>
      </c>
      <c r="U84" s="37">
        <f t="shared" si="14"/>
        <v>5.5600000000000023</v>
      </c>
      <c r="V84" s="38" t="str">
        <f t="shared" si="15"/>
        <v>1005820148020028361532</v>
      </c>
      <c r="W84" s="39">
        <v>44531</v>
      </c>
      <c r="X84" s="40">
        <v>72</v>
      </c>
      <c r="Y84" s="44">
        <v>30</v>
      </c>
      <c r="Z84" s="45">
        <f t="shared" si="16"/>
        <v>166.80000000000007</v>
      </c>
      <c r="AA84" s="62">
        <f>(20+40)/2</f>
        <v>30</v>
      </c>
      <c r="AB84" s="63">
        <f t="shared" si="17"/>
        <v>166.80000000000007</v>
      </c>
      <c r="AC84" s="62" t="s">
        <v>319</v>
      </c>
      <c r="AD84" s="62">
        <f t="shared" si="18"/>
        <v>0</v>
      </c>
      <c r="AE84" s="6"/>
    </row>
    <row r="85" spans="1:31" s="12" customFormat="1" x14ac:dyDescent="0.2">
      <c r="A85" s="41"/>
      <c r="B85" s="46" t="s">
        <v>27</v>
      </c>
      <c r="C85" s="46" t="s">
        <v>60</v>
      </c>
      <c r="D85" s="46" t="s">
        <v>69</v>
      </c>
      <c r="E85" s="48" t="s">
        <v>254</v>
      </c>
      <c r="F85" s="48" t="s">
        <v>254</v>
      </c>
      <c r="G85" s="47" t="s">
        <v>251</v>
      </c>
      <c r="H85" s="47" t="s">
        <v>42</v>
      </c>
      <c r="I85" s="47" t="s">
        <v>258</v>
      </c>
      <c r="J85" s="48" t="s">
        <v>221</v>
      </c>
      <c r="K85" s="51" t="s">
        <v>122</v>
      </c>
      <c r="L85" s="51" t="s">
        <v>256</v>
      </c>
      <c r="M85" s="46" t="s">
        <v>34</v>
      </c>
      <c r="N85" s="48" t="s">
        <v>173</v>
      </c>
      <c r="O85" s="46" t="s">
        <v>47</v>
      </c>
      <c r="P85" s="13">
        <v>41.42</v>
      </c>
      <c r="Q85" s="36">
        <f t="shared" si="12"/>
        <v>0.49589570255915016</v>
      </c>
      <c r="R85" s="37">
        <f t="shared" si="13"/>
        <v>20.880000000000003</v>
      </c>
      <c r="S85" s="42">
        <v>0.13</v>
      </c>
      <c r="T85" s="43">
        <v>24.000000000000004</v>
      </c>
      <c r="U85" s="37">
        <f t="shared" si="14"/>
        <v>20.54</v>
      </c>
      <c r="V85" s="38" t="str">
        <f t="shared" si="15"/>
        <v>1005820148020028361535</v>
      </c>
      <c r="W85" s="39">
        <v>44531</v>
      </c>
      <c r="X85" s="40">
        <v>108</v>
      </c>
      <c r="Y85" s="44">
        <v>200</v>
      </c>
      <c r="Z85" s="45">
        <f t="shared" si="16"/>
        <v>4108</v>
      </c>
      <c r="AA85" s="62">
        <f>(200+200)/2</f>
        <v>200</v>
      </c>
      <c r="AB85" s="63">
        <f t="shared" si="17"/>
        <v>4108</v>
      </c>
      <c r="AC85" s="62" t="s">
        <v>319</v>
      </c>
      <c r="AD85" s="62">
        <f t="shared" si="18"/>
        <v>0</v>
      </c>
      <c r="AE85" s="6"/>
    </row>
    <row r="86" spans="1:31" s="12" customFormat="1" x14ac:dyDescent="0.2">
      <c r="A86" s="41"/>
      <c r="B86" s="46" t="s">
        <v>27</v>
      </c>
      <c r="C86" s="46" t="s">
        <v>60</v>
      </c>
      <c r="D86" s="46" t="s">
        <v>69</v>
      </c>
      <c r="E86" s="48" t="s">
        <v>254</v>
      </c>
      <c r="F86" s="48" t="s">
        <v>254</v>
      </c>
      <c r="G86" s="47" t="s">
        <v>255</v>
      </c>
      <c r="H86" s="47" t="s">
        <v>44</v>
      </c>
      <c r="I86" s="47" t="s">
        <v>120</v>
      </c>
      <c r="J86" s="48" t="s">
        <v>222</v>
      </c>
      <c r="K86" s="51" t="s">
        <v>123</v>
      </c>
      <c r="L86" s="51" t="s">
        <v>256</v>
      </c>
      <c r="M86" s="46" t="s">
        <v>29</v>
      </c>
      <c r="N86" s="48" t="s">
        <v>162</v>
      </c>
      <c r="O86" s="46" t="s">
        <v>31</v>
      </c>
      <c r="P86" s="13">
        <v>25.86</v>
      </c>
      <c r="Q86" s="36">
        <f t="shared" si="12"/>
        <v>6.6511987625676783E-2</v>
      </c>
      <c r="R86" s="37">
        <f t="shared" si="13"/>
        <v>24.139999999999997</v>
      </c>
      <c r="S86" s="42">
        <v>0.15</v>
      </c>
      <c r="T86" s="43">
        <v>28.4</v>
      </c>
      <c r="U86" s="37">
        <f t="shared" si="14"/>
        <v>1.7200000000000024</v>
      </c>
      <c r="V86" s="38" t="str">
        <f t="shared" si="15"/>
        <v>1005820402885549361571</v>
      </c>
      <c r="W86" s="39">
        <v>44531</v>
      </c>
      <c r="X86" s="40"/>
      <c r="Y86" s="44"/>
      <c r="Z86" s="45">
        <f t="shared" si="16"/>
        <v>0</v>
      </c>
      <c r="AA86" s="62"/>
      <c r="AB86" s="63">
        <f t="shared" si="17"/>
        <v>0</v>
      </c>
      <c r="AC86" s="62"/>
      <c r="AD86" s="62">
        <f t="shared" si="18"/>
        <v>0</v>
      </c>
      <c r="AE86" s="6"/>
    </row>
    <row r="87" spans="1:31" s="12" customFormat="1" x14ac:dyDescent="0.2">
      <c r="A87" s="41"/>
      <c r="B87" s="46" t="s">
        <v>27</v>
      </c>
      <c r="C87" s="46" t="s">
        <v>60</v>
      </c>
      <c r="D87" s="46" t="s">
        <v>69</v>
      </c>
      <c r="E87" s="48" t="s">
        <v>254</v>
      </c>
      <c r="F87" s="48" t="s">
        <v>254</v>
      </c>
      <c r="G87" s="47" t="s">
        <v>255</v>
      </c>
      <c r="H87" s="47" t="s">
        <v>44</v>
      </c>
      <c r="I87" s="47" t="s">
        <v>120</v>
      </c>
      <c r="J87" s="48" t="s">
        <v>222</v>
      </c>
      <c r="K87" s="51" t="s">
        <v>123</v>
      </c>
      <c r="L87" s="51" t="s">
        <v>256</v>
      </c>
      <c r="M87" s="46" t="s">
        <v>34</v>
      </c>
      <c r="N87" s="48" t="s">
        <v>173</v>
      </c>
      <c r="O87" s="46" t="s">
        <v>47</v>
      </c>
      <c r="P87" s="13">
        <v>41.42</v>
      </c>
      <c r="Q87" s="36">
        <f t="shared" si="12"/>
        <v>0.51569290197971984</v>
      </c>
      <c r="R87" s="37">
        <f t="shared" si="13"/>
        <v>20.060000000000002</v>
      </c>
      <c r="S87" s="42">
        <v>0.15</v>
      </c>
      <c r="T87" s="43">
        <v>23.600000000000005</v>
      </c>
      <c r="U87" s="37">
        <f t="shared" si="14"/>
        <v>21.36</v>
      </c>
      <c r="V87" s="38" t="str">
        <f t="shared" si="15"/>
        <v>1005820402885549361535</v>
      </c>
      <c r="W87" s="39">
        <v>44531</v>
      </c>
      <c r="X87" s="40"/>
      <c r="Y87" s="44"/>
      <c r="Z87" s="45">
        <f t="shared" si="16"/>
        <v>0</v>
      </c>
      <c r="AA87" s="62"/>
      <c r="AB87" s="63">
        <f t="shared" si="17"/>
        <v>0</v>
      </c>
      <c r="AC87" s="62"/>
      <c r="AD87" s="62">
        <f t="shared" si="18"/>
        <v>0</v>
      </c>
      <c r="AE87" s="6"/>
    </row>
    <row r="88" spans="1:31" s="12" customFormat="1" x14ac:dyDescent="0.2">
      <c r="A88" s="41"/>
      <c r="B88" s="46" t="s">
        <v>27</v>
      </c>
      <c r="C88" s="46" t="s">
        <v>60</v>
      </c>
      <c r="D88" s="46" t="s">
        <v>69</v>
      </c>
      <c r="E88" s="48" t="s">
        <v>254</v>
      </c>
      <c r="F88" s="48" t="s">
        <v>254</v>
      </c>
      <c r="G88" s="47" t="s">
        <v>255</v>
      </c>
      <c r="H88" s="47" t="s">
        <v>44</v>
      </c>
      <c r="I88" s="47" t="s">
        <v>120</v>
      </c>
      <c r="J88" s="48" t="s">
        <v>222</v>
      </c>
      <c r="K88" s="51" t="s">
        <v>123</v>
      </c>
      <c r="L88" s="51" t="s">
        <v>256</v>
      </c>
      <c r="M88" s="46" t="s">
        <v>29</v>
      </c>
      <c r="N88" s="48" t="s">
        <v>165</v>
      </c>
      <c r="O88" s="46" t="s">
        <v>33</v>
      </c>
      <c r="P88" s="13">
        <v>50.39</v>
      </c>
      <c r="Q88" s="36">
        <f t="shared" si="12"/>
        <v>0.52093669378845009</v>
      </c>
      <c r="R88" s="37">
        <f t="shared" si="13"/>
        <v>24.14</v>
      </c>
      <c r="S88" s="42">
        <v>0.15</v>
      </c>
      <c r="T88" s="43">
        <v>28.400000000000002</v>
      </c>
      <c r="U88" s="37">
        <f t="shared" si="14"/>
        <v>26.25</v>
      </c>
      <c r="V88" s="38" t="str">
        <f t="shared" si="15"/>
        <v>1005820402885549361540</v>
      </c>
      <c r="W88" s="39">
        <v>44531</v>
      </c>
      <c r="X88" s="40">
        <v>195</v>
      </c>
      <c r="Y88" s="44"/>
      <c r="Z88" s="45">
        <f t="shared" si="16"/>
        <v>0</v>
      </c>
      <c r="AA88" s="62"/>
      <c r="AB88" s="63">
        <f t="shared" si="17"/>
        <v>0</v>
      </c>
      <c r="AC88" s="62"/>
      <c r="AD88" s="62">
        <f t="shared" si="18"/>
        <v>0</v>
      </c>
      <c r="AE88" s="6"/>
    </row>
    <row r="89" spans="1:31" s="12" customFormat="1" x14ac:dyDescent="0.2">
      <c r="A89" s="41"/>
      <c r="B89" s="46" t="s">
        <v>27</v>
      </c>
      <c r="C89" s="46" t="s">
        <v>60</v>
      </c>
      <c r="D89" s="46" t="s">
        <v>69</v>
      </c>
      <c r="E89" s="48" t="s">
        <v>254</v>
      </c>
      <c r="F89" s="48" t="s">
        <v>254</v>
      </c>
      <c r="G89" s="47" t="s">
        <v>251</v>
      </c>
      <c r="H89" s="47" t="s">
        <v>58</v>
      </c>
      <c r="I89" s="47" t="s">
        <v>65</v>
      </c>
      <c r="J89" s="48" t="s">
        <v>223</v>
      </c>
      <c r="K89" s="51" t="s">
        <v>124</v>
      </c>
      <c r="L89" s="51" t="s">
        <v>256</v>
      </c>
      <c r="M89" s="46" t="s">
        <v>29</v>
      </c>
      <c r="N89" s="48" t="s">
        <v>162</v>
      </c>
      <c r="O89" s="46" t="s">
        <v>31</v>
      </c>
      <c r="P89" s="13">
        <v>25.86</v>
      </c>
      <c r="Q89" s="36">
        <f t="shared" si="12"/>
        <v>0.21376643464810519</v>
      </c>
      <c r="R89" s="37">
        <f t="shared" si="13"/>
        <v>20.332000000000001</v>
      </c>
      <c r="S89" s="42">
        <v>0.15</v>
      </c>
      <c r="T89" s="43">
        <v>23.92</v>
      </c>
      <c r="U89" s="37">
        <f t="shared" si="14"/>
        <v>5.5279999999999987</v>
      </c>
      <c r="V89" s="38" t="str">
        <f t="shared" si="15"/>
        <v>1005820504039120361571</v>
      </c>
      <c r="W89" s="39">
        <v>44531</v>
      </c>
      <c r="X89" s="40"/>
      <c r="Y89" s="44"/>
      <c r="Z89" s="45">
        <f t="shared" si="16"/>
        <v>0</v>
      </c>
      <c r="AA89" s="62"/>
      <c r="AB89" s="63">
        <f t="shared" si="17"/>
        <v>0</v>
      </c>
      <c r="AC89" s="62"/>
      <c r="AD89" s="62">
        <f t="shared" si="18"/>
        <v>0</v>
      </c>
      <c r="AE89" s="6"/>
    </row>
    <row r="90" spans="1:31" s="12" customFormat="1" x14ac:dyDescent="0.2">
      <c r="A90" s="41"/>
      <c r="B90" s="46" t="s">
        <v>27</v>
      </c>
      <c r="C90" s="46" t="s">
        <v>60</v>
      </c>
      <c r="D90" s="46" t="s">
        <v>69</v>
      </c>
      <c r="E90" s="48" t="s">
        <v>254</v>
      </c>
      <c r="F90" s="48" t="s">
        <v>254</v>
      </c>
      <c r="G90" s="47" t="s">
        <v>251</v>
      </c>
      <c r="H90" s="47" t="s">
        <v>58</v>
      </c>
      <c r="I90" s="47" t="s">
        <v>65</v>
      </c>
      <c r="J90" s="48" t="s">
        <v>223</v>
      </c>
      <c r="K90" s="51" t="s">
        <v>124</v>
      </c>
      <c r="L90" s="51" t="s">
        <v>256</v>
      </c>
      <c r="M90" s="46" t="s">
        <v>48</v>
      </c>
      <c r="N90" s="48" t="s">
        <v>175</v>
      </c>
      <c r="O90" s="46" t="s">
        <v>49</v>
      </c>
      <c r="P90" s="13">
        <v>123.18</v>
      </c>
      <c r="Q90" s="36">
        <f t="shared" si="12"/>
        <v>0.10569897710667309</v>
      </c>
      <c r="R90" s="37">
        <f t="shared" si="13"/>
        <v>110.16000000000001</v>
      </c>
      <c r="S90" s="42">
        <v>0.15</v>
      </c>
      <c r="T90" s="43">
        <v>129.60000000000002</v>
      </c>
      <c r="U90" s="37">
        <f t="shared" si="14"/>
        <v>13.019999999999996</v>
      </c>
      <c r="V90" s="38" t="str">
        <f t="shared" si="15"/>
        <v>1005820504039120370042</v>
      </c>
      <c r="W90" s="39">
        <v>44531</v>
      </c>
      <c r="X90" s="40"/>
      <c r="Y90" s="44"/>
      <c r="Z90" s="45">
        <f t="shared" si="16"/>
        <v>0</v>
      </c>
      <c r="AA90" s="62"/>
      <c r="AB90" s="63">
        <f t="shared" si="17"/>
        <v>0</v>
      </c>
      <c r="AC90" s="62"/>
      <c r="AD90" s="62">
        <f t="shared" si="18"/>
        <v>0</v>
      </c>
      <c r="AE90" s="6"/>
    </row>
    <row r="91" spans="1:31" s="12" customFormat="1" x14ac:dyDescent="0.2">
      <c r="A91" s="41"/>
      <c r="B91" s="46" t="s">
        <v>27</v>
      </c>
      <c r="C91" s="46" t="s">
        <v>60</v>
      </c>
      <c r="D91" s="46" t="s">
        <v>69</v>
      </c>
      <c r="E91" s="48" t="s">
        <v>254</v>
      </c>
      <c r="F91" s="48" t="s">
        <v>254</v>
      </c>
      <c r="G91" s="47" t="s">
        <v>251</v>
      </c>
      <c r="H91" s="47" t="s">
        <v>58</v>
      </c>
      <c r="I91" s="47" t="s">
        <v>65</v>
      </c>
      <c r="J91" s="48" t="s">
        <v>223</v>
      </c>
      <c r="K91" s="51" t="s">
        <v>124</v>
      </c>
      <c r="L91" s="51" t="s">
        <v>256</v>
      </c>
      <c r="M91" s="46" t="s">
        <v>48</v>
      </c>
      <c r="N91" s="48" t="s">
        <v>182</v>
      </c>
      <c r="O91" s="46" t="s">
        <v>57</v>
      </c>
      <c r="P91" s="13">
        <v>97.25</v>
      </c>
      <c r="Q91" s="36">
        <f t="shared" si="12"/>
        <v>0.11434447300771211</v>
      </c>
      <c r="R91" s="37">
        <f t="shared" si="13"/>
        <v>86.13</v>
      </c>
      <c r="S91" s="42">
        <v>0.13</v>
      </c>
      <c r="T91" s="43">
        <v>99</v>
      </c>
      <c r="U91" s="37">
        <f t="shared" si="14"/>
        <v>11.120000000000005</v>
      </c>
      <c r="V91" s="38" t="str">
        <f t="shared" si="15"/>
        <v>1005820504039120370039</v>
      </c>
      <c r="W91" s="39">
        <v>44531</v>
      </c>
      <c r="X91" s="40"/>
      <c r="Y91" s="44">
        <v>0.83</v>
      </c>
      <c r="Z91" s="45">
        <f t="shared" si="16"/>
        <v>9.2296000000000031</v>
      </c>
      <c r="AA91" s="62">
        <v>0.83</v>
      </c>
      <c r="AB91" s="63">
        <f t="shared" si="17"/>
        <v>9.2296000000000031</v>
      </c>
      <c r="AC91" s="62" t="s">
        <v>319</v>
      </c>
      <c r="AD91" s="62">
        <f t="shared" si="18"/>
        <v>0</v>
      </c>
      <c r="AE91" s="6"/>
    </row>
    <row r="92" spans="1:31" s="12" customFormat="1" x14ac:dyDescent="0.2">
      <c r="A92" s="41"/>
      <c r="B92" s="46" t="s">
        <v>27</v>
      </c>
      <c r="C92" s="46" t="s">
        <v>60</v>
      </c>
      <c r="D92" s="46" t="s">
        <v>69</v>
      </c>
      <c r="E92" s="48" t="s">
        <v>254</v>
      </c>
      <c r="F92" s="48" t="s">
        <v>254</v>
      </c>
      <c r="G92" s="47" t="s">
        <v>251</v>
      </c>
      <c r="H92" s="47" t="s">
        <v>58</v>
      </c>
      <c r="I92" s="47" t="s">
        <v>65</v>
      </c>
      <c r="J92" s="48" t="s">
        <v>223</v>
      </c>
      <c r="K92" s="51" t="s">
        <v>124</v>
      </c>
      <c r="L92" s="51" t="s">
        <v>256</v>
      </c>
      <c r="M92" s="46" t="s">
        <v>29</v>
      </c>
      <c r="N92" s="48" t="s">
        <v>165</v>
      </c>
      <c r="O92" s="46" t="s">
        <v>33</v>
      </c>
      <c r="P92" s="13">
        <v>50.39</v>
      </c>
      <c r="Q92" s="36">
        <f t="shared" si="12"/>
        <v>0.59650724350069462</v>
      </c>
      <c r="R92" s="37">
        <f t="shared" si="13"/>
        <v>20.331999999999997</v>
      </c>
      <c r="S92" s="42">
        <v>0.15</v>
      </c>
      <c r="T92" s="43">
        <v>23.919999999999998</v>
      </c>
      <c r="U92" s="37">
        <f t="shared" si="14"/>
        <v>30.058000000000003</v>
      </c>
      <c r="V92" s="38" t="str">
        <f t="shared" si="15"/>
        <v>1005820504039120361540</v>
      </c>
      <c r="W92" s="39">
        <v>44531</v>
      </c>
      <c r="X92" s="40"/>
      <c r="Y92" s="44"/>
      <c r="Z92" s="45">
        <f t="shared" si="16"/>
        <v>0</v>
      </c>
      <c r="AA92" s="62"/>
      <c r="AB92" s="63">
        <f t="shared" si="17"/>
        <v>0</v>
      </c>
      <c r="AC92" s="62"/>
      <c r="AD92" s="62">
        <f t="shared" si="18"/>
        <v>0</v>
      </c>
      <c r="AE92" s="6"/>
    </row>
    <row r="93" spans="1:31" s="12" customFormat="1" x14ac:dyDescent="0.2">
      <c r="A93" s="41"/>
      <c r="B93" s="46" t="s">
        <v>27</v>
      </c>
      <c r="C93" s="46" t="s">
        <v>60</v>
      </c>
      <c r="D93" s="46" t="s">
        <v>69</v>
      </c>
      <c r="E93" s="48" t="s">
        <v>254</v>
      </c>
      <c r="F93" s="48" t="s">
        <v>254</v>
      </c>
      <c r="G93" s="47" t="s">
        <v>257</v>
      </c>
      <c r="H93" s="47" t="s">
        <v>44</v>
      </c>
      <c r="I93" s="47" t="s">
        <v>45</v>
      </c>
      <c r="J93" s="48" t="s">
        <v>224</v>
      </c>
      <c r="K93" s="51" t="s">
        <v>125</v>
      </c>
      <c r="L93" s="51" t="s">
        <v>256</v>
      </c>
      <c r="M93" s="46" t="s">
        <v>29</v>
      </c>
      <c r="N93" s="48" t="s">
        <v>179</v>
      </c>
      <c r="O93" s="46" t="s">
        <v>54</v>
      </c>
      <c r="P93" s="13">
        <v>39.619999999999997</v>
      </c>
      <c r="Q93" s="36">
        <f t="shared" si="12"/>
        <v>0.27057041898031298</v>
      </c>
      <c r="R93" s="37">
        <f t="shared" si="13"/>
        <v>28.9</v>
      </c>
      <c r="S93" s="42">
        <v>0.15</v>
      </c>
      <c r="T93" s="43">
        <v>34</v>
      </c>
      <c r="U93" s="37">
        <f t="shared" si="14"/>
        <v>10.719999999999999</v>
      </c>
      <c r="V93" s="38" t="str">
        <f t="shared" si="15"/>
        <v>1005820565993390360374</v>
      </c>
      <c r="W93" s="39">
        <v>44531</v>
      </c>
      <c r="X93" s="40"/>
      <c r="Y93" s="44">
        <v>78.75</v>
      </c>
      <c r="Z93" s="45">
        <f t="shared" si="16"/>
        <v>844.19999999999993</v>
      </c>
      <c r="AA93" s="62">
        <f>(10+20+15+60+20+45+20+70+15+10+30)/4</f>
        <v>78.75</v>
      </c>
      <c r="AB93" s="63">
        <f t="shared" si="17"/>
        <v>844.19999999999993</v>
      </c>
      <c r="AC93" s="62" t="s">
        <v>319</v>
      </c>
      <c r="AD93" s="62">
        <f t="shared" si="18"/>
        <v>0</v>
      </c>
      <c r="AE93" s="6"/>
    </row>
    <row r="94" spans="1:31" s="12" customFormat="1" x14ac:dyDescent="0.2">
      <c r="A94" s="41"/>
      <c r="B94" s="46" t="s">
        <v>27</v>
      </c>
      <c r="C94" s="46" t="s">
        <v>60</v>
      </c>
      <c r="D94" s="46" t="s">
        <v>69</v>
      </c>
      <c r="E94" s="48" t="s">
        <v>254</v>
      </c>
      <c r="F94" s="48" t="s">
        <v>254</v>
      </c>
      <c r="G94" s="47" t="s">
        <v>257</v>
      </c>
      <c r="H94" s="47" t="s">
        <v>44</v>
      </c>
      <c r="I94" s="47" t="s">
        <v>45</v>
      </c>
      <c r="J94" s="48" t="s">
        <v>224</v>
      </c>
      <c r="K94" s="51" t="s">
        <v>125</v>
      </c>
      <c r="L94" s="51" t="s">
        <v>256</v>
      </c>
      <c r="M94" s="46" t="s">
        <v>34</v>
      </c>
      <c r="N94" s="48" t="s">
        <v>167</v>
      </c>
      <c r="O94" s="46" t="s">
        <v>36</v>
      </c>
      <c r="P94" s="13">
        <v>26.44</v>
      </c>
      <c r="Q94" s="36">
        <f t="shared" si="12"/>
        <v>0.21879727685325268</v>
      </c>
      <c r="R94" s="37">
        <f t="shared" si="13"/>
        <v>20.655000000000001</v>
      </c>
      <c r="S94" s="42">
        <v>0.15</v>
      </c>
      <c r="T94" s="43">
        <v>24.3</v>
      </c>
      <c r="U94" s="37">
        <f t="shared" si="14"/>
        <v>5.7850000000000001</v>
      </c>
      <c r="V94" s="38" t="str">
        <f t="shared" si="15"/>
        <v>1005820565993390361532</v>
      </c>
      <c r="W94" s="39">
        <v>44531</v>
      </c>
      <c r="X94" s="40"/>
      <c r="Y94" s="44">
        <v>228.5</v>
      </c>
      <c r="Z94" s="45">
        <f t="shared" si="16"/>
        <v>1321.8724999999999</v>
      </c>
      <c r="AA94" s="62">
        <f>(10+35+30+140+20+100+20+20+20+10+40+12)/2</f>
        <v>228.5</v>
      </c>
      <c r="AB94" s="63">
        <f t="shared" si="17"/>
        <v>1321.8724999999999</v>
      </c>
      <c r="AC94" s="62" t="s">
        <v>319</v>
      </c>
      <c r="AD94" s="62">
        <f t="shared" si="18"/>
        <v>0</v>
      </c>
      <c r="AE94" s="6"/>
    </row>
    <row r="95" spans="1:31" s="12" customFormat="1" x14ac:dyDescent="0.2">
      <c r="A95" s="41"/>
      <c r="B95" s="46" t="s">
        <v>27</v>
      </c>
      <c r="C95" s="46" t="s">
        <v>60</v>
      </c>
      <c r="D95" s="46" t="s">
        <v>69</v>
      </c>
      <c r="E95" s="48" t="s">
        <v>254</v>
      </c>
      <c r="F95" s="48" t="s">
        <v>254</v>
      </c>
      <c r="G95" s="47" t="s">
        <v>257</v>
      </c>
      <c r="H95" s="47" t="s">
        <v>44</v>
      </c>
      <c r="I95" s="47" t="s">
        <v>45</v>
      </c>
      <c r="J95" s="48" t="s">
        <v>224</v>
      </c>
      <c r="K95" s="51" t="s">
        <v>125</v>
      </c>
      <c r="L95" s="51" t="s">
        <v>256</v>
      </c>
      <c r="M95" s="46" t="s">
        <v>34</v>
      </c>
      <c r="N95" s="48" t="s">
        <v>173</v>
      </c>
      <c r="O95" s="46" t="s">
        <v>47</v>
      </c>
      <c r="P95" s="13">
        <v>41.42</v>
      </c>
      <c r="Q95" s="36">
        <f t="shared" si="12"/>
        <v>0.50132786093674553</v>
      </c>
      <c r="R95" s="37">
        <f t="shared" si="13"/>
        <v>20.655000000000001</v>
      </c>
      <c r="S95" s="42">
        <v>0.15</v>
      </c>
      <c r="T95" s="43">
        <v>24.3</v>
      </c>
      <c r="U95" s="37">
        <f t="shared" si="14"/>
        <v>20.765000000000001</v>
      </c>
      <c r="V95" s="38" t="str">
        <f t="shared" si="15"/>
        <v>1005820565993390361535</v>
      </c>
      <c r="W95" s="39">
        <v>44531</v>
      </c>
      <c r="X95" s="40"/>
      <c r="Y95" s="44"/>
      <c r="Z95" s="45">
        <f t="shared" si="16"/>
        <v>0</v>
      </c>
      <c r="AA95" s="62"/>
      <c r="AB95" s="63">
        <f t="shared" si="17"/>
        <v>0</v>
      </c>
      <c r="AC95" s="62"/>
      <c r="AD95" s="62">
        <f t="shared" si="18"/>
        <v>0</v>
      </c>
      <c r="AE95" s="6"/>
    </row>
    <row r="96" spans="1:31" s="12" customFormat="1" x14ac:dyDescent="0.2">
      <c r="A96" s="41"/>
      <c r="B96" s="46" t="s">
        <v>27</v>
      </c>
      <c r="C96" s="46" t="s">
        <v>60</v>
      </c>
      <c r="D96" s="46" t="s">
        <v>69</v>
      </c>
      <c r="E96" s="48" t="s">
        <v>254</v>
      </c>
      <c r="F96" s="48" t="s">
        <v>254</v>
      </c>
      <c r="G96" s="47" t="s">
        <v>253</v>
      </c>
      <c r="H96" s="47" t="s">
        <v>44</v>
      </c>
      <c r="I96" s="47" t="s">
        <v>59</v>
      </c>
      <c r="J96" s="48" t="s">
        <v>225</v>
      </c>
      <c r="K96" s="51" t="s">
        <v>126</v>
      </c>
      <c r="L96" s="51" t="s">
        <v>256</v>
      </c>
      <c r="M96" s="46" t="s">
        <v>29</v>
      </c>
      <c r="N96" s="48" t="s">
        <v>162</v>
      </c>
      <c r="O96" s="46" t="s">
        <v>31</v>
      </c>
      <c r="P96" s="13">
        <v>25.86</v>
      </c>
      <c r="Q96" s="36">
        <f t="shared" si="12"/>
        <v>0.12262180974477954</v>
      </c>
      <c r="R96" s="37">
        <f t="shared" si="13"/>
        <v>22.689</v>
      </c>
      <c r="S96" s="42">
        <v>0.15</v>
      </c>
      <c r="T96" s="43">
        <v>26.69294117647059</v>
      </c>
      <c r="U96" s="37">
        <f t="shared" si="14"/>
        <v>3.1709999999999994</v>
      </c>
      <c r="V96" s="38" t="str">
        <f t="shared" si="15"/>
        <v>1005820602822533361571</v>
      </c>
      <c r="W96" s="39">
        <v>44531</v>
      </c>
      <c r="X96" s="40"/>
      <c r="Y96" s="44">
        <v>87.5</v>
      </c>
      <c r="Z96" s="45">
        <f t="shared" si="16"/>
        <v>277.46249999999992</v>
      </c>
      <c r="AA96" s="62">
        <f>(50+280+20)/4</f>
        <v>87.5</v>
      </c>
      <c r="AB96" s="63">
        <f t="shared" si="17"/>
        <v>277.46249999999992</v>
      </c>
      <c r="AC96" s="62" t="s">
        <v>319</v>
      </c>
      <c r="AD96" s="62">
        <f t="shared" si="18"/>
        <v>0</v>
      </c>
      <c r="AE96" s="6"/>
    </row>
    <row r="97" spans="1:31" s="12" customFormat="1" x14ac:dyDescent="0.2">
      <c r="A97" s="41"/>
      <c r="B97" s="46" t="s">
        <v>27</v>
      </c>
      <c r="C97" s="46" t="s">
        <v>60</v>
      </c>
      <c r="D97" s="46" t="s">
        <v>69</v>
      </c>
      <c r="E97" s="48" t="s">
        <v>254</v>
      </c>
      <c r="F97" s="48" t="s">
        <v>254</v>
      </c>
      <c r="G97" s="47" t="s">
        <v>253</v>
      </c>
      <c r="H97" s="47" t="s">
        <v>44</v>
      </c>
      <c r="I97" s="47" t="s">
        <v>59</v>
      </c>
      <c r="J97" s="48" t="s">
        <v>225</v>
      </c>
      <c r="K97" s="51" t="s">
        <v>126</v>
      </c>
      <c r="L97" s="51" t="s">
        <v>256</v>
      </c>
      <c r="M97" s="46" t="s">
        <v>34</v>
      </c>
      <c r="N97" s="48" t="s">
        <v>167</v>
      </c>
      <c r="O97" s="46" t="s">
        <v>36</v>
      </c>
      <c r="P97" s="13">
        <v>26.44</v>
      </c>
      <c r="Q97" s="36">
        <f t="shared" si="12"/>
        <v>0.42312904014731223</v>
      </c>
      <c r="R97" s="37">
        <f t="shared" si="13"/>
        <v>15.252468178505065</v>
      </c>
      <c r="S97" s="42">
        <v>0.15</v>
      </c>
      <c r="T97" s="43">
        <v>17.944080210005961</v>
      </c>
      <c r="U97" s="37">
        <f t="shared" si="14"/>
        <v>11.187531821494936</v>
      </c>
      <c r="V97" s="38" t="str">
        <f t="shared" si="15"/>
        <v>1005820602822533361532</v>
      </c>
      <c r="W97" s="39">
        <v>44531</v>
      </c>
      <c r="X97" s="40">
        <v>1673</v>
      </c>
      <c r="Y97" s="44"/>
      <c r="Z97" s="45">
        <f t="shared" si="16"/>
        <v>0</v>
      </c>
      <c r="AA97" s="62"/>
      <c r="AB97" s="63">
        <f t="shared" si="17"/>
        <v>0</v>
      </c>
      <c r="AC97" s="62"/>
      <c r="AD97" s="62">
        <f t="shared" si="18"/>
        <v>0</v>
      </c>
      <c r="AE97" s="6"/>
    </row>
    <row r="98" spans="1:31" s="12" customFormat="1" x14ac:dyDescent="0.2">
      <c r="A98" s="41"/>
      <c r="B98" s="46" t="s">
        <v>27</v>
      </c>
      <c r="C98" s="46" t="s">
        <v>60</v>
      </c>
      <c r="D98" s="46" t="s">
        <v>69</v>
      </c>
      <c r="E98" s="48" t="s">
        <v>254</v>
      </c>
      <c r="F98" s="48" t="s">
        <v>254</v>
      </c>
      <c r="G98" s="47" t="s">
        <v>253</v>
      </c>
      <c r="H98" s="47" t="s">
        <v>44</v>
      </c>
      <c r="I98" s="47" t="s">
        <v>59</v>
      </c>
      <c r="J98" s="48" t="s">
        <v>225</v>
      </c>
      <c r="K98" s="51" t="s">
        <v>126</v>
      </c>
      <c r="L98" s="51" t="s">
        <v>256</v>
      </c>
      <c r="M98" s="46" t="s">
        <v>29</v>
      </c>
      <c r="N98" s="48" t="s">
        <v>174</v>
      </c>
      <c r="O98" s="46" t="s">
        <v>157</v>
      </c>
      <c r="P98" s="13">
        <v>32.42</v>
      </c>
      <c r="Q98" s="36">
        <f t="shared" si="12"/>
        <v>9.9999999999999978E-2</v>
      </c>
      <c r="R98" s="37">
        <f t="shared" si="13"/>
        <v>29.178000000000001</v>
      </c>
      <c r="S98" s="42">
        <v>0.15</v>
      </c>
      <c r="T98" s="43">
        <v>34.327058823529413</v>
      </c>
      <c r="U98" s="37">
        <f t="shared" si="14"/>
        <v>3.2420000000000009</v>
      </c>
      <c r="V98" s="38" t="str">
        <f t="shared" si="15"/>
        <v>1005820602822533361570</v>
      </c>
      <c r="W98" s="39">
        <v>44531</v>
      </c>
      <c r="X98" s="40"/>
      <c r="Y98" s="44"/>
      <c r="Z98" s="45">
        <f t="shared" si="16"/>
        <v>0</v>
      </c>
      <c r="AA98" s="62"/>
      <c r="AB98" s="63">
        <f t="shared" si="17"/>
        <v>0</v>
      </c>
      <c r="AC98" s="62"/>
      <c r="AD98" s="62">
        <f t="shared" si="18"/>
        <v>0</v>
      </c>
      <c r="AE98" s="6"/>
    </row>
    <row r="99" spans="1:31" s="12" customFormat="1" x14ac:dyDescent="0.2">
      <c r="A99" s="41"/>
      <c r="B99" s="46" t="s">
        <v>27</v>
      </c>
      <c r="C99" s="46" t="s">
        <v>60</v>
      </c>
      <c r="D99" s="46" t="s">
        <v>69</v>
      </c>
      <c r="E99" s="48" t="s">
        <v>254</v>
      </c>
      <c r="F99" s="48" t="s">
        <v>254</v>
      </c>
      <c r="G99" s="47" t="s">
        <v>253</v>
      </c>
      <c r="H99" s="47" t="s">
        <v>44</v>
      </c>
      <c r="I99" s="47" t="s">
        <v>59</v>
      </c>
      <c r="J99" s="48" t="s">
        <v>225</v>
      </c>
      <c r="K99" s="51" t="s">
        <v>126</v>
      </c>
      <c r="L99" s="51" t="s">
        <v>256</v>
      </c>
      <c r="M99" s="46" t="s">
        <v>41</v>
      </c>
      <c r="N99" s="48" t="s">
        <v>171</v>
      </c>
      <c r="O99" s="46" t="s">
        <v>270</v>
      </c>
      <c r="P99" s="13">
        <v>118.86</v>
      </c>
      <c r="Q99" s="36">
        <f t="shared" si="12"/>
        <v>0.16330136294800601</v>
      </c>
      <c r="R99" s="37">
        <f t="shared" si="13"/>
        <v>99.45</v>
      </c>
      <c r="S99" s="42">
        <v>0.15</v>
      </c>
      <c r="T99" s="43">
        <v>117</v>
      </c>
      <c r="U99" s="37">
        <f t="shared" si="14"/>
        <v>19.409999999999997</v>
      </c>
      <c r="V99" s="38" t="str">
        <f t="shared" si="15"/>
        <v>1005820602822533361445</v>
      </c>
      <c r="W99" s="39">
        <v>44531</v>
      </c>
      <c r="X99" s="40">
        <v>24</v>
      </c>
      <c r="Y99" s="44"/>
      <c r="Z99" s="45">
        <f t="shared" si="16"/>
        <v>0</v>
      </c>
      <c r="AA99" s="62"/>
      <c r="AB99" s="63">
        <f t="shared" si="17"/>
        <v>0</v>
      </c>
      <c r="AC99" s="62"/>
      <c r="AD99" s="62">
        <f t="shared" si="18"/>
        <v>0</v>
      </c>
      <c r="AE99" s="6"/>
    </row>
    <row r="100" spans="1:31" s="12" customFormat="1" x14ac:dyDescent="0.2">
      <c r="A100" s="41"/>
      <c r="B100" s="46" t="s">
        <v>27</v>
      </c>
      <c r="C100" s="46" t="s">
        <v>60</v>
      </c>
      <c r="D100" s="46" t="s">
        <v>69</v>
      </c>
      <c r="E100" s="48" t="s">
        <v>254</v>
      </c>
      <c r="F100" s="48" t="s">
        <v>254</v>
      </c>
      <c r="G100" s="47" t="s">
        <v>253</v>
      </c>
      <c r="H100" s="47" t="s">
        <v>44</v>
      </c>
      <c r="I100" s="47" t="s">
        <v>59</v>
      </c>
      <c r="J100" s="48" t="s">
        <v>225</v>
      </c>
      <c r="K100" s="51" t="s">
        <v>126</v>
      </c>
      <c r="L100" s="51" t="s">
        <v>256</v>
      </c>
      <c r="M100" s="46" t="s">
        <v>41</v>
      </c>
      <c r="N100" s="48" t="s">
        <v>185</v>
      </c>
      <c r="O100" s="46" t="s">
        <v>158</v>
      </c>
      <c r="P100" s="13">
        <v>123.18</v>
      </c>
      <c r="Q100" s="36">
        <f t="shared" si="12"/>
        <v>0.1926449098879689</v>
      </c>
      <c r="R100" s="37">
        <f t="shared" si="13"/>
        <v>99.45</v>
      </c>
      <c r="S100" s="42">
        <v>0.15</v>
      </c>
      <c r="T100" s="43">
        <v>117</v>
      </c>
      <c r="U100" s="37">
        <f t="shared" si="14"/>
        <v>23.730000000000004</v>
      </c>
      <c r="V100" s="38" t="str">
        <f t="shared" si="15"/>
        <v>1005820602822533361568</v>
      </c>
      <c r="W100" s="39">
        <v>44531</v>
      </c>
      <c r="X100" s="40">
        <v>11</v>
      </c>
      <c r="Y100" s="44"/>
      <c r="Z100" s="45">
        <f t="shared" si="16"/>
        <v>0</v>
      </c>
      <c r="AA100" s="62"/>
      <c r="AB100" s="63">
        <f t="shared" si="17"/>
        <v>0</v>
      </c>
      <c r="AC100" s="62"/>
      <c r="AD100" s="62">
        <f t="shared" si="18"/>
        <v>0</v>
      </c>
      <c r="AE100" s="6"/>
    </row>
    <row r="101" spans="1:31" s="12" customFormat="1" x14ac:dyDescent="0.2">
      <c r="A101" s="41"/>
      <c r="B101" s="46" t="s">
        <v>27</v>
      </c>
      <c r="C101" s="46" t="s">
        <v>60</v>
      </c>
      <c r="D101" s="46" t="s">
        <v>69</v>
      </c>
      <c r="E101" s="48" t="s">
        <v>254</v>
      </c>
      <c r="F101" s="48" t="s">
        <v>254</v>
      </c>
      <c r="G101" s="47" t="s">
        <v>253</v>
      </c>
      <c r="H101" s="47" t="s">
        <v>44</v>
      </c>
      <c r="I101" s="47" t="s">
        <v>59</v>
      </c>
      <c r="J101" s="48" t="s">
        <v>226</v>
      </c>
      <c r="K101" s="51" t="s">
        <v>127</v>
      </c>
      <c r="L101" s="51" t="s">
        <v>256</v>
      </c>
      <c r="M101" s="46" t="s">
        <v>29</v>
      </c>
      <c r="N101" s="48" t="s">
        <v>162</v>
      </c>
      <c r="O101" s="46" t="s">
        <v>31</v>
      </c>
      <c r="P101" s="13">
        <v>25.86</v>
      </c>
      <c r="Q101" s="36">
        <f t="shared" si="12"/>
        <v>0.12262180974477954</v>
      </c>
      <c r="R101" s="37">
        <f t="shared" si="13"/>
        <v>22.689</v>
      </c>
      <c r="S101" s="42">
        <v>0.15</v>
      </c>
      <c r="T101" s="43">
        <v>26.69294117647059</v>
      </c>
      <c r="U101" s="37">
        <f t="shared" si="14"/>
        <v>3.1709999999999994</v>
      </c>
      <c r="V101" s="38" t="str">
        <f t="shared" si="15"/>
        <v>1005820559912353361571</v>
      </c>
      <c r="W101" s="39">
        <v>43831</v>
      </c>
      <c r="X101" s="40"/>
      <c r="Y101" s="44"/>
      <c r="Z101" s="45">
        <f t="shared" si="16"/>
        <v>0</v>
      </c>
      <c r="AA101" s="62"/>
      <c r="AB101" s="63">
        <f t="shared" si="17"/>
        <v>0</v>
      </c>
      <c r="AC101" s="62"/>
      <c r="AD101" s="62">
        <f t="shared" si="18"/>
        <v>0</v>
      </c>
      <c r="AE101" s="6"/>
    </row>
    <row r="102" spans="1:31" s="12" customFormat="1" x14ac:dyDescent="0.2">
      <c r="A102" s="41"/>
      <c r="B102" s="46" t="s">
        <v>27</v>
      </c>
      <c r="C102" s="46" t="s">
        <v>60</v>
      </c>
      <c r="D102" s="46" t="s">
        <v>69</v>
      </c>
      <c r="E102" s="48" t="s">
        <v>254</v>
      </c>
      <c r="F102" s="48" t="s">
        <v>254</v>
      </c>
      <c r="G102" s="47" t="s">
        <v>253</v>
      </c>
      <c r="H102" s="47" t="s">
        <v>44</v>
      </c>
      <c r="I102" s="47" t="s">
        <v>59</v>
      </c>
      <c r="J102" s="48" t="s">
        <v>226</v>
      </c>
      <c r="K102" s="51" t="s">
        <v>127</v>
      </c>
      <c r="L102" s="51" t="s">
        <v>256</v>
      </c>
      <c r="M102" s="46" t="s">
        <v>34</v>
      </c>
      <c r="N102" s="48" t="s">
        <v>167</v>
      </c>
      <c r="O102" s="46" t="s">
        <v>36</v>
      </c>
      <c r="P102" s="13">
        <v>26.44</v>
      </c>
      <c r="Q102" s="36">
        <f t="shared" ref="Q102:Q133" si="19">IF(1-R102/P102&lt;0%,0,1-R102/P102)</f>
        <v>0.42312904014731223</v>
      </c>
      <c r="R102" s="37">
        <f t="shared" ref="R102:R133" si="20">+T102*(100%-S102)</f>
        <v>15.252468178505065</v>
      </c>
      <c r="S102" s="42">
        <v>0.15</v>
      </c>
      <c r="T102" s="43">
        <v>17.944080210005961</v>
      </c>
      <c r="U102" s="37">
        <f t="shared" ref="U102:U133" si="21">+IF(P102-R102&lt;0,0,P102-R102)</f>
        <v>11.187531821494936</v>
      </c>
      <c r="V102" s="38" t="str">
        <f t="shared" ref="V102:V133" si="22">+CONCATENATE(TRIM(F102),TRIM(J102),TRIM(N102))</f>
        <v>1005820559912353361532</v>
      </c>
      <c r="W102" s="39">
        <v>44531</v>
      </c>
      <c r="X102" s="40"/>
      <c r="Y102" s="44"/>
      <c r="Z102" s="45">
        <f t="shared" ref="Z102:Z133" si="23">IFERROR(U102*Y102,0)</f>
        <v>0</v>
      </c>
      <c r="AA102" s="62"/>
      <c r="AB102" s="63">
        <f t="shared" si="17"/>
        <v>0</v>
      </c>
      <c r="AC102" s="62"/>
      <c r="AD102" s="62">
        <f t="shared" si="18"/>
        <v>0</v>
      </c>
      <c r="AE102" s="6"/>
    </row>
    <row r="103" spans="1:31" s="12" customFormat="1" x14ac:dyDescent="0.2">
      <c r="A103" s="41"/>
      <c r="B103" s="46" t="s">
        <v>27</v>
      </c>
      <c r="C103" s="46" t="s">
        <v>60</v>
      </c>
      <c r="D103" s="46" t="s">
        <v>69</v>
      </c>
      <c r="E103" s="48" t="s">
        <v>254</v>
      </c>
      <c r="F103" s="48" t="s">
        <v>254</v>
      </c>
      <c r="G103" s="47" t="s">
        <v>255</v>
      </c>
      <c r="H103" s="47" t="s">
        <v>44</v>
      </c>
      <c r="I103" s="47" t="s">
        <v>64</v>
      </c>
      <c r="J103" s="48" t="s">
        <v>227</v>
      </c>
      <c r="K103" s="51" t="s">
        <v>128</v>
      </c>
      <c r="L103" s="51" t="s">
        <v>256</v>
      </c>
      <c r="M103" s="46" t="s">
        <v>29</v>
      </c>
      <c r="N103" s="48" t="s">
        <v>183</v>
      </c>
      <c r="O103" s="46" t="s">
        <v>62</v>
      </c>
      <c r="P103" s="13">
        <v>54.46</v>
      </c>
      <c r="Q103" s="36">
        <f t="shared" si="19"/>
        <v>0</v>
      </c>
      <c r="R103" s="37">
        <f t="shared" si="20"/>
        <v>59.5</v>
      </c>
      <c r="S103" s="42">
        <v>0.15</v>
      </c>
      <c r="T103" s="43">
        <v>70</v>
      </c>
      <c r="U103" s="37">
        <f t="shared" si="21"/>
        <v>0</v>
      </c>
      <c r="V103" s="38" t="str">
        <f t="shared" si="22"/>
        <v>1005820163901197361421</v>
      </c>
      <c r="W103" s="39">
        <v>44531</v>
      </c>
      <c r="X103" s="40"/>
      <c r="Y103" s="44"/>
      <c r="Z103" s="45">
        <f t="shared" si="23"/>
        <v>0</v>
      </c>
      <c r="AA103" s="62"/>
      <c r="AB103" s="63">
        <f t="shared" si="17"/>
        <v>0</v>
      </c>
      <c r="AC103" s="62"/>
      <c r="AD103" s="62">
        <f t="shared" si="18"/>
        <v>0</v>
      </c>
      <c r="AE103" s="6"/>
    </row>
    <row r="104" spans="1:31" s="12" customFormat="1" x14ac:dyDescent="0.2">
      <c r="A104" s="41"/>
      <c r="B104" s="46" t="s">
        <v>27</v>
      </c>
      <c r="C104" s="46" t="s">
        <v>60</v>
      </c>
      <c r="D104" s="46" t="s">
        <v>69</v>
      </c>
      <c r="E104" s="48" t="s">
        <v>254</v>
      </c>
      <c r="F104" s="48" t="s">
        <v>254</v>
      </c>
      <c r="G104" s="47" t="s">
        <v>255</v>
      </c>
      <c r="H104" s="47" t="s">
        <v>44</v>
      </c>
      <c r="I104" s="47" t="s">
        <v>64</v>
      </c>
      <c r="J104" s="48" t="s">
        <v>228</v>
      </c>
      <c r="K104" s="51" t="s">
        <v>129</v>
      </c>
      <c r="L104" s="51" t="s">
        <v>256</v>
      </c>
      <c r="M104" s="46" t="s">
        <v>29</v>
      </c>
      <c r="N104" s="48" t="s">
        <v>183</v>
      </c>
      <c r="O104" s="46" t="s">
        <v>62</v>
      </c>
      <c r="P104" s="13">
        <v>54.46</v>
      </c>
      <c r="Q104" s="36">
        <f t="shared" si="19"/>
        <v>0</v>
      </c>
      <c r="R104" s="37">
        <f t="shared" si="20"/>
        <v>59.295999999999999</v>
      </c>
      <c r="S104" s="42">
        <v>0.15</v>
      </c>
      <c r="T104" s="43">
        <v>69.760000000000005</v>
      </c>
      <c r="U104" s="37">
        <f t="shared" si="21"/>
        <v>0</v>
      </c>
      <c r="V104" s="38" t="str">
        <f t="shared" si="22"/>
        <v>1005820600467035361421</v>
      </c>
      <c r="W104" s="39">
        <v>44531</v>
      </c>
      <c r="X104" s="40"/>
      <c r="Y104" s="44"/>
      <c r="Z104" s="45">
        <f t="shared" si="23"/>
        <v>0</v>
      </c>
      <c r="AA104" s="62"/>
      <c r="AB104" s="63">
        <f t="shared" si="17"/>
        <v>0</v>
      </c>
      <c r="AC104" s="62"/>
      <c r="AD104" s="62">
        <f t="shared" si="18"/>
        <v>0</v>
      </c>
      <c r="AE104" s="6"/>
    </row>
    <row r="105" spans="1:31" s="12" customFormat="1" x14ac:dyDescent="0.2">
      <c r="A105" s="41"/>
      <c r="B105" s="46" t="s">
        <v>27</v>
      </c>
      <c r="C105" s="46" t="s">
        <v>60</v>
      </c>
      <c r="D105" s="46" t="s">
        <v>69</v>
      </c>
      <c r="E105" s="48" t="s">
        <v>254</v>
      </c>
      <c r="F105" s="48" t="s">
        <v>254</v>
      </c>
      <c r="G105" s="47" t="s">
        <v>255</v>
      </c>
      <c r="H105" s="47" t="s">
        <v>44</v>
      </c>
      <c r="I105" s="47" t="s">
        <v>61</v>
      </c>
      <c r="J105" s="48" t="s">
        <v>229</v>
      </c>
      <c r="K105" s="51" t="s">
        <v>130</v>
      </c>
      <c r="L105" s="51" t="s">
        <v>256</v>
      </c>
      <c r="M105" s="46" t="s">
        <v>29</v>
      </c>
      <c r="N105" s="48" t="s">
        <v>162</v>
      </c>
      <c r="O105" s="46" t="s">
        <v>31</v>
      </c>
      <c r="P105" s="13">
        <v>25.86</v>
      </c>
      <c r="Q105" s="36">
        <f t="shared" si="19"/>
        <v>0.14145398298530543</v>
      </c>
      <c r="R105" s="37">
        <f t="shared" si="20"/>
        <v>22.202000000000002</v>
      </c>
      <c r="S105" s="42">
        <v>0.15</v>
      </c>
      <c r="T105" s="43">
        <v>26.12</v>
      </c>
      <c r="U105" s="37">
        <f t="shared" si="21"/>
        <v>3.6579999999999977</v>
      </c>
      <c r="V105" s="38" t="str">
        <f t="shared" si="22"/>
        <v>1005820100064571361571</v>
      </c>
      <c r="W105" s="39">
        <v>44531</v>
      </c>
      <c r="X105" s="40"/>
      <c r="Y105" s="44">
        <v>220.5</v>
      </c>
      <c r="Z105" s="45">
        <f t="shared" si="23"/>
        <v>806.58899999999949</v>
      </c>
      <c r="AA105" s="62">
        <f>(150+90+36+150+90+150+90+36+90)/4</f>
        <v>220.5</v>
      </c>
      <c r="AB105" s="63">
        <f t="shared" si="17"/>
        <v>806.58899999999949</v>
      </c>
      <c r="AC105" s="62" t="s">
        <v>319</v>
      </c>
      <c r="AD105" s="62">
        <f t="shared" si="18"/>
        <v>0</v>
      </c>
      <c r="AE105" s="6"/>
    </row>
    <row r="106" spans="1:31" s="12" customFormat="1" x14ac:dyDescent="0.2">
      <c r="A106" s="41"/>
      <c r="B106" s="46" t="s">
        <v>27</v>
      </c>
      <c r="C106" s="46" t="s">
        <v>60</v>
      </c>
      <c r="D106" s="46" t="s">
        <v>69</v>
      </c>
      <c r="E106" s="48" t="s">
        <v>254</v>
      </c>
      <c r="F106" s="48" t="s">
        <v>254</v>
      </c>
      <c r="G106" s="47" t="s">
        <v>255</v>
      </c>
      <c r="H106" s="47" t="s">
        <v>44</v>
      </c>
      <c r="I106" s="47" t="s">
        <v>61</v>
      </c>
      <c r="J106" s="48" t="s">
        <v>229</v>
      </c>
      <c r="K106" s="51" t="s">
        <v>130</v>
      </c>
      <c r="L106" s="51" t="s">
        <v>256</v>
      </c>
      <c r="M106" s="46" t="s">
        <v>34</v>
      </c>
      <c r="N106" s="48" t="s">
        <v>167</v>
      </c>
      <c r="O106" s="46" t="s">
        <v>36</v>
      </c>
      <c r="P106" s="13">
        <v>26.44</v>
      </c>
      <c r="Q106" s="36">
        <f t="shared" si="19"/>
        <v>0.24130105900151277</v>
      </c>
      <c r="R106" s="37">
        <f t="shared" si="20"/>
        <v>20.060000000000002</v>
      </c>
      <c r="S106" s="42">
        <v>0.15</v>
      </c>
      <c r="T106" s="43">
        <v>23.600000000000005</v>
      </c>
      <c r="U106" s="37">
        <f t="shared" si="21"/>
        <v>6.379999999999999</v>
      </c>
      <c r="V106" s="38" t="str">
        <f t="shared" si="22"/>
        <v>1005820100064571361532</v>
      </c>
      <c r="W106" s="39">
        <v>44531</v>
      </c>
      <c r="X106" s="40"/>
      <c r="Y106" s="44">
        <v>242</v>
      </c>
      <c r="Z106" s="45">
        <f t="shared" si="23"/>
        <v>1543.9599999999998</v>
      </c>
      <c r="AA106" s="62">
        <f>(50+50+42+50+50+50+50+42+50+50)/2</f>
        <v>242</v>
      </c>
      <c r="AB106" s="63">
        <f t="shared" si="17"/>
        <v>1543.9599999999998</v>
      </c>
      <c r="AC106" s="62" t="s">
        <v>319</v>
      </c>
      <c r="AD106" s="62">
        <f t="shared" si="18"/>
        <v>0</v>
      </c>
      <c r="AE106" s="6"/>
    </row>
    <row r="107" spans="1:31" s="12" customFormat="1" x14ac:dyDescent="0.2">
      <c r="A107" s="41"/>
      <c r="B107" s="46" t="s">
        <v>27</v>
      </c>
      <c r="C107" s="46" t="s">
        <v>60</v>
      </c>
      <c r="D107" s="46" t="s">
        <v>69</v>
      </c>
      <c r="E107" s="48" t="s">
        <v>254</v>
      </c>
      <c r="F107" s="48" t="s">
        <v>254</v>
      </c>
      <c r="G107" s="47" t="s">
        <v>255</v>
      </c>
      <c r="H107" s="47" t="s">
        <v>44</v>
      </c>
      <c r="I107" s="47" t="s">
        <v>61</v>
      </c>
      <c r="J107" s="48" t="s">
        <v>229</v>
      </c>
      <c r="K107" s="51" t="s">
        <v>130</v>
      </c>
      <c r="L107" s="51" t="s">
        <v>256</v>
      </c>
      <c r="M107" s="46" t="s">
        <v>34</v>
      </c>
      <c r="N107" s="48" t="s">
        <v>173</v>
      </c>
      <c r="O107" s="46" t="s">
        <v>47</v>
      </c>
      <c r="P107" s="13">
        <v>41.42</v>
      </c>
      <c r="Q107" s="36">
        <f t="shared" si="19"/>
        <v>0.51569290197971984</v>
      </c>
      <c r="R107" s="37">
        <f t="shared" si="20"/>
        <v>20.060000000000002</v>
      </c>
      <c r="S107" s="42">
        <v>0.15</v>
      </c>
      <c r="T107" s="43">
        <v>23.600000000000005</v>
      </c>
      <c r="U107" s="37">
        <f t="shared" si="21"/>
        <v>21.36</v>
      </c>
      <c r="V107" s="38" t="str">
        <f t="shared" si="22"/>
        <v>1005820100064571361535</v>
      </c>
      <c r="W107" s="39">
        <v>44531</v>
      </c>
      <c r="X107" s="40"/>
      <c r="Y107" s="44"/>
      <c r="Z107" s="45">
        <f t="shared" si="23"/>
        <v>0</v>
      </c>
      <c r="AA107" s="62"/>
      <c r="AB107" s="63">
        <f t="shared" si="17"/>
        <v>0</v>
      </c>
      <c r="AC107" s="62"/>
      <c r="AD107" s="62">
        <f t="shared" si="18"/>
        <v>0</v>
      </c>
      <c r="AE107" s="6"/>
    </row>
    <row r="108" spans="1:31" s="12" customFormat="1" x14ac:dyDescent="0.2">
      <c r="A108" s="41"/>
      <c r="B108" s="46" t="s">
        <v>27</v>
      </c>
      <c r="C108" s="46" t="s">
        <v>60</v>
      </c>
      <c r="D108" s="46" t="s">
        <v>69</v>
      </c>
      <c r="E108" s="48" t="s">
        <v>254</v>
      </c>
      <c r="F108" s="48" t="s">
        <v>254</v>
      </c>
      <c r="G108" s="47" t="s">
        <v>251</v>
      </c>
      <c r="H108" s="47" t="s">
        <v>58</v>
      </c>
      <c r="I108" s="47" t="s">
        <v>65</v>
      </c>
      <c r="J108" s="48" t="s">
        <v>230</v>
      </c>
      <c r="K108" s="51" t="s">
        <v>131</v>
      </c>
      <c r="L108" s="51" t="s">
        <v>256</v>
      </c>
      <c r="M108" s="46" t="s">
        <v>29</v>
      </c>
      <c r="N108" s="48" t="s">
        <v>165</v>
      </c>
      <c r="O108" s="46" t="s">
        <v>33</v>
      </c>
      <c r="P108" s="13">
        <v>50.39</v>
      </c>
      <c r="Q108" s="36">
        <f t="shared" si="19"/>
        <v>0.22405239134748955</v>
      </c>
      <c r="R108" s="37">
        <f t="shared" si="20"/>
        <v>39.1</v>
      </c>
      <c r="S108" s="42">
        <v>0.15</v>
      </c>
      <c r="T108" s="43">
        <v>46</v>
      </c>
      <c r="U108" s="37">
        <f t="shared" si="21"/>
        <v>11.29</v>
      </c>
      <c r="V108" s="38" t="str">
        <f t="shared" si="22"/>
        <v>1005820302891452361540</v>
      </c>
      <c r="W108" s="39">
        <v>44531</v>
      </c>
      <c r="X108" s="40">
        <v>70</v>
      </c>
      <c r="Y108" s="44">
        <v>65</v>
      </c>
      <c r="Z108" s="45">
        <f t="shared" si="23"/>
        <v>733.84999999999991</v>
      </c>
      <c r="AA108" s="62">
        <f>260/4</f>
        <v>65</v>
      </c>
      <c r="AB108" s="63">
        <f t="shared" si="17"/>
        <v>733.84999999999991</v>
      </c>
      <c r="AC108" s="62" t="s">
        <v>319</v>
      </c>
      <c r="AD108" s="62">
        <f t="shared" si="18"/>
        <v>0</v>
      </c>
      <c r="AE108" s="6"/>
    </row>
    <row r="109" spans="1:31" s="12" customFormat="1" x14ac:dyDescent="0.2">
      <c r="A109" s="41"/>
      <c r="B109" s="46" t="s">
        <v>27</v>
      </c>
      <c r="C109" s="46" t="s">
        <v>60</v>
      </c>
      <c r="D109" s="46" t="s">
        <v>69</v>
      </c>
      <c r="E109" s="48" t="s">
        <v>254</v>
      </c>
      <c r="F109" s="48" t="s">
        <v>254</v>
      </c>
      <c r="G109" s="47" t="s">
        <v>251</v>
      </c>
      <c r="H109" s="47" t="s">
        <v>58</v>
      </c>
      <c r="I109" s="47" t="s">
        <v>65</v>
      </c>
      <c r="J109" s="48" t="s">
        <v>230</v>
      </c>
      <c r="K109" s="51" t="s">
        <v>131</v>
      </c>
      <c r="L109" s="51" t="s">
        <v>256</v>
      </c>
      <c r="M109" s="46" t="s">
        <v>34</v>
      </c>
      <c r="N109" s="48" t="s">
        <v>167</v>
      </c>
      <c r="O109" s="46" t="s">
        <v>36</v>
      </c>
      <c r="P109" s="13">
        <v>26.44</v>
      </c>
      <c r="Q109" s="36">
        <f t="shared" si="19"/>
        <v>0.33292360060514381</v>
      </c>
      <c r="R109" s="37">
        <f t="shared" si="20"/>
        <v>17.637499999999999</v>
      </c>
      <c r="S109" s="42">
        <v>0.15</v>
      </c>
      <c r="T109" s="43">
        <v>20.75</v>
      </c>
      <c r="U109" s="37">
        <f t="shared" si="21"/>
        <v>8.802500000000002</v>
      </c>
      <c r="V109" s="38" t="str">
        <f t="shared" si="22"/>
        <v>1005820302891452361532</v>
      </c>
      <c r="W109" s="39">
        <v>44531</v>
      </c>
      <c r="X109" s="40">
        <v>150</v>
      </c>
      <c r="Y109" s="44">
        <v>190</v>
      </c>
      <c r="Z109" s="45">
        <f t="shared" si="23"/>
        <v>1672.4750000000004</v>
      </c>
      <c r="AA109" s="62">
        <f>380/2</f>
        <v>190</v>
      </c>
      <c r="AB109" s="63">
        <f t="shared" si="17"/>
        <v>1672.4750000000004</v>
      </c>
      <c r="AC109" s="62" t="s">
        <v>319</v>
      </c>
      <c r="AD109" s="62">
        <f t="shared" si="18"/>
        <v>0</v>
      </c>
      <c r="AE109" s="6"/>
    </row>
    <row r="110" spans="1:31" s="12" customFormat="1" x14ac:dyDescent="0.2">
      <c r="A110" s="41"/>
      <c r="B110" s="46" t="s">
        <v>27</v>
      </c>
      <c r="C110" s="46" t="s">
        <v>60</v>
      </c>
      <c r="D110" s="46" t="s">
        <v>69</v>
      </c>
      <c r="E110" s="48" t="s">
        <v>254</v>
      </c>
      <c r="F110" s="48" t="s">
        <v>254</v>
      </c>
      <c r="G110" s="47" t="s">
        <v>251</v>
      </c>
      <c r="H110" s="47" t="s">
        <v>58</v>
      </c>
      <c r="I110" s="47" t="s">
        <v>65</v>
      </c>
      <c r="J110" s="48" t="s">
        <v>230</v>
      </c>
      <c r="K110" s="51" t="s">
        <v>131</v>
      </c>
      <c r="L110" s="51" t="s">
        <v>256</v>
      </c>
      <c r="M110" s="46" t="s">
        <v>34</v>
      </c>
      <c r="N110" s="48" t="s">
        <v>173</v>
      </c>
      <c r="O110" s="46" t="s">
        <v>47</v>
      </c>
      <c r="P110" s="13">
        <v>41.42</v>
      </c>
      <c r="Q110" s="36">
        <f t="shared" si="19"/>
        <v>0.57417914051182994</v>
      </c>
      <c r="R110" s="37">
        <f t="shared" si="20"/>
        <v>17.637500000000003</v>
      </c>
      <c r="S110" s="42">
        <v>0.15</v>
      </c>
      <c r="T110" s="43">
        <v>20.750000000000004</v>
      </c>
      <c r="U110" s="37">
        <f t="shared" si="21"/>
        <v>23.782499999999999</v>
      </c>
      <c r="V110" s="38" t="str">
        <f t="shared" si="22"/>
        <v>1005820302891452361535</v>
      </c>
      <c r="W110" s="39">
        <v>44531</v>
      </c>
      <c r="X110" s="40">
        <v>30</v>
      </c>
      <c r="Y110" s="44"/>
      <c r="Z110" s="45">
        <f t="shared" si="23"/>
        <v>0</v>
      </c>
      <c r="AA110" s="62"/>
      <c r="AB110" s="63">
        <f t="shared" si="17"/>
        <v>0</v>
      </c>
      <c r="AC110" s="62"/>
      <c r="AD110" s="62">
        <f t="shared" si="18"/>
        <v>0</v>
      </c>
      <c r="AE110" s="6"/>
    </row>
    <row r="111" spans="1:31" s="12" customFormat="1" x14ac:dyDescent="0.2">
      <c r="A111" s="41"/>
      <c r="B111" s="46" t="s">
        <v>27</v>
      </c>
      <c r="C111" s="46" t="s">
        <v>60</v>
      </c>
      <c r="D111" s="46" t="s">
        <v>69</v>
      </c>
      <c r="E111" s="48" t="s">
        <v>254</v>
      </c>
      <c r="F111" s="48" t="s">
        <v>254</v>
      </c>
      <c r="G111" s="47" t="s">
        <v>251</v>
      </c>
      <c r="H111" s="47" t="s">
        <v>58</v>
      </c>
      <c r="I111" s="47" t="s">
        <v>65</v>
      </c>
      <c r="J111" s="48" t="s">
        <v>230</v>
      </c>
      <c r="K111" s="51" t="s">
        <v>131</v>
      </c>
      <c r="L111" s="51" t="s">
        <v>256</v>
      </c>
      <c r="M111" s="46" t="s">
        <v>29</v>
      </c>
      <c r="N111" s="48" t="s">
        <v>162</v>
      </c>
      <c r="O111" s="46" t="s">
        <v>31</v>
      </c>
      <c r="P111" s="13">
        <v>25.86</v>
      </c>
      <c r="Q111" s="36">
        <f t="shared" si="19"/>
        <v>0.10595514307811305</v>
      </c>
      <c r="R111" s="37">
        <f t="shared" si="20"/>
        <v>23.119999999999997</v>
      </c>
      <c r="S111" s="42">
        <v>0.15</v>
      </c>
      <c r="T111" s="43">
        <v>27.2</v>
      </c>
      <c r="U111" s="37">
        <f t="shared" si="21"/>
        <v>2.740000000000002</v>
      </c>
      <c r="V111" s="38" t="str">
        <f t="shared" si="22"/>
        <v>1005820302891452361571</v>
      </c>
      <c r="W111" s="39">
        <v>44531</v>
      </c>
      <c r="X111" s="40">
        <v>70</v>
      </c>
      <c r="Y111" s="44"/>
      <c r="Z111" s="45">
        <f t="shared" si="23"/>
        <v>0</v>
      </c>
      <c r="AA111" s="62"/>
      <c r="AB111" s="63">
        <f t="shared" si="17"/>
        <v>0</v>
      </c>
      <c r="AC111" s="62"/>
      <c r="AD111" s="62">
        <f t="shared" si="18"/>
        <v>0</v>
      </c>
      <c r="AE111" s="6"/>
    </row>
    <row r="112" spans="1:31" s="12" customFormat="1" x14ac:dyDescent="0.2">
      <c r="A112" s="41"/>
      <c r="B112" s="46" t="s">
        <v>27</v>
      </c>
      <c r="C112" s="46" t="s">
        <v>60</v>
      </c>
      <c r="D112" s="46" t="s">
        <v>69</v>
      </c>
      <c r="E112" s="48" t="s">
        <v>254</v>
      </c>
      <c r="F112" s="48" t="s">
        <v>254</v>
      </c>
      <c r="G112" s="47" t="s">
        <v>257</v>
      </c>
      <c r="H112" s="47" t="s">
        <v>44</v>
      </c>
      <c r="I112" s="47" t="s">
        <v>45</v>
      </c>
      <c r="J112" s="48" t="s">
        <v>231</v>
      </c>
      <c r="K112" s="51" t="s">
        <v>132</v>
      </c>
      <c r="L112" s="51" t="s">
        <v>256</v>
      </c>
      <c r="M112" s="46" t="s">
        <v>29</v>
      </c>
      <c r="N112" s="48" t="s">
        <v>183</v>
      </c>
      <c r="O112" s="46" t="s">
        <v>62</v>
      </c>
      <c r="P112" s="13">
        <v>54.46</v>
      </c>
      <c r="Q112" s="36">
        <f t="shared" si="19"/>
        <v>0</v>
      </c>
      <c r="R112" s="37">
        <f t="shared" si="20"/>
        <v>64.599999999999994</v>
      </c>
      <c r="S112" s="42">
        <v>0.15</v>
      </c>
      <c r="T112" s="43">
        <v>76</v>
      </c>
      <c r="U112" s="37">
        <f t="shared" si="21"/>
        <v>0</v>
      </c>
      <c r="V112" s="38" t="str">
        <f t="shared" si="22"/>
        <v>1005820202961518361421</v>
      </c>
      <c r="W112" s="39">
        <v>44531</v>
      </c>
      <c r="X112" s="40"/>
      <c r="Y112" s="44"/>
      <c r="Z112" s="45">
        <f t="shared" si="23"/>
        <v>0</v>
      </c>
      <c r="AA112" s="62"/>
      <c r="AB112" s="63">
        <f t="shared" si="17"/>
        <v>0</v>
      </c>
      <c r="AC112" s="62"/>
      <c r="AD112" s="62">
        <f t="shared" si="18"/>
        <v>0</v>
      </c>
      <c r="AE112" s="6"/>
    </row>
    <row r="113" spans="1:31" s="12" customFormat="1" x14ac:dyDescent="0.2">
      <c r="A113" s="41"/>
      <c r="B113" s="46" t="s">
        <v>27</v>
      </c>
      <c r="C113" s="46" t="s">
        <v>60</v>
      </c>
      <c r="D113" s="46" t="s">
        <v>69</v>
      </c>
      <c r="E113" s="48" t="s">
        <v>254</v>
      </c>
      <c r="F113" s="48" t="s">
        <v>254</v>
      </c>
      <c r="G113" s="47" t="s">
        <v>257</v>
      </c>
      <c r="H113" s="47" t="s">
        <v>44</v>
      </c>
      <c r="I113" s="47" t="s">
        <v>45</v>
      </c>
      <c r="J113" s="48" t="s">
        <v>231</v>
      </c>
      <c r="K113" s="51" t="s">
        <v>132</v>
      </c>
      <c r="L113" s="51" t="s">
        <v>256</v>
      </c>
      <c r="M113" s="46" t="s">
        <v>29</v>
      </c>
      <c r="N113" s="48" t="s">
        <v>165</v>
      </c>
      <c r="O113" s="46" t="s">
        <v>33</v>
      </c>
      <c r="P113" s="13">
        <v>50.39</v>
      </c>
      <c r="Q113" s="36">
        <f t="shared" si="19"/>
        <v>0.16197658265528869</v>
      </c>
      <c r="R113" s="37">
        <f t="shared" si="20"/>
        <v>42.228000000000002</v>
      </c>
      <c r="S113" s="42">
        <v>0.15</v>
      </c>
      <c r="T113" s="43">
        <v>49.68</v>
      </c>
      <c r="U113" s="37">
        <f t="shared" si="21"/>
        <v>8.161999999999999</v>
      </c>
      <c r="V113" s="38" t="str">
        <f t="shared" si="22"/>
        <v>1005820202961518361540</v>
      </c>
      <c r="W113" s="39">
        <v>44531</v>
      </c>
      <c r="X113" s="40"/>
      <c r="Y113" s="44"/>
      <c r="Z113" s="45">
        <f t="shared" si="23"/>
        <v>0</v>
      </c>
      <c r="AA113" s="62"/>
      <c r="AB113" s="63">
        <f t="shared" si="17"/>
        <v>0</v>
      </c>
      <c r="AC113" s="62"/>
      <c r="AD113" s="62">
        <f t="shared" si="18"/>
        <v>0</v>
      </c>
      <c r="AE113" s="6"/>
    </row>
    <row r="114" spans="1:31" s="12" customFormat="1" x14ac:dyDescent="0.2">
      <c r="A114" s="41"/>
      <c r="B114" s="46" t="s">
        <v>27</v>
      </c>
      <c r="C114" s="46" t="s">
        <v>60</v>
      </c>
      <c r="D114" s="46" t="s">
        <v>69</v>
      </c>
      <c r="E114" s="48" t="s">
        <v>254</v>
      </c>
      <c r="F114" s="48" t="s">
        <v>254</v>
      </c>
      <c r="G114" s="47" t="s">
        <v>257</v>
      </c>
      <c r="H114" s="47" t="s">
        <v>44</v>
      </c>
      <c r="I114" s="47" t="s">
        <v>45</v>
      </c>
      <c r="J114" s="48" t="s">
        <v>231</v>
      </c>
      <c r="K114" s="51" t="s">
        <v>132</v>
      </c>
      <c r="L114" s="51" t="s">
        <v>256</v>
      </c>
      <c r="M114" s="46" t="s">
        <v>38</v>
      </c>
      <c r="N114" s="48" t="s">
        <v>170</v>
      </c>
      <c r="O114" s="46" t="s">
        <v>40</v>
      </c>
      <c r="P114" s="13">
        <v>58.09</v>
      </c>
      <c r="Q114" s="36">
        <f t="shared" si="19"/>
        <v>0.22719917369598897</v>
      </c>
      <c r="R114" s="37">
        <f t="shared" si="20"/>
        <v>44.892000000000003</v>
      </c>
      <c r="S114" s="42">
        <v>0.13</v>
      </c>
      <c r="T114" s="43">
        <v>51.6</v>
      </c>
      <c r="U114" s="37">
        <f t="shared" si="21"/>
        <v>13.198</v>
      </c>
      <c r="V114" s="38" t="str">
        <f t="shared" si="22"/>
        <v>1005820202961518361424</v>
      </c>
      <c r="W114" s="39">
        <v>44531</v>
      </c>
      <c r="X114" s="40"/>
      <c r="Y114" s="44">
        <v>20</v>
      </c>
      <c r="Z114" s="45">
        <f t="shared" si="23"/>
        <v>263.96000000000004</v>
      </c>
      <c r="AA114" s="62">
        <f>10+6+4</f>
        <v>20</v>
      </c>
      <c r="AB114" s="63">
        <f t="shared" si="17"/>
        <v>263.96000000000004</v>
      </c>
      <c r="AC114" s="62" t="s">
        <v>319</v>
      </c>
      <c r="AD114" s="62">
        <f t="shared" si="18"/>
        <v>0</v>
      </c>
      <c r="AE114" s="6"/>
    </row>
    <row r="115" spans="1:31" s="12" customFormat="1" x14ac:dyDescent="0.2">
      <c r="A115" s="41"/>
      <c r="B115" s="46" t="s">
        <v>27</v>
      </c>
      <c r="C115" s="46" t="s">
        <v>60</v>
      </c>
      <c r="D115" s="46" t="s">
        <v>69</v>
      </c>
      <c r="E115" s="48" t="s">
        <v>254</v>
      </c>
      <c r="F115" s="48" t="s">
        <v>254</v>
      </c>
      <c r="G115" s="47" t="s">
        <v>253</v>
      </c>
      <c r="H115" s="47" t="s">
        <v>44</v>
      </c>
      <c r="I115" s="47" t="s">
        <v>59</v>
      </c>
      <c r="J115" s="48" t="s">
        <v>232</v>
      </c>
      <c r="K115" s="51" t="s">
        <v>133</v>
      </c>
      <c r="L115" s="51" t="s">
        <v>256</v>
      </c>
      <c r="M115" s="46" t="s">
        <v>29</v>
      </c>
      <c r="N115" s="48" t="s">
        <v>179</v>
      </c>
      <c r="O115" s="46" t="s">
        <v>54</v>
      </c>
      <c r="P115" s="13">
        <v>39.619999999999997</v>
      </c>
      <c r="Q115" s="36">
        <f t="shared" si="19"/>
        <v>0.21736496718828879</v>
      </c>
      <c r="R115" s="37">
        <f t="shared" si="20"/>
        <v>31.007999999999996</v>
      </c>
      <c r="S115" s="42">
        <v>0.15</v>
      </c>
      <c r="T115" s="43">
        <v>36.479999999999997</v>
      </c>
      <c r="U115" s="37">
        <f t="shared" si="21"/>
        <v>8.6120000000000019</v>
      </c>
      <c r="V115" s="38" t="str">
        <f t="shared" si="22"/>
        <v>1005820100032709360374</v>
      </c>
      <c r="W115" s="39">
        <v>44531</v>
      </c>
      <c r="X115" s="40"/>
      <c r="Y115" s="44"/>
      <c r="Z115" s="45">
        <f t="shared" si="23"/>
        <v>0</v>
      </c>
      <c r="AA115" s="62"/>
      <c r="AB115" s="63">
        <f t="shared" si="17"/>
        <v>0</v>
      </c>
      <c r="AC115" s="62"/>
      <c r="AD115" s="62">
        <f t="shared" si="18"/>
        <v>0</v>
      </c>
      <c r="AE115" s="6"/>
    </row>
    <row r="116" spans="1:31" s="12" customFormat="1" x14ac:dyDescent="0.2">
      <c r="A116" s="41"/>
      <c r="B116" s="46" t="s">
        <v>27</v>
      </c>
      <c r="C116" s="46" t="s">
        <v>60</v>
      </c>
      <c r="D116" s="46" t="s">
        <v>69</v>
      </c>
      <c r="E116" s="48" t="s">
        <v>254</v>
      </c>
      <c r="F116" s="48" t="s">
        <v>254</v>
      </c>
      <c r="G116" s="47" t="s">
        <v>253</v>
      </c>
      <c r="H116" s="47" t="s">
        <v>44</v>
      </c>
      <c r="I116" s="47" t="s">
        <v>59</v>
      </c>
      <c r="J116" s="48" t="s">
        <v>232</v>
      </c>
      <c r="K116" s="51" t="s">
        <v>133</v>
      </c>
      <c r="L116" s="51" t="s">
        <v>256</v>
      </c>
      <c r="M116" s="46" t="s">
        <v>34</v>
      </c>
      <c r="N116" s="48" t="s">
        <v>166</v>
      </c>
      <c r="O116" s="46" t="s">
        <v>35</v>
      </c>
      <c r="P116" s="13">
        <v>112.81</v>
      </c>
      <c r="Q116" s="36">
        <f t="shared" si="19"/>
        <v>0.17539225245988832</v>
      </c>
      <c r="R116" s="37">
        <f t="shared" si="20"/>
        <v>93.024000000000001</v>
      </c>
      <c r="S116" s="42">
        <v>0.15</v>
      </c>
      <c r="T116" s="43">
        <v>109.44</v>
      </c>
      <c r="U116" s="37">
        <f t="shared" si="21"/>
        <v>19.786000000000001</v>
      </c>
      <c r="V116" s="38" t="str">
        <f t="shared" si="22"/>
        <v>1005820100032709361531</v>
      </c>
      <c r="W116" s="39">
        <v>44531</v>
      </c>
      <c r="X116" s="40"/>
      <c r="Y116" s="44"/>
      <c r="Z116" s="45">
        <f t="shared" si="23"/>
        <v>0</v>
      </c>
      <c r="AA116" s="62"/>
      <c r="AB116" s="63">
        <f t="shared" si="17"/>
        <v>0</v>
      </c>
      <c r="AC116" s="62"/>
      <c r="AD116" s="62">
        <f t="shared" si="18"/>
        <v>0</v>
      </c>
      <c r="AE116" s="6"/>
    </row>
    <row r="117" spans="1:31" s="12" customFormat="1" x14ac:dyDescent="0.2">
      <c r="A117" s="41"/>
      <c r="B117" s="46" t="s">
        <v>27</v>
      </c>
      <c r="C117" s="46" t="s">
        <v>60</v>
      </c>
      <c r="D117" s="46" t="s">
        <v>69</v>
      </c>
      <c r="E117" s="48" t="s">
        <v>254</v>
      </c>
      <c r="F117" s="48" t="s">
        <v>254</v>
      </c>
      <c r="G117" s="47" t="s">
        <v>253</v>
      </c>
      <c r="H117" s="47" t="s">
        <v>44</v>
      </c>
      <c r="I117" s="47" t="s">
        <v>59</v>
      </c>
      <c r="J117" s="48" t="s">
        <v>232</v>
      </c>
      <c r="K117" s="51" t="s">
        <v>133</v>
      </c>
      <c r="L117" s="51" t="s">
        <v>256</v>
      </c>
      <c r="M117" s="46" t="s">
        <v>34</v>
      </c>
      <c r="N117" s="48" t="s">
        <v>178</v>
      </c>
      <c r="O117" s="46" t="s">
        <v>53</v>
      </c>
      <c r="P117" s="13">
        <v>70.59</v>
      </c>
      <c r="Q117" s="36">
        <f t="shared" si="19"/>
        <v>0.32929593426831005</v>
      </c>
      <c r="R117" s="37">
        <f t="shared" si="20"/>
        <v>47.344999999999999</v>
      </c>
      <c r="S117" s="42">
        <v>0.15</v>
      </c>
      <c r="T117" s="43">
        <v>55.7</v>
      </c>
      <c r="U117" s="37">
        <f t="shared" si="21"/>
        <v>23.245000000000005</v>
      </c>
      <c r="V117" s="38" t="str">
        <f t="shared" si="22"/>
        <v>1005820100032709361533</v>
      </c>
      <c r="W117" s="39">
        <v>44531</v>
      </c>
      <c r="X117" s="40"/>
      <c r="Y117" s="44"/>
      <c r="Z117" s="45">
        <f t="shared" si="23"/>
        <v>0</v>
      </c>
      <c r="AA117" s="62"/>
      <c r="AB117" s="63">
        <f t="shared" si="17"/>
        <v>0</v>
      </c>
      <c r="AC117" s="62"/>
      <c r="AD117" s="62">
        <f t="shared" si="18"/>
        <v>0</v>
      </c>
      <c r="AE117" s="6"/>
    </row>
    <row r="118" spans="1:31" s="12" customFormat="1" x14ac:dyDescent="0.2">
      <c r="A118" s="41"/>
      <c r="B118" s="46" t="s">
        <v>27</v>
      </c>
      <c r="C118" s="46" t="s">
        <v>60</v>
      </c>
      <c r="D118" s="46" t="s">
        <v>69</v>
      </c>
      <c r="E118" s="48" t="s">
        <v>254</v>
      </c>
      <c r="F118" s="48" t="s">
        <v>254</v>
      </c>
      <c r="G118" s="47" t="s">
        <v>257</v>
      </c>
      <c r="H118" s="47" t="s">
        <v>44</v>
      </c>
      <c r="I118" s="47" t="s">
        <v>45</v>
      </c>
      <c r="J118" s="48" t="s">
        <v>233</v>
      </c>
      <c r="K118" s="51" t="s">
        <v>134</v>
      </c>
      <c r="L118" s="51" t="s">
        <v>256</v>
      </c>
      <c r="M118" s="46" t="s">
        <v>28</v>
      </c>
      <c r="N118" s="48" t="s">
        <v>267</v>
      </c>
      <c r="O118" s="46" t="s">
        <v>266</v>
      </c>
      <c r="P118" s="13">
        <v>54.03</v>
      </c>
      <c r="Q118" s="36">
        <f t="shared" si="19"/>
        <v>0.34495994037637423</v>
      </c>
      <c r="R118" s="37">
        <f t="shared" si="20"/>
        <v>35.391814421464503</v>
      </c>
      <c r="S118" s="42">
        <v>0.15</v>
      </c>
      <c r="T118" s="43">
        <v>41.637428731134712</v>
      </c>
      <c r="U118" s="37">
        <f t="shared" si="21"/>
        <v>18.638185578535499</v>
      </c>
      <c r="V118" s="38" t="str">
        <f t="shared" si="22"/>
        <v>1005820601657172361311</v>
      </c>
      <c r="W118" s="39">
        <v>44531</v>
      </c>
      <c r="X118" s="40"/>
      <c r="Y118" s="44">
        <v>210</v>
      </c>
      <c r="Z118" s="45">
        <f t="shared" si="23"/>
        <v>3914.0189714924545</v>
      </c>
      <c r="AA118" s="62">
        <f>10+40+160</f>
        <v>210</v>
      </c>
      <c r="AB118" s="63">
        <f t="shared" si="17"/>
        <v>3914.0189714924545</v>
      </c>
      <c r="AC118" s="62" t="s">
        <v>319</v>
      </c>
      <c r="AD118" s="62">
        <f t="shared" si="18"/>
        <v>0</v>
      </c>
      <c r="AE118" s="6"/>
    </row>
    <row r="119" spans="1:31" s="12" customFormat="1" x14ac:dyDescent="0.2">
      <c r="A119" s="41"/>
      <c r="B119" s="46" t="s">
        <v>27</v>
      </c>
      <c r="C119" s="46" t="s">
        <v>60</v>
      </c>
      <c r="D119" s="46" t="s">
        <v>69</v>
      </c>
      <c r="E119" s="48" t="s">
        <v>254</v>
      </c>
      <c r="F119" s="48" t="s">
        <v>254</v>
      </c>
      <c r="G119" s="47" t="s">
        <v>257</v>
      </c>
      <c r="H119" s="47" t="s">
        <v>44</v>
      </c>
      <c r="I119" s="47" t="s">
        <v>45</v>
      </c>
      <c r="J119" s="48" t="s">
        <v>233</v>
      </c>
      <c r="K119" s="51" t="s">
        <v>134</v>
      </c>
      <c r="L119" s="51" t="s">
        <v>256</v>
      </c>
      <c r="M119" s="46" t="s">
        <v>29</v>
      </c>
      <c r="N119" s="49" t="s">
        <v>172</v>
      </c>
      <c r="O119" s="50" t="s">
        <v>46</v>
      </c>
      <c r="P119" s="13">
        <v>11.89</v>
      </c>
      <c r="Q119" s="36">
        <f t="shared" si="19"/>
        <v>0.25173460537727665</v>
      </c>
      <c r="R119" s="37">
        <f t="shared" si="20"/>
        <v>8.8968755420641816</v>
      </c>
      <c r="S119" s="42">
        <v>0.15</v>
      </c>
      <c r="T119" s="43">
        <v>10.466912402428449</v>
      </c>
      <c r="U119" s="37">
        <f t="shared" si="21"/>
        <v>2.9931244579358189</v>
      </c>
      <c r="V119" s="38" t="str">
        <f t="shared" si="22"/>
        <v>1005820601657172361085</v>
      </c>
      <c r="W119" s="39">
        <v>44531</v>
      </c>
      <c r="X119" s="40"/>
      <c r="Y119" s="44"/>
      <c r="Z119" s="45">
        <f t="shared" si="23"/>
        <v>0</v>
      </c>
      <c r="AA119" s="62"/>
      <c r="AB119" s="63">
        <f t="shared" si="17"/>
        <v>0</v>
      </c>
      <c r="AC119" s="62"/>
      <c r="AD119" s="62">
        <f t="shared" si="18"/>
        <v>0</v>
      </c>
      <c r="AE119" s="6"/>
    </row>
    <row r="120" spans="1:31" s="12" customFormat="1" x14ac:dyDescent="0.2">
      <c r="A120" s="41"/>
      <c r="B120" s="46" t="s">
        <v>27</v>
      </c>
      <c r="C120" s="46" t="s">
        <v>60</v>
      </c>
      <c r="D120" s="46" t="s">
        <v>69</v>
      </c>
      <c r="E120" s="48" t="s">
        <v>254</v>
      </c>
      <c r="F120" s="48" t="s">
        <v>254</v>
      </c>
      <c r="G120" s="47" t="s">
        <v>257</v>
      </c>
      <c r="H120" s="47" t="s">
        <v>44</v>
      </c>
      <c r="I120" s="47" t="s">
        <v>45</v>
      </c>
      <c r="J120" s="48" t="s">
        <v>233</v>
      </c>
      <c r="K120" s="51" t="s">
        <v>134</v>
      </c>
      <c r="L120" s="51" t="s">
        <v>256</v>
      </c>
      <c r="M120" s="46" t="s">
        <v>29</v>
      </c>
      <c r="N120" s="48" t="s">
        <v>165</v>
      </c>
      <c r="O120" s="46" t="s">
        <v>33</v>
      </c>
      <c r="P120" s="13">
        <v>50.39</v>
      </c>
      <c r="Q120" s="36">
        <f t="shared" si="19"/>
        <v>0.26116292915260975</v>
      </c>
      <c r="R120" s="37">
        <f t="shared" si="20"/>
        <v>37.229999999999997</v>
      </c>
      <c r="S120" s="42">
        <v>0.15</v>
      </c>
      <c r="T120" s="43">
        <v>43.8</v>
      </c>
      <c r="U120" s="37">
        <f t="shared" si="21"/>
        <v>13.160000000000004</v>
      </c>
      <c r="V120" s="38" t="str">
        <f t="shared" si="22"/>
        <v>1005820601657172361540</v>
      </c>
      <c r="W120" s="39">
        <v>44531</v>
      </c>
      <c r="X120" s="40"/>
      <c r="Y120" s="44"/>
      <c r="Z120" s="45">
        <f t="shared" si="23"/>
        <v>0</v>
      </c>
      <c r="AA120" s="62"/>
      <c r="AB120" s="63">
        <f t="shared" si="17"/>
        <v>0</v>
      </c>
      <c r="AC120" s="62"/>
      <c r="AD120" s="62">
        <f t="shared" si="18"/>
        <v>0</v>
      </c>
      <c r="AE120" s="6"/>
    </row>
    <row r="121" spans="1:31" s="12" customFormat="1" x14ac:dyDescent="0.2">
      <c r="A121" s="41"/>
      <c r="B121" s="46" t="s">
        <v>27</v>
      </c>
      <c r="C121" s="46" t="s">
        <v>60</v>
      </c>
      <c r="D121" s="46" t="s">
        <v>69</v>
      </c>
      <c r="E121" s="48" t="s">
        <v>254</v>
      </c>
      <c r="F121" s="48" t="s">
        <v>254</v>
      </c>
      <c r="G121" s="47" t="s">
        <v>257</v>
      </c>
      <c r="H121" s="47" t="s">
        <v>44</v>
      </c>
      <c r="I121" s="47" t="s">
        <v>45</v>
      </c>
      <c r="J121" s="48" t="s">
        <v>233</v>
      </c>
      <c r="K121" s="51" t="s">
        <v>134</v>
      </c>
      <c r="L121" s="51" t="s">
        <v>256</v>
      </c>
      <c r="M121" s="46" t="s">
        <v>34</v>
      </c>
      <c r="N121" s="48" t="s">
        <v>166</v>
      </c>
      <c r="O121" s="46" t="s">
        <v>35</v>
      </c>
      <c r="P121" s="13">
        <v>112.81</v>
      </c>
      <c r="Q121" s="36">
        <f t="shared" si="19"/>
        <v>0.2659402744148508</v>
      </c>
      <c r="R121" s="37">
        <f t="shared" si="20"/>
        <v>82.809277643260685</v>
      </c>
      <c r="S121" s="42">
        <v>0.15</v>
      </c>
      <c r="T121" s="43">
        <v>97.422679580306692</v>
      </c>
      <c r="U121" s="37">
        <f t="shared" si="21"/>
        <v>30.000722356739317</v>
      </c>
      <c r="V121" s="38" t="str">
        <f t="shared" si="22"/>
        <v>1005820601657172361531</v>
      </c>
      <c r="W121" s="39">
        <v>44531</v>
      </c>
      <c r="X121" s="40"/>
      <c r="Y121" s="44"/>
      <c r="Z121" s="45">
        <f t="shared" si="23"/>
        <v>0</v>
      </c>
      <c r="AA121" s="62"/>
      <c r="AB121" s="63">
        <f t="shared" si="17"/>
        <v>0</v>
      </c>
      <c r="AC121" s="62"/>
      <c r="AD121" s="62">
        <f t="shared" si="18"/>
        <v>0</v>
      </c>
      <c r="AE121" s="6"/>
    </row>
    <row r="122" spans="1:31" s="12" customFormat="1" x14ac:dyDescent="0.2">
      <c r="A122" s="41"/>
      <c r="B122" s="46" t="s">
        <v>27</v>
      </c>
      <c r="C122" s="46" t="s">
        <v>60</v>
      </c>
      <c r="D122" s="46" t="s">
        <v>69</v>
      </c>
      <c r="E122" s="48" t="s">
        <v>254</v>
      </c>
      <c r="F122" s="48" t="s">
        <v>254</v>
      </c>
      <c r="G122" s="47" t="s">
        <v>257</v>
      </c>
      <c r="H122" s="47" t="s">
        <v>44</v>
      </c>
      <c r="I122" s="47" t="s">
        <v>45</v>
      </c>
      <c r="J122" s="48" t="s">
        <v>233</v>
      </c>
      <c r="K122" s="51" t="s">
        <v>134</v>
      </c>
      <c r="L122" s="51" t="s">
        <v>256</v>
      </c>
      <c r="M122" s="46" t="s">
        <v>34</v>
      </c>
      <c r="N122" s="48" t="s">
        <v>168</v>
      </c>
      <c r="O122" s="46" t="s">
        <v>37</v>
      </c>
      <c r="P122" s="13">
        <v>19.02</v>
      </c>
      <c r="Q122" s="36">
        <f t="shared" si="19"/>
        <v>8.4752891692954746E-2</v>
      </c>
      <c r="R122" s="37">
        <f t="shared" si="20"/>
        <v>17.408000000000001</v>
      </c>
      <c r="S122" s="42">
        <v>0.15</v>
      </c>
      <c r="T122" s="43">
        <v>20.48</v>
      </c>
      <c r="U122" s="37">
        <f t="shared" si="21"/>
        <v>1.6119999999999983</v>
      </c>
      <c r="V122" s="38" t="str">
        <f t="shared" si="22"/>
        <v>1005820601657172361429</v>
      </c>
      <c r="W122" s="39">
        <v>44531</v>
      </c>
      <c r="X122" s="40"/>
      <c r="Y122" s="44">
        <v>5</v>
      </c>
      <c r="Z122" s="45">
        <f t="shared" si="23"/>
        <v>8.0599999999999916</v>
      </c>
      <c r="AA122" s="62">
        <f>40/8</f>
        <v>5</v>
      </c>
      <c r="AB122" s="63">
        <f t="shared" si="17"/>
        <v>8.0599999999999916</v>
      </c>
      <c r="AC122" s="62" t="s">
        <v>319</v>
      </c>
      <c r="AD122" s="62">
        <f t="shared" si="18"/>
        <v>0</v>
      </c>
      <c r="AE122" s="6"/>
    </row>
    <row r="123" spans="1:31" s="12" customFormat="1" x14ac:dyDescent="0.2">
      <c r="A123" s="41"/>
      <c r="B123" s="46" t="s">
        <v>27</v>
      </c>
      <c r="C123" s="46" t="s">
        <v>60</v>
      </c>
      <c r="D123" s="46" t="s">
        <v>69</v>
      </c>
      <c r="E123" s="48" t="s">
        <v>254</v>
      </c>
      <c r="F123" s="48" t="s">
        <v>254</v>
      </c>
      <c r="G123" s="47" t="s">
        <v>255</v>
      </c>
      <c r="H123" s="47" t="s">
        <v>44</v>
      </c>
      <c r="I123" s="47" t="s">
        <v>135</v>
      </c>
      <c r="J123" s="48" t="s">
        <v>234</v>
      </c>
      <c r="K123" s="51" t="s">
        <v>136</v>
      </c>
      <c r="L123" s="51" t="s">
        <v>256</v>
      </c>
      <c r="M123" s="46" t="s">
        <v>29</v>
      </c>
      <c r="N123" s="48" t="s">
        <v>165</v>
      </c>
      <c r="O123" s="46" t="s">
        <v>33</v>
      </c>
      <c r="P123" s="13">
        <v>50.39</v>
      </c>
      <c r="Q123" s="36">
        <f t="shared" si="19"/>
        <v>0.22000396904147645</v>
      </c>
      <c r="R123" s="37">
        <f t="shared" si="20"/>
        <v>39.304000000000002</v>
      </c>
      <c r="S123" s="42">
        <v>0.15</v>
      </c>
      <c r="T123" s="43">
        <v>46.24</v>
      </c>
      <c r="U123" s="37">
        <f t="shared" si="21"/>
        <v>11.085999999999999</v>
      </c>
      <c r="V123" s="38" t="str">
        <f t="shared" si="22"/>
        <v>1005820302241598361540</v>
      </c>
      <c r="W123" s="39">
        <v>44531</v>
      </c>
      <c r="X123" s="40"/>
      <c r="Y123" s="44">
        <v>12.5</v>
      </c>
      <c r="Z123" s="45">
        <f t="shared" si="23"/>
        <v>138.57499999999999</v>
      </c>
      <c r="AA123" s="62">
        <f>50/4</f>
        <v>12.5</v>
      </c>
      <c r="AB123" s="63">
        <f t="shared" si="17"/>
        <v>138.57499999999999</v>
      </c>
      <c r="AC123" s="62" t="s">
        <v>319</v>
      </c>
      <c r="AD123" s="62">
        <f t="shared" si="18"/>
        <v>0</v>
      </c>
      <c r="AE123" s="6"/>
    </row>
    <row r="124" spans="1:31" s="12" customFormat="1" x14ac:dyDescent="0.2">
      <c r="A124" s="41"/>
      <c r="B124" s="46" t="s">
        <v>27</v>
      </c>
      <c r="C124" s="46" t="s">
        <v>60</v>
      </c>
      <c r="D124" s="46" t="s">
        <v>69</v>
      </c>
      <c r="E124" s="48" t="s">
        <v>254</v>
      </c>
      <c r="F124" s="48" t="s">
        <v>254</v>
      </c>
      <c r="G124" s="47" t="s">
        <v>255</v>
      </c>
      <c r="H124" s="47" t="s">
        <v>44</v>
      </c>
      <c r="I124" s="47" t="s">
        <v>135</v>
      </c>
      <c r="J124" s="48" t="s">
        <v>234</v>
      </c>
      <c r="K124" s="51" t="s">
        <v>136</v>
      </c>
      <c r="L124" s="51" t="s">
        <v>256</v>
      </c>
      <c r="M124" s="46" t="s">
        <v>34</v>
      </c>
      <c r="N124" s="48" t="s">
        <v>167</v>
      </c>
      <c r="O124" s="46" t="s">
        <v>36</v>
      </c>
      <c r="P124" s="13">
        <v>26.44</v>
      </c>
      <c r="Q124" s="36">
        <f t="shared" si="19"/>
        <v>6.7700453857791332E-2</v>
      </c>
      <c r="R124" s="37">
        <f t="shared" si="20"/>
        <v>24.65</v>
      </c>
      <c r="S124" s="42">
        <v>0.15</v>
      </c>
      <c r="T124" s="43">
        <v>29</v>
      </c>
      <c r="U124" s="37">
        <f t="shared" si="21"/>
        <v>1.7900000000000027</v>
      </c>
      <c r="V124" s="38" t="str">
        <f t="shared" si="22"/>
        <v>1005820302241598361532</v>
      </c>
      <c r="W124" s="39">
        <v>44531</v>
      </c>
      <c r="X124" s="40"/>
      <c r="Y124" s="44">
        <v>40</v>
      </c>
      <c r="Z124" s="45">
        <f t="shared" si="23"/>
        <v>71.600000000000108</v>
      </c>
      <c r="AA124" s="62">
        <f>80/2</f>
        <v>40</v>
      </c>
      <c r="AB124" s="63">
        <f t="shared" si="17"/>
        <v>71.600000000000108</v>
      </c>
      <c r="AC124" s="62" t="s">
        <v>319</v>
      </c>
      <c r="AD124" s="62">
        <f t="shared" si="18"/>
        <v>0</v>
      </c>
      <c r="AE124" s="6"/>
    </row>
    <row r="125" spans="1:31" s="12" customFormat="1" x14ac:dyDescent="0.2">
      <c r="A125" s="41"/>
      <c r="B125" s="46" t="s">
        <v>27</v>
      </c>
      <c r="C125" s="46" t="s">
        <v>60</v>
      </c>
      <c r="D125" s="46" t="s">
        <v>69</v>
      </c>
      <c r="E125" s="48" t="s">
        <v>254</v>
      </c>
      <c r="F125" s="48" t="s">
        <v>254</v>
      </c>
      <c r="G125" s="47" t="s">
        <v>255</v>
      </c>
      <c r="H125" s="47" t="s">
        <v>44</v>
      </c>
      <c r="I125" s="47" t="s">
        <v>64</v>
      </c>
      <c r="J125" s="48" t="s">
        <v>235</v>
      </c>
      <c r="K125" s="51" t="s">
        <v>137</v>
      </c>
      <c r="L125" s="51" t="s">
        <v>256</v>
      </c>
      <c r="M125" s="46" t="s">
        <v>29</v>
      </c>
      <c r="N125" s="48" t="s">
        <v>162</v>
      </c>
      <c r="O125" s="46" t="s">
        <v>31</v>
      </c>
      <c r="P125" s="13">
        <v>25.86</v>
      </c>
      <c r="Q125" s="36">
        <f t="shared" si="19"/>
        <v>0.10313367711225707</v>
      </c>
      <c r="R125" s="37">
        <f t="shared" si="20"/>
        <v>23.192963109877031</v>
      </c>
      <c r="S125" s="42">
        <v>0.15</v>
      </c>
      <c r="T125" s="43">
        <v>27.285838952796507</v>
      </c>
      <c r="U125" s="37">
        <f t="shared" si="21"/>
        <v>2.6670368901229686</v>
      </c>
      <c r="V125" s="38" t="str">
        <f t="shared" si="22"/>
        <v>1005820100095450361571</v>
      </c>
      <c r="W125" s="39">
        <v>44531</v>
      </c>
      <c r="X125" s="40"/>
      <c r="Y125" s="44"/>
      <c r="Z125" s="45">
        <f t="shared" si="23"/>
        <v>0</v>
      </c>
      <c r="AA125" s="62"/>
      <c r="AB125" s="63">
        <f t="shared" si="17"/>
        <v>0</v>
      </c>
      <c r="AC125" s="62"/>
      <c r="AD125" s="62">
        <f t="shared" si="18"/>
        <v>0</v>
      </c>
      <c r="AE125" s="6"/>
    </row>
    <row r="126" spans="1:31" s="12" customFormat="1" x14ac:dyDescent="0.2">
      <c r="A126" s="41"/>
      <c r="B126" s="46" t="s">
        <v>27</v>
      </c>
      <c r="C126" s="46" t="s">
        <v>60</v>
      </c>
      <c r="D126" s="46" t="s">
        <v>69</v>
      </c>
      <c r="E126" s="48" t="s">
        <v>254</v>
      </c>
      <c r="F126" s="48" t="s">
        <v>254</v>
      </c>
      <c r="G126" s="47" t="s">
        <v>255</v>
      </c>
      <c r="H126" s="47" t="s">
        <v>44</v>
      </c>
      <c r="I126" s="47" t="s">
        <v>64</v>
      </c>
      <c r="J126" s="48" t="s">
        <v>235</v>
      </c>
      <c r="K126" s="51" t="s">
        <v>137</v>
      </c>
      <c r="L126" s="51" t="s">
        <v>256</v>
      </c>
      <c r="M126" s="46" t="s">
        <v>34</v>
      </c>
      <c r="N126" s="48" t="s">
        <v>166</v>
      </c>
      <c r="O126" s="46" t="s">
        <v>35</v>
      </c>
      <c r="P126" s="13">
        <v>112.81</v>
      </c>
      <c r="Q126" s="36">
        <f t="shared" si="19"/>
        <v>0.30710250201775646</v>
      </c>
      <c r="R126" s="37">
        <f t="shared" si="20"/>
        <v>78.165766747376892</v>
      </c>
      <c r="S126" s="42">
        <v>0.15</v>
      </c>
      <c r="T126" s="43">
        <v>91.959725585149286</v>
      </c>
      <c r="U126" s="37">
        <f t="shared" si="21"/>
        <v>34.64423325262311</v>
      </c>
      <c r="V126" s="38" t="str">
        <f t="shared" si="22"/>
        <v>1005820100095450361531</v>
      </c>
      <c r="W126" s="39">
        <v>44531</v>
      </c>
      <c r="X126" s="40"/>
      <c r="Y126" s="44"/>
      <c r="Z126" s="45">
        <f t="shared" si="23"/>
        <v>0</v>
      </c>
      <c r="AA126" s="62"/>
      <c r="AB126" s="63">
        <f t="shared" si="17"/>
        <v>0</v>
      </c>
      <c r="AC126" s="62"/>
      <c r="AD126" s="62">
        <f t="shared" si="18"/>
        <v>0</v>
      </c>
      <c r="AE126" s="6"/>
    </row>
    <row r="127" spans="1:31" s="12" customFormat="1" x14ac:dyDescent="0.2">
      <c r="A127" s="41"/>
      <c r="B127" s="46" t="s">
        <v>27</v>
      </c>
      <c r="C127" s="46" t="s">
        <v>60</v>
      </c>
      <c r="D127" s="46" t="s">
        <v>69</v>
      </c>
      <c r="E127" s="48" t="s">
        <v>254</v>
      </c>
      <c r="F127" s="48" t="s">
        <v>254</v>
      </c>
      <c r="G127" s="47" t="s">
        <v>255</v>
      </c>
      <c r="H127" s="47" t="s">
        <v>44</v>
      </c>
      <c r="I127" s="47" t="s">
        <v>64</v>
      </c>
      <c r="J127" s="48" t="s">
        <v>235</v>
      </c>
      <c r="K127" s="51" t="s">
        <v>137</v>
      </c>
      <c r="L127" s="51" t="s">
        <v>256</v>
      </c>
      <c r="M127" s="46" t="s">
        <v>34</v>
      </c>
      <c r="N127" s="48" t="s">
        <v>167</v>
      </c>
      <c r="O127" s="46" t="s">
        <v>36</v>
      </c>
      <c r="P127" s="13">
        <v>26.44</v>
      </c>
      <c r="Q127" s="36">
        <f t="shared" si="19"/>
        <v>0.16957903097696581</v>
      </c>
      <c r="R127" s="37">
        <f t="shared" si="20"/>
        <v>21.956330420969024</v>
      </c>
      <c r="S127" s="42">
        <v>0.15</v>
      </c>
      <c r="T127" s="43">
        <v>25.830976965845913</v>
      </c>
      <c r="U127" s="37">
        <f t="shared" si="21"/>
        <v>4.4836695790309768</v>
      </c>
      <c r="V127" s="38" t="str">
        <f t="shared" si="22"/>
        <v>1005820100095450361532</v>
      </c>
      <c r="W127" s="39">
        <v>44531</v>
      </c>
      <c r="X127" s="40"/>
      <c r="Y127" s="44"/>
      <c r="Z127" s="45">
        <f t="shared" si="23"/>
        <v>0</v>
      </c>
      <c r="AA127" s="62"/>
      <c r="AB127" s="63">
        <f t="shared" si="17"/>
        <v>0</v>
      </c>
      <c r="AC127" s="62"/>
      <c r="AD127" s="62">
        <f t="shared" si="18"/>
        <v>0</v>
      </c>
      <c r="AE127" s="6"/>
    </row>
    <row r="128" spans="1:31" s="12" customFormat="1" x14ac:dyDescent="0.2">
      <c r="A128" s="41"/>
      <c r="B128" s="46" t="s">
        <v>27</v>
      </c>
      <c r="C128" s="46" t="s">
        <v>60</v>
      </c>
      <c r="D128" s="46" t="s">
        <v>69</v>
      </c>
      <c r="E128" s="48" t="s">
        <v>254</v>
      </c>
      <c r="F128" s="48" t="s">
        <v>254</v>
      </c>
      <c r="G128" s="47" t="s">
        <v>260</v>
      </c>
      <c r="H128" s="47" t="s">
        <v>44</v>
      </c>
      <c r="I128" s="47" t="s">
        <v>107</v>
      </c>
      <c r="J128" s="48" t="s">
        <v>236</v>
      </c>
      <c r="K128" s="51" t="s">
        <v>138</v>
      </c>
      <c r="L128" s="51" t="s">
        <v>256</v>
      </c>
      <c r="M128" s="46" t="s">
        <v>29</v>
      </c>
      <c r="N128" s="48" t="s">
        <v>179</v>
      </c>
      <c r="O128" s="46" t="s">
        <v>54</v>
      </c>
      <c r="P128" s="13">
        <v>39.619999999999997</v>
      </c>
      <c r="Q128" s="36">
        <f t="shared" si="19"/>
        <v>0.2113579000504795</v>
      </c>
      <c r="R128" s="37">
        <f t="shared" si="20"/>
        <v>31.245999999999999</v>
      </c>
      <c r="S128" s="42">
        <v>0.15</v>
      </c>
      <c r="T128" s="43">
        <v>36.76</v>
      </c>
      <c r="U128" s="37">
        <f t="shared" si="21"/>
        <v>8.3739999999999988</v>
      </c>
      <c r="V128" s="38" t="str">
        <f t="shared" si="22"/>
        <v>1005820100007348360374</v>
      </c>
      <c r="W128" s="39">
        <v>44531</v>
      </c>
      <c r="X128" s="40"/>
      <c r="Y128" s="44"/>
      <c r="Z128" s="45">
        <f t="shared" si="23"/>
        <v>0</v>
      </c>
      <c r="AA128" s="62"/>
      <c r="AB128" s="63">
        <f t="shared" si="17"/>
        <v>0</v>
      </c>
      <c r="AC128" s="62"/>
      <c r="AD128" s="62">
        <f t="shared" si="18"/>
        <v>0</v>
      </c>
      <c r="AE128" s="6"/>
    </row>
    <row r="129" spans="1:31" s="12" customFormat="1" x14ac:dyDescent="0.2">
      <c r="A129" s="41"/>
      <c r="B129" s="46" t="s">
        <v>27</v>
      </c>
      <c r="C129" s="46" t="s">
        <v>60</v>
      </c>
      <c r="D129" s="46" t="s">
        <v>69</v>
      </c>
      <c r="E129" s="48" t="s">
        <v>254</v>
      </c>
      <c r="F129" s="48" t="s">
        <v>254</v>
      </c>
      <c r="G129" s="47" t="s">
        <v>260</v>
      </c>
      <c r="H129" s="47" t="s">
        <v>44</v>
      </c>
      <c r="I129" s="47" t="s">
        <v>107</v>
      </c>
      <c r="J129" s="48" t="s">
        <v>236</v>
      </c>
      <c r="K129" s="51" t="s">
        <v>138</v>
      </c>
      <c r="L129" s="51" t="s">
        <v>256</v>
      </c>
      <c r="M129" s="46" t="s">
        <v>34</v>
      </c>
      <c r="N129" s="48" t="s">
        <v>180</v>
      </c>
      <c r="O129" s="46" t="s">
        <v>55</v>
      </c>
      <c r="P129" s="13">
        <v>119.29</v>
      </c>
      <c r="Q129" s="36">
        <f t="shared" si="19"/>
        <v>0.20479503730404902</v>
      </c>
      <c r="R129" s="37">
        <f t="shared" si="20"/>
        <v>94.86</v>
      </c>
      <c r="S129" s="42">
        <v>0.15</v>
      </c>
      <c r="T129" s="43">
        <v>111.60000000000001</v>
      </c>
      <c r="U129" s="37">
        <f t="shared" si="21"/>
        <v>24.430000000000007</v>
      </c>
      <c r="V129" s="38" t="str">
        <f t="shared" si="22"/>
        <v>1005820100007348360484</v>
      </c>
      <c r="W129" s="39">
        <v>44531</v>
      </c>
      <c r="X129" s="40"/>
      <c r="Y129" s="44">
        <v>2.78</v>
      </c>
      <c r="Z129" s="45">
        <f t="shared" si="23"/>
        <v>67.91540000000002</v>
      </c>
      <c r="AA129" s="62">
        <v>2.78</v>
      </c>
      <c r="AB129" s="63">
        <f t="shared" si="17"/>
        <v>67.91540000000002</v>
      </c>
      <c r="AC129" s="62" t="s">
        <v>319</v>
      </c>
      <c r="AD129" s="62">
        <f t="shared" si="18"/>
        <v>0</v>
      </c>
      <c r="AE129" s="6"/>
    </row>
    <row r="130" spans="1:31" s="12" customFormat="1" x14ac:dyDescent="0.2">
      <c r="A130" s="41"/>
      <c r="B130" s="46" t="s">
        <v>27</v>
      </c>
      <c r="C130" s="46" t="s">
        <v>60</v>
      </c>
      <c r="D130" s="46" t="s">
        <v>69</v>
      </c>
      <c r="E130" s="48" t="s">
        <v>254</v>
      </c>
      <c r="F130" s="48" t="s">
        <v>254</v>
      </c>
      <c r="G130" s="47" t="s">
        <v>251</v>
      </c>
      <c r="H130" s="47" t="s">
        <v>58</v>
      </c>
      <c r="I130" s="47" t="s">
        <v>65</v>
      </c>
      <c r="J130" s="48" t="s">
        <v>237</v>
      </c>
      <c r="K130" s="51" t="s">
        <v>63</v>
      </c>
      <c r="L130" s="51" t="s">
        <v>256</v>
      </c>
      <c r="M130" s="46" t="s">
        <v>29</v>
      </c>
      <c r="N130" s="48" t="s">
        <v>164</v>
      </c>
      <c r="O130" s="46" t="s">
        <v>32</v>
      </c>
      <c r="P130" s="13">
        <v>56.91</v>
      </c>
      <c r="Q130" s="36">
        <f t="shared" si="19"/>
        <v>0.35477069056404853</v>
      </c>
      <c r="R130" s="37">
        <f t="shared" si="20"/>
        <v>36.72</v>
      </c>
      <c r="S130" s="42">
        <v>0.15</v>
      </c>
      <c r="T130" s="43">
        <v>43.2</v>
      </c>
      <c r="U130" s="37">
        <f t="shared" si="21"/>
        <v>20.189999999999998</v>
      </c>
      <c r="V130" s="38" t="str">
        <f t="shared" si="22"/>
        <v>1005820519260485361377</v>
      </c>
      <c r="W130" s="39">
        <v>44531</v>
      </c>
      <c r="X130" s="40"/>
      <c r="Y130" s="44">
        <v>17.329999999999998</v>
      </c>
      <c r="Z130" s="45">
        <f t="shared" si="23"/>
        <v>349.89269999999993</v>
      </c>
      <c r="AA130" s="62">
        <v>17.329999999999998</v>
      </c>
      <c r="AB130" s="63">
        <f t="shared" si="17"/>
        <v>349.89269999999993</v>
      </c>
      <c r="AC130" s="62" t="s">
        <v>319</v>
      </c>
      <c r="AD130" s="62">
        <f t="shared" si="18"/>
        <v>0</v>
      </c>
      <c r="AE130" s="6"/>
    </row>
    <row r="131" spans="1:31" s="12" customFormat="1" x14ac:dyDescent="0.2">
      <c r="A131" s="41"/>
      <c r="B131" s="46" t="s">
        <v>27</v>
      </c>
      <c r="C131" s="46" t="s">
        <v>60</v>
      </c>
      <c r="D131" s="46" t="s">
        <v>69</v>
      </c>
      <c r="E131" s="48" t="s">
        <v>254</v>
      </c>
      <c r="F131" s="48" t="s">
        <v>254</v>
      </c>
      <c r="G131" s="47" t="s">
        <v>251</v>
      </c>
      <c r="H131" s="47" t="s">
        <v>58</v>
      </c>
      <c r="I131" s="47" t="s">
        <v>65</v>
      </c>
      <c r="J131" s="48" t="s">
        <v>237</v>
      </c>
      <c r="K131" s="51" t="s">
        <v>63</v>
      </c>
      <c r="L131" s="51" t="s">
        <v>256</v>
      </c>
      <c r="M131" s="46" t="s">
        <v>29</v>
      </c>
      <c r="N131" s="48" t="s">
        <v>165</v>
      </c>
      <c r="O131" s="46" t="s">
        <v>33</v>
      </c>
      <c r="P131" s="13">
        <v>50.39</v>
      </c>
      <c r="Q131" s="36">
        <f t="shared" si="19"/>
        <v>0.46965667791228416</v>
      </c>
      <c r="R131" s="37">
        <f t="shared" si="20"/>
        <v>26.724</v>
      </c>
      <c r="S131" s="42">
        <v>0.15</v>
      </c>
      <c r="T131" s="43">
        <v>31.44</v>
      </c>
      <c r="U131" s="37">
        <f t="shared" si="21"/>
        <v>23.666</v>
      </c>
      <c r="V131" s="38" t="str">
        <f t="shared" si="22"/>
        <v>1005820519260485361540</v>
      </c>
      <c r="W131" s="39">
        <v>44531</v>
      </c>
      <c r="X131" s="40"/>
      <c r="Y131" s="44">
        <v>29.25</v>
      </c>
      <c r="Z131" s="45">
        <f t="shared" si="23"/>
        <v>692.23050000000001</v>
      </c>
      <c r="AA131" s="62">
        <f>117/4</f>
        <v>29.25</v>
      </c>
      <c r="AB131" s="63">
        <f t="shared" si="17"/>
        <v>692.23050000000001</v>
      </c>
      <c r="AC131" s="62" t="s">
        <v>319</v>
      </c>
      <c r="AD131" s="62">
        <f t="shared" si="18"/>
        <v>0</v>
      </c>
      <c r="AE131" s="6"/>
    </row>
    <row r="132" spans="1:31" s="12" customFormat="1" x14ac:dyDescent="0.2">
      <c r="A132" s="41"/>
      <c r="B132" s="46" t="s">
        <v>27</v>
      </c>
      <c r="C132" s="46" t="s">
        <v>60</v>
      </c>
      <c r="D132" s="46" t="s">
        <v>69</v>
      </c>
      <c r="E132" s="48" t="s">
        <v>254</v>
      </c>
      <c r="F132" s="48" t="s">
        <v>254</v>
      </c>
      <c r="G132" s="47" t="s">
        <v>251</v>
      </c>
      <c r="H132" s="47" t="s">
        <v>58</v>
      </c>
      <c r="I132" s="47" t="s">
        <v>65</v>
      </c>
      <c r="J132" s="48" t="s">
        <v>237</v>
      </c>
      <c r="K132" s="51" t="s">
        <v>63</v>
      </c>
      <c r="L132" s="51" t="s">
        <v>256</v>
      </c>
      <c r="M132" s="46" t="s">
        <v>34</v>
      </c>
      <c r="N132" s="48" t="s">
        <v>166</v>
      </c>
      <c r="O132" s="46" t="s">
        <v>35</v>
      </c>
      <c r="P132" s="13">
        <v>112.81</v>
      </c>
      <c r="Q132" s="36">
        <f t="shared" si="19"/>
        <v>0.36255651094761099</v>
      </c>
      <c r="R132" s="37">
        <f t="shared" si="20"/>
        <v>71.910000000000011</v>
      </c>
      <c r="S132" s="42">
        <v>0.15</v>
      </c>
      <c r="T132" s="43">
        <v>84.600000000000009</v>
      </c>
      <c r="U132" s="37">
        <f t="shared" si="21"/>
        <v>40.899999999999991</v>
      </c>
      <c r="V132" s="38" t="str">
        <f t="shared" si="22"/>
        <v>1005820519260485361531</v>
      </c>
      <c r="W132" s="39">
        <v>44531</v>
      </c>
      <c r="X132" s="40"/>
      <c r="Y132" s="44">
        <v>12.11</v>
      </c>
      <c r="Z132" s="45">
        <f t="shared" si="23"/>
        <v>495.29899999999986</v>
      </c>
      <c r="AA132" s="62">
        <v>12.11</v>
      </c>
      <c r="AB132" s="63">
        <f t="shared" si="17"/>
        <v>495.29899999999986</v>
      </c>
      <c r="AC132" s="62" t="s">
        <v>319</v>
      </c>
      <c r="AD132" s="62">
        <f t="shared" si="18"/>
        <v>0</v>
      </c>
      <c r="AE132" s="6"/>
    </row>
    <row r="133" spans="1:31" s="12" customFormat="1" x14ac:dyDescent="0.2">
      <c r="A133" s="41"/>
      <c r="B133" s="46" t="s">
        <v>27</v>
      </c>
      <c r="C133" s="46" t="s">
        <v>60</v>
      </c>
      <c r="D133" s="46" t="s">
        <v>69</v>
      </c>
      <c r="E133" s="48" t="s">
        <v>254</v>
      </c>
      <c r="F133" s="48" t="s">
        <v>254</v>
      </c>
      <c r="G133" s="47" t="s">
        <v>251</v>
      </c>
      <c r="H133" s="47" t="s">
        <v>58</v>
      </c>
      <c r="I133" s="47" t="s">
        <v>65</v>
      </c>
      <c r="J133" s="48" t="s">
        <v>237</v>
      </c>
      <c r="K133" s="51" t="s">
        <v>63</v>
      </c>
      <c r="L133" s="51" t="s">
        <v>256</v>
      </c>
      <c r="M133" s="46" t="s">
        <v>34</v>
      </c>
      <c r="N133" s="48" t="s">
        <v>181</v>
      </c>
      <c r="O133" s="46" t="s">
        <v>56</v>
      </c>
      <c r="P133" s="13">
        <v>116.69</v>
      </c>
      <c r="Q133" s="36">
        <f t="shared" si="19"/>
        <v>0.27754734767332245</v>
      </c>
      <c r="R133" s="37">
        <f t="shared" si="20"/>
        <v>84.302999999999997</v>
      </c>
      <c r="S133" s="42">
        <v>0.15</v>
      </c>
      <c r="T133" s="43">
        <v>99.179999999999993</v>
      </c>
      <c r="U133" s="37">
        <f t="shared" si="21"/>
        <v>32.387</v>
      </c>
      <c r="V133" s="38" t="str">
        <f t="shared" si="22"/>
        <v>1005820519260485361530</v>
      </c>
      <c r="W133" s="39">
        <v>44531</v>
      </c>
      <c r="X133" s="40"/>
      <c r="Y133" s="44"/>
      <c r="Z133" s="45">
        <f t="shared" si="23"/>
        <v>0</v>
      </c>
      <c r="AA133" s="62"/>
      <c r="AB133" s="63">
        <f t="shared" si="17"/>
        <v>0</v>
      </c>
      <c r="AC133" s="62"/>
      <c r="AD133" s="62">
        <f t="shared" si="18"/>
        <v>0</v>
      </c>
      <c r="AE133" s="6"/>
    </row>
    <row r="134" spans="1:31" s="12" customFormat="1" x14ac:dyDescent="0.2">
      <c r="A134" s="41"/>
      <c r="B134" s="46" t="s">
        <v>27</v>
      </c>
      <c r="C134" s="46" t="s">
        <v>60</v>
      </c>
      <c r="D134" s="46" t="s">
        <v>69</v>
      </c>
      <c r="E134" s="48" t="s">
        <v>254</v>
      </c>
      <c r="F134" s="48" t="s">
        <v>254</v>
      </c>
      <c r="G134" s="47" t="s">
        <v>251</v>
      </c>
      <c r="H134" s="47" t="s">
        <v>58</v>
      </c>
      <c r="I134" s="47" t="s">
        <v>65</v>
      </c>
      <c r="J134" s="48" t="s">
        <v>237</v>
      </c>
      <c r="K134" s="51" t="s">
        <v>63</v>
      </c>
      <c r="L134" s="51" t="s">
        <v>256</v>
      </c>
      <c r="M134" s="46" t="s">
        <v>34</v>
      </c>
      <c r="N134" s="48" t="s">
        <v>167</v>
      </c>
      <c r="O134" s="46" t="s">
        <v>36</v>
      </c>
      <c r="P134" s="13">
        <v>26.44</v>
      </c>
      <c r="Q134" s="36">
        <f t="shared" ref="Q134:Q165" si="24">IF(1-R134/P134&lt;0%,0,1-R134/P134)</f>
        <v>0.14099848714069596</v>
      </c>
      <c r="R134" s="37">
        <f t="shared" ref="R134:R165" si="25">+T134*(100%-S134)</f>
        <v>22.712</v>
      </c>
      <c r="S134" s="42">
        <v>0.15</v>
      </c>
      <c r="T134" s="43">
        <v>26.72</v>
      </c>
      <c r="U134" s="37">
        <f t="shared" ref="U134:U170" si="26">+IF(P134-R134&lt;0,0,P134-R134)</f>
        <v>3.7280000000000015</v>
      </c>
      <c r="V134" s="38" t="str">
        <f t="shared" ref="V134:V170" si="27">+CONCATENATE(TRIM(F134),TRIM(J134),TRIM(N134))</f>
        <v>1005820519260485361532</v>
      </c>
      <c r="W134" s="39">
        <v>44531</v>
      </c>
      <c r="X134" s="40"/>
      <c r="Y134" s="44">
        <v>161</v>
      </c>
      <c r="Z134" s="45">
        <f t="shared" ref="Z134:Z165" si="28">IFERROR(U134*Y134,0)</f>
        <v>600.2080000000002</v>
      </c>
      <c r="AA134" s="62">
        <f>322/2</f>
        <v>161</v>
      </c>
      <c r="AB134" s="63">
        <f t="shared" si="17"/>
        <v>600.2080000000002</v>
      </c>
      <c r="AC134" s="62" t="s">
        <v>319</v>
      </c>
      <c r="AD134" s="62">
        <f t="shared" si="18"/>
        <v>0</v>
      </c>
      <c r="AE134" s="6"/>
    </row>
    <row r="135" spans="1:31" s="12" customFormat="1" x14ac:dyDescent="0.2">
      <c r="A135" s="41"/>
      <c r="B135" s="46" t="s">
        <v>27</v>
      </c>
      <c r="C135" s="46" t="s">
        <v>60</v>
      </c>
      <c r="D135" s="46" t="s">
        <v>69</v>
      </c>
      <c r="E135" s="48" t="s">
        <v>254</v>
      </c>
      <c r="F135" s="48" t="s">
        <v>254</v>
      </c>
      <c r="G135" s="47" t="s">
        <v>251</v>
      </c>
      <c r="H135" s="47" t="s">
        <v>58</v>
      </c>
      <c r="I135" s="47" t="s">
        <v>65</v>
      </c>
      <c r="J135" s="48" t="s">
        <v>237</v>
      </c>
      <c r="K135" s="51" t="s">
        <v>63</v>
      </c>
      <c r="L135" s="51" t="s">
        <v>256</v>
      </c>
      <c r="M135" s="46" t="s">
        <v>34</v>
      </c>
      <c r="N135" s="48" t="s">
        <v>184</v>
      </c>
      <c r="O135" s="46" t="s">
        <v>66</v>
      </c>
      <c r="P135" s="13">
        <v>53.46</v>
      </c>
      <c r="Q135" s="36">
        <f t="shared" si="24"/>
        <v>0.21232697343808471</v>
      </c>
      <c r="R135" s="37">
        <f t="shared" si="25"/>
        <v>42.108999999999995</v>
      </c>
      <c r="S135" s="42">
        <v>0.15</v>
      </c>
      <c r="T135" s="43">
        <v>49.539999999999992</v>
      </c>
      <c r="U135" s="37">
        <f t="shared" si="26"/>
        <v>11.351000000000006</v>
      </c>
      <c r="V135" s="38" t="str">
        <f t="shared" si="27"/>
        <v>1005820519260485360975</v>
      </c>
      <c r="W135" s="39">
        <v>44531</v>
      </c>
      <c r="X135" s="40"/>
      <c r="Y135" s="44"/>
      <c r="Z135" s="45">
        <f t="shared" si="28"/>
        <v>0</v>
      </c>
      <c r="AA135" s="62"/>
      <c r="AB135" s="63">
        <f t="shared" ref="AB135:AB170" si="29">IFERROR(AA135*U135,0)</f>
        <v>0</v>
      </c>
      <c r="AC135" s="62"/>
      <c r="AD135" s="62">
        <f t="shared" ref="AD135:AD170" si="30">IFERROR(Z135-AB135,0)</f>
        <v>0</v>
      </c>
      <c r="AE135" s="6"/>
    </row>
    <row r="136" spans="1:31" s="12" customFormat="1" x14ac:dyDescent="0.2">
      <c r="A136" s="41"/>
      <c r="B136" s="46" t="s">
        <v>27</v>
      </c>
      <c r="C136" s="46" t="s">
        <v>60</v>
      </c>
      <c r="D136" s="46" t="s">
        <v>69</v>
      </c>
      <c r="E136" s="48" t="s">
        <v>254</v>
      </c>
      <c r="F136" s="48" t="s">
        <v>254</v>
      </c>
      <c r="G136" s="47" t="s">
        <v>251</v>
      </c>
      <c r="H136" s="47" t="s">
        <v>58</v>
      </c>
      <c r="I136" s="47" t="s">
        <v>65</v>
      </c>
      <c r="J136" s="48" t="s">
        <v>237</v>
      </c>
      <c r="K136" s="51" t="s">
        <v>63</v>
      </c>
      <c r="L136" s="51" t="s">
        <v>256</v>
      </c>
      <c r="M136" s="46" t="s">
        <v>34</v>
      </c>
      <c r="N136" s="48" t="s">
        <v>186</v>
      </c>
      <c r="O136" s="46" t="s">
        <v>139</v>
      </c>
      <c r="P136" s="13">
        <v>21.39</v>
      </c>
      <c r="Q136" s="36">
        <f t="shared" si="24"/>
        <v>0.14403927068723721</v>
      </c>
      <c r="R136" s="37">
        <f t="shared" si="25"/>
        <v>18.308999999999997</v>
      </c>
      <c r="S136" s="42">
        <v>0.15</v>
      </c>
      <c r="T136" s="43">
        <v>21.54</v>
      </c>
      <c r="U136" s="37">
        <f t="shared" si="26"/>
        <v>3.0810000000000031</v>
      </c>
      <c r="V136" s="38" t="str">
        <f t="shared" si="27"/>
        <v>1005820519260485361360</v>
      </c>
      <c r="W136" s="39">
        <v>44531</v>
      </c>
      <c r="X136" s="40"/>
      <c r="Y136" s="44"/>
      <c r="Z136" s="45">
        <f t="shared" si="28"/>
        <v>0</v>
      </c>
      <c r="AA136" s="62"/>
      <c r="AB136" s="63">
        <f t="shared" si="29"/>
        <v>0</v>
      </c>
      <c r="AC136" s="62"/>
      <c r="AD136" s="62">
        <f t="shared" si="30"/>
        <v>0</v>
      </c>
      <c r="AE136" s="6"/>
    </row>
    <row r="137" spans="1:31" s="12" customFormat="1" x14ac:dyDescent="0.2">
      <c r="A137" s="41"/>
      <c r="B137" s="46" t="s">
        <v>27</v>
      </c>
      <c r="C137" s="46" t="s">
        <v>60</v>
      </c>
      <c r="D137" s="46" t="s">
        <v>69</v>
      </c>
      <c r="E137" s="48" t="s">
        <v>254</v>
      </c>
      <c r="F137" s="48" t="s">
        <v>254</v>
      </c>
      <c r="G137" s="47" t="s">
        <v>251</v>
      </c>
      <c r="H137" s="47" t="s">
        <v>58</v>
      </c>
      <c r="I137" s="47" t="s">
        <v>65</v>
      </c>
      <c r="J137" s="48" t="s">
        <v>237</v>
      </c>
      <c r="K137" s="51" t="s">
        <v>63</v>
      </c>
      <c r="L137" s="51" t="s">
        <v>256</v>
      </c>
      <c r="M137" s="46" t="s">
        <v>48</v>
      </c>
      <c r="N137" s="48" t="s">
        <v>176</v>
      </c>
      <c r="O137" s="46" t="s">
        <v>51</v>
      </c>
      <c r="P137" s="13">
        <v>133.12</v>
      </c>
      <c r="Q137" s="36">
        <f t="shared" si="24"/>
        <v>0.12163461538461551</v>
      </c>
      <c r="R137" s="37">
        <f t="shared" si="25"/>
        <v>116.92799999999998</v>
      </c>
      <c r="S137" s="42">
        <v>0.13</v>
      </c>
      <c r="T137" s="43">
        <v>134.39999999999998</v>
      </c>
      <c r="U137" s="37">
        <f t="shared" si="26"/>
        <v>16.192000000000021</v>
      </c>
      <c r="V137" s="38" t="str">
        <f t="shared" si="27"/>
        <v>1005820519260485371439</v>
      </c>
      <c r="W137" s="39">
        <v>44531</v>
      </c>
      <c r="X137" s="40"/>
      <c r="Y137" s="44">
        <v>1</v>
      </c>
      <c r="Z137" s="45">
        <f t="shared" si="28"/>
        <v>16.192000000000021</v>
      </c>
      <c r="AA137" s="62">
        <f>6/6</f>
        <v>1</v>
      </c>
      <c r="AB137" s="63">
        <f t="shared" si="29"/>
        <v>16.192000000000021</v>
      </c>
      <c r="AC137" s="62" t="s">
        <v>319</v>
      </c>
      <c r="AD137" s="62">
        <f t="shared" si="30"/>
        <v>0</v>
      </c>
      <c r="AE137" s="6"/>
    </row>
    <row r="138" spans="1:31" s="12" customFormat="1" x14ac:dyDescent="0.2">
      <c r="A138" s="41"/>
      <c r="B138" s="46" t="s">
        <v>27</v>
      </c>
      <c r="C138" s="46" t="s">
        <v>60</v>
      </c>
      <c r="D138" s="46" t="s">
        <v>69</v>
      </c>
      <c r="E138" s="48" t="s">
        <v>254</v>
      </c>
      <c r="F138" s="48" t="s">
        <v>254</v>
      </c>
      <c r="G138" s="47" t="s">
        <v>262</v>
      </c>
      <c r="H138" s="47" t="s">
        <v>44</v>
      </c>
      <c r="I138" s="47" t="s">
        <v>140</v>
      </c>
      <c r="J138" s="48" t="s">
        <v>238</v>
      </c>
      <c r="K138" s="51" t="s">
        <v>268</v>
      </c>
      <c r="L138" s="51" t="s">
        <v>256</v>
      </c>
      <c r="M138" s="46" t="s">
        <v>29</v>
      </c>
      <c r="N138" s="48" t="s">
        <v>162</v>
      </c>
      <c r="O138" s="46" t="s">
        <v>31</v>
      </c>
      <c r="P138" s="13">
        <v>25.86</v>
      </c>
      <c r="Q138" s="36">
        <f t="shared" si="24"/>
        <v>0.10595514307811305</v>
      </c>
      <c r="R138" s="37">
        <f t="shared" si="25"/>
        <v>23.119999999999997</v>
      </c>
      <c r="S138" s="42">
        <v>0.15</v>
      </c>
      <c r="T138" s="43">
        <v>27.2</v>
      </c>
      <c r="U138" s="37">
        <f t="shared" si="26"/>
        <v>2.740000000000002</v>
      </c>
      <c r="V138" s="38" t="str">
        <f t="shared" si="27"/>
        <v>1005820523621212361571</v>
      </c>
      <c r="W138" s="39">
        <v>44531</v>
      </c>
      <c r="X138" s="40"/>
      <c r="Y138" s="44"/>
      <c r="Z138" s="45">
        <f t="shared" si="28"/>
        <v>0</v>
      </c>
      <c r="AA138" s="62"/>
      <c r="AB138" s="63">
        <f t="shared" si="29"/>
        <v>0</v>
      </c>
      <c r="AC138" s="62"/>
      <c r="AD138" s="62">
        <f t="shared" si="30"/>
        <v>0</v>
      </c>
      <c r="AE138" s="6"/>
    </row>
    <row r="139" spans="1:31" s="12" customFormat="1" x14ac:dyDescent="0.2">
      <c r="A139" s="41"/>
      <c r="B139" s="46" t="s">
        <v>27</v>
      </c>
      <c r="C139" s="46" t="s">
        <v>60</v>
      </c>
      <c r="D139" s="46" t="s">
        <v>69</v>
      </c>
      <c r="E139" s="48" t="s">
        <v>254</v>
      </c>
      <c r="F139" s="48" t="s">
        <v>254</v>
      </c>
      <c r="G139" s="47" t="s">
        <v>262</v>
      </c>
      <c r="H139" s="47" t="s">
        <v>44</v>
      </c>
      <c r="I139" s="47" t="s">
        <v>140</v>
      </c>
      <c r="J139" s="48" t="s">
        <v>238</v>
      </c>
      <c r="K139" s="51" t="s">
        <v>268</v>
      </c>
      <c r="L139" s="51" t="s">
        <v>256</v>
      </c>
      <c r="M139" s="46" t="s">
        <v>34</v>
      </c>
      <c r="N139" s="48" t="s">
        <v>181</v>
      </c>
      <c r="O139" s="46" t="s">
        <v>56</v>
      </c>
      <c r="P139" s="13">
        <v>116.69</v>
      </c>
      <c r="Q139" s="36">
        <f t="shared" si="24"/>
        <v>0.29411126757699291</v>
      </c>
      <c r="R139" s="37">
        <f t="shared" si="25"/>
        <v>82.370156186440695</v>
      </c>
      <c r="S139" s="42">
        <v>0.15</v>
      </c>
      <c r="T139" s="43">
        <v>96.906066101694933</v>
      </c>
      <c r="U139" s="37">
        <f t="shared" si="26"/>
        <v>34.319843813559302</v>
      </c>
      <c r="V139" s="38" t="str">
        <f t="shared" si="27"/>
        <v>1005820523621212361530</v>
      </c>
      <c r="W139" s="39">
        <v>44531</v>
      </c>
      <c r="X139" s="40">
        <v>120</v>
      </c>
      <c r="Y139" s="44">
        <v>11.67</v>
      </c>
      <c r="Z139" s="45">
        <f t="shared" si="28"/>
        <v>400.51257730423703</v>
      </c>
      <c r="AA139" s="62">
        <v>11.67</v>
      </c>
      <c r="AB139" s="63">
        <f t="shared" si="29"/>
        <v>400.51257730423703</v>
      </c>
      <c r="AC139" s="62" t="s">
        <v>319</v>
      </c>
      <c r="AD139" s="62">
        <f t="shared" si="30"/>
        <v>0</v>
      </c>
      <c r="AE139" s="6"/>
    </row>
    <row r="140" spans="1:31" s="12" customFormat="1" x14ac:dyDescent="0.2">
      <c r="A140" s="41"/>
      <c r="B140" s="46" t="s">
        <v>27</v>
      </c>
      <c r="C140" s="46" t="s">
        <v>60</v>
      </c>
      <c r="D140" s="46" t="s">
        <v>69</v>
      </c>
      <c r="E140" s="48" t="s">
        <v>254</v>
      </c>
      <c r="F140" s="48" t="s">
        <v>254</v>
      </c>
      <c r="G140" s="47" t="s">
        <v>253</v>
      </c>
      <c r="H140" s="47" t="s">
        <v>44</v>
      </c>
      <c r="I140" s="47" t="s">
        <v>59</v>
      </c>
      <c r="J140" s="48" t="s">
        <v>239</v>
      </c>
      <c r="K140" s="51" t="s">
        <v>141</v>
      </c>
      <c r="L140" s="51" t="s">
        <v>256</v>
      </c>
      <c r="M140" s="46" t="s">
        <v>29</v>
      </c>
      <c r="N140" s="48" t="s">
        <v>183</v>
      </c>
      <c r="O140" s="46" t="s">
        <v>62</v>
      </c>
      <c r="P140" s="13">
        <v>54.46</v>
      </c>
      <c r="Q140" s="36">
        <f t="shared" si="24"/>
        <v>0</v>
      </c>
      <c r="R140" s="37">
        <f t="shared" si="25"/>
        <v>72.691999999999993</v>
      </c>
      <c r="S140" s="42">
        <v>0.15</v>
      </c>
      <c r="T140" s="43">
        <v>85.52</v>
      </c>
      <c r="U140" s="37">
        <f t="shared" si="26"/>
        <v>0</v>
      </c>
      <c r="V140" s="38" t="str">
        <f t="shared" si="27"/>
        <v>1005820500985322361421</v>
      </c>
      <c r="W140" s="39">
        <v>44531</v>
      </c>
      <c r="X140" s="40"/>
      <c r="Y140" s="44"/>
      <c r="Z140" s="45">
        <f t="shared" si="28"/>
        <v>0</v>
      </c>
      <c r="AA140" s="62"/>
      <c r="AB140" s="63">
        <f t="shared" si="29"/>
        <v>0</v>
      </c>
      <c r="AC140" s="62"/>
      <c r="AD140" s="62">
        <f t="shared" si="30"/>
        <v>0</v>
      </c>
      <c r="AE140" s="6"/>
    </row>
    <row r="141" spans="1:31" s="12" customFormat="1" x14ac:dyDescent="0.2">
      <c r="A141" s="41"/>
      <c r="B141" s="46" t="s">
        <v>27</v>
      </c>
      <c r="C141" s="46" t="s">
        <v>60</v>
      </c>
      <c r="D141" s="46" t="s">
        <v>69</v>
      </c>
      <c r="E141" s="48" t="s">
        <v>254</v>
      </c>
      <c r="F141" s="48" t="s">
        <v>254</v>
      </c>
      <c r="G141" s="47" t="s">
        <v>253</v>
      </c>
      <c r="H141" s="47" t="s">
        <v>44</v>
      </c>
      <c r="I141" s="47" t="s">
        <v>59</v>
      </c>
      <c r="J141" s="48" t="s">
        <v>239</v>
      </c>
      <c r="K141" s="51" t="s">
        <v>141</v>
      </c>
      <c r="L141" s="51" t="s">
        <v>256</v>
      </c>
      <c r="M141" s="46" t="s">
        <v>29</v>
      </c>
      <c r="N141" s="49" t="s">
        <v>172</v>
      </c>
      <c r="O141" s="50" t="s">
        <v>46</v>
      </c>
      <c r="P141" s="13">
        <v>11.89</v>
      </c>
      <c r="Q141" s="36">
        <f t="shared" si="24"/>
        <v>0.1528595458368377</v>
      </c>
      <c r="R141" s="37">
        <f t="shared" si="25"/>
        <v>10.0725</v>
      </c>
      <c r="S141" s="42">
        <v>0.15</v>
      </c>
      <c r="T141" s="43">
        <v>11.85</v>
      </c>
      <c r="U141" s="37">
        <f t="shared" si="26"/>
        <v>1.8175000000000008</v>
      </c>
      <c r="V141" s="38" t="str">
        <f t="shared" si="27"/>
        <v>1005820500985322361085</v>
      </c>
      <c r="W141" s="39">
        <v>44531</v>
      </c>
      <c r="X141" s="40"/>
      <c r="Y141" s="44"/>
      <c r="Z141" s="45">
        <f t="shared" si="28"/>
        <v>0</v>
      </c>
      <c r="AA141" s="62"/>
      <c r="AB141" s="63">
        <f t="shared" si="29"/>
        <v>0</v>
      </c>
      <c r="AC141" s="62"/>
      <c r="AD141" s="62">
        <f t="shared" si="30"/>
        <v>0</v>
      </c>
      <c r="AE141" s="6"/>
    </row>
    <row r="142" spans="1:31" s="12" customFormat="1" x14ac:dyDescent="0.2">
      <c r="A142" s="41"/>
      <c r="B142" s="46" t="s">
        <v>27</v>
      </c>
      <c r="C142" s="46" t="s">
        <v>60</v>
      </c>
      <c r="D142" s="46" t="s">
        <v>69</v>
      </c>
      <c r="E142" s="48" t="s">
        <v>254</v>
      </c>
      <c r="F142" s="48" t="s">
        <v>254</v>
      </c>
      <c r="G142" s="47" t="s">
        <v>253</v>
      </c>
      <c r="H142" s="47" t="s">
        <v>44</v>
      </c>
      <c r="I142" s="47" t="s">
        <v>59</v>
      </c>
      <c r="J142" s="48" t="s">
        <v>239</v>
      </c>
      <c r="K142" s="51" t="s">
        <v>141</v>
      </c>
      <c r="L142" s="51" t="s">
        <v>256</v>
      </c>
      <c r="M142" s="46" t="s">
        <v>29</v>
      </c>
      <c r="N142" s="48" t="s">
        <v>165</v>
      </c>
      <c r="O142" s="46" t="s">
        <v>33</v>
      </c>
      <c r="P142" s="13">
        <v>50.39</v>
      </c>
      <c r="Q142" s="36">
        <f t="shared" si="24"/>
        <v>0.18356816828735856</v>
      </c>
      <c r="R142" s="37">
        <f t="shared" si="25"/>
        <v>41.14</v>
      </c>
      <c r="S142" s="42">
        <v>0.15</v>
      </c>
      <c r="T142" s="43">
        <v>48.4</v>
      </c>
      <c r="U142" s="37">
        <f t="shared" si="26"/>
        <v>9.25</v>
      </c>
      <c r="V142" s="38" t="str">
        <f t="shared" si="27"/>
        <v>1005820500985322361540</v>
      </c>
      <c r="W142" s="39">
        <v>44531</v>
      </c>
      <c r="X142" s="40"/>
      <c r="Y142" s="44"/>
      <c r="Z142" s="45">
        <f t="shared" si="28"/>
        <v>0</v>
      </c>
      <c r="AA142" s="62"/>
      <c r="AB142" s="63">
        <f t="shared" si="29"/>
        <v>0</v>
      </c>
      <c r="AC142" s="62"/>
      <c r="AD142" s="62">
        <f t="shared" si="30"/>
        <v>0</v>
      </c>
      <c r="AE142" s="6"/>
    </row>
    <row r="143" spans="1:31" s="12" customFormat="1" x14ac:dyDescent="0.2">
      <c r="A143" s="41"/>
      <c r="B143" s="46" t="s">
        <v>27</v>
      </c>
      <c r="C143" s="46" t="s">
        <v>60</v>
      </c>
      <c r="D143" s="46" t="s">
        <v>69</v>
      </c>
      <c r="E143" s="48" t="s">
        <v>254</v>
      </c>
      <c r="F143" s="48" t="s">
        <v>254</v>
      </c>
      <c r="G143" s="47" t="s">
        <v>253</v>
      </c>
      <c r="H143" s="47" t="s">
        <v>44</v>
      </c>
      <c r="I143" s="47" t="s">
        <v>59</v>
      </c>
      <c r="J143" s="48" t="s">
        <v>239</v>
      </c>
      <c r="K143" s="51" t="s">
        <v>141</v>
      </c>
      <c r="L143" s="51" t="s">
        <v>256</v>
      </c>
      <c r="M143" s="46" t="s">
        <v>29</v>
      </c>
      <c r="N143" s="48" t="s">
        <v>179</v>
      </c>
      <c r="O143" s="46" t="s">
        <v>54</v>
      </c>
      <c r="P143" s="13">
        <v>39.619999999999997</v>
      </c>
      <c r="Q143" s="36">
        <f t="shared" si="24"/>
        <v>0.22959363957597179</v>
      </c>
      <c r="R143" s="37">
        <f t="shared" si="25"/>
        <v>30.523499999999995</v>
      </c>
      <c r="S143" s="42">
        <v>0.15</v>
      </c>
      <c r="T143" s="43">
        <v>35.909999999999997</v>
      </c>
      <c r="U143" s="37">
        <f t="shared" si="26"/>
        <v>9.0965000000000025</v>
      </c>
      <c r="V143" s="38" t="str">
        <f t="shared" si="27"/>
        <v>1005820500985322360374</v>
      </c>
      <c r="W143" s="39">
        <v>44531</v>
      </c>
      <c r="X143" s="40"/>
      <c r="Y143" s="44">
        <v>100</v>
      </c>
      <c r="Z143" s="45">
        <f t="shared" si="28"/>
        <v>909.6500000000002</v>
      </c>
      <c r="AA143" s="62">
        <f>40+60</f>
        <v>100</v>
      </c>
      <c r="AB143" s="63">
        <f t="shared" si="29"/>
        <v>909.6500000000002</v>
      </c>
      <c r="AC143" s="62" t="s">
        <v>319</v>
      </c>
      <c r="AD143" s="62">
        <f t="shared" si="30"/>
        <v>0</v>
      </c>
      <c r="AE143" s="6"/>
    </row>
    <row r="144" spans="1:31" s="12" customFormat="1" x14ac:dyDescent="0.2">
      <c r="A144" s="41"/>
      <c r="B144" s="46" t="s">
        <v>27</v>
      </c>
      <c r="C144" s="46" t="s">
        <v>60</v>
      </c>
      <c r="D144" s="46" t="s">
        <v>69</v>
      </c>
      <c r="E144" s="48" t="s">
        <v>254</v>
      </c>
      <c r="F144" s="48" t="s">
        <v>254</v>
      </c>
      <c r="G144" s="47" t="s">
        <v>253</v>
      </c>
      <c r="H144" s="47" t="s">
        <v>44</v>
      </c>
      <c r="I144" s="47" t="s">
        <v>59</v>
      </c>
      <c r="J144" s="48" t="s">
        <v>239</v>
      </c>
      <c r="K144" s="51" t="s">
        <v>141</v>
      </c>
      <c r="L144" s="51" t="s">
        <v>256</v>
      </c>
      <c r="M144" s="46" t="s">
        <v>34</v>
      </c>
      <c r="N144" s="48" t="s">
        <v>166</v>
      </c>
      <c r="O144" s="46" t="s">
        <v>35</v>
      </c>
      <c r="P144" s="13">
        <v>112.81</v>
      </c>
      <c r="Q144" s="36">
        <f t="shared" si="24"/>
        <v>0.2269302366811452</v>
      </c>
      <c r="R144" s="37">
        <f t="shared" si="25"/>
        <v>87.210000000000008</v>
      </c>
      <c r="S144" s="42">
        <v>0.15</v>
      </c>
      <c r="T144" s="43">
        <v>102.60000000000001</v>
      </c>
      <c r="U144" s="37">
        <f t="shared" si="26"/>
        <v>25.599999999999994</v>
      </c>
      <c r="V144" s="38" t="str">
        <f t="shared" si="27"/>
        <v>1005820500985322361531</v>
      </c>
      <c r="W144" s="39">
        <v>44531</v>
      </c>
      <c r="X144" s="40"/>
      <c r="Y144" s="44">
        <v>7</v>
      </c>
      <c r="Z144" s="45">
        <f t="shared" si="28"/>
        <v>179.19999999999996</v>
      </c>
      <c r="AA144" s="62">
        <f>(18+90+18)/18</f>
        <v>7</v>
      </c>
      <c r="AB144" s="63">
        <f t="shared" si="29"/>
        <v>179.19999999999996</v>
      </c>
      <c r="AC144" s="62" t="s">
        <v>319</v>
      </c>
      <c r="AD144" s="62">
        <f t="shared" si="30"/>
        <v>0</v>
      </c>
      <c r="AE144" s="6"/>
    </row>
    <row r="145" spans="1:31" s="12" customFormat="1" x14ac:dyDescent="0.2">
      <c r="A145" s="41"/>
      <c r="B145" s="46" t="s">
        <v>27</v>
      </c>
      <c r="C145" s="46" t="s">
        <v>60</v>
      </c>
      <c r="D145" s="46" t="s">
        <v>69</v>
      </c>
      <c r="E145" s="48" t="s">
        <v>254</v>
      </c>
      <c r="F145" s="48" t="s">
        <v>254</v>
      </c>
      <c r="G145" s="47" t="s">
        <v>253</v>
      </c>
      <c r="H145" s="47" t="s">
        <v>44</v>
      </c>
      <c r="I145" s="47" t="s">
        <v>59</v>
      </c>
      <c r="J145" s="48" t="s">
        <v>239</v>
      </c>
      <c r="K145" s="51" t="s">
        <v>141</v>
      </c>
      <c r="L145" s="51" t="s">
        <v>256</v>
      </c>
      <c r="M145" s="46" t="s">
        <v>34</v>
      </c>
      <c r="N145" s="48" t="s">
        <v>177</v>
      </c>
      <c r="O145" s="46" t="s">
        <v>52</v>
      </c>
      <c r="P145" s="13">
        <v>77.8</v>
      </c>
      <c r="Q145" s="36">
        <f t="shared" si="24"/>
        <v>0.24177377892030838</v>
      </c>
      <c r="R145" s="37">
        <f t="shared" si="25"/>
        <v>58.99</v>
      </c>
      <c r="S145" s="42">
        <v>0.15</v>
      </c>
      <c r="T145" s="43">
        <v>69.400000000000006</v>
      </c>
      <c r="U145" s="37">
        <f t="shared" si="26"/>
        <v>18.809999999999995</v>
      </c>
      <c r="V145" s="38" t="str">
        <f t="shared" si="27"/>
        <v>1005820500985322361537</v>
      </c>
      <c r="W145" s="39">
        <v>44531</v>
      </c>
      <c r="X145" s="40"/>
      <c r="Y145" s="44">
        <v>160</v>
      </c>
      <c r="Z145" s="45">
        <f t="shared" si="28"/>
        <v>3009.5999999999995</v>
      </c>
      <c r="AA145" s="62">
        <f>(250+20+50)/2</f>
        <v>160</v>
      </c>
      <c r="AB145" s="63">
        <f t="shared" si="29"/>
        <v>3009.5999999999995</v>
      </c>
      <c r="AC145" s="62" t="s">
        <v>319</v>
      </c>
      <c r="AD145" s="62">
        <f t="shared" si="30"/>
        <v>0</v>
      </c>
      <c r="AE145" s="6"/>
    </row>
    <row r="146" spans="1:31" s="12" customFormat="1" x14ac:dyDescent="0.2">
      <c r="A146" s="41"/>
      <c r="B146" s="46" t="s">
        <v>27</v>
      </c>
      <c r="C146" s="46" t="s">
        <v>60</v>
      </c>
      <c r="D146" s="46" t="s">
        <v>69</v>
      </c>
      <c r="E146" s="48" t="s">
        <v>254</v>
      </c>
      <c r="F146" s="48" t="s">
        <v>254</v>
      </c>
      <c r="G146" s="47" t="s">
        <v>251</v>
      </c>
      <c r="H146" s="47" t="s">
        <v>42</v>
      </c>
      <c r="I146" s="47" t="s">
        <v>43</v>
      </c>
      <c r="J146" s="48" t="s">
        <v>240</v>
      </c>
      <c r="K146" s="51" t="s">
        <v>142</v>
      </c>
      <c r="L146" s="51" t="s">
        <v>256</v>
      </c>
      <c r="M146" s="46" t="s">
        <v>29</v>
      </c>
      <c r="N146" s="48" t="s">
        <v>165</v>
      </c>
      <c r="O146" s="46" t="s">
        <v>33</v>
      </c>
      <c r="P146" s="13">
        <v>50.39</v>
      </c>
      <c r="Q146" s="36">
        <f t="shared" si="24"/>
        <v>0.41095455447509421</v>
      </c>
      <c r="R146" s="37">
        <f t="shared" si="25"/>
        <v>29.682000000000002</v>
      </c>
      <c r="S146" s="42">
        <v>0.15</v>
      </c>
      <c r="T146" s="43">
        <v>34.92</v>
      </c>
      <c r="U146" s="37">
        <f t="shared" si="26"/>
        <v>20.707999999999998</v>
      </c>
      <c r="V146" s="38" t="str">
        <f t="shared" si="27"/>
        <v>1005820531521987361540</v>
      </c>
      <c r="W146" s="39">
        <v>44531</v>
      </c>
      <c r="X146" s="40"/>
      <c r="Y146" s="44">
        <v>19.5</v>
      </c>
      <c r="Z146" s="45">
        <f t="shared" si="28"/>
        <v>403.80599999999998</v>
      </c>
      <c r="AA146" s="62">
        <f>(16+16+4+8+22+12)/4</f>
        <v>19.5</v>
      </c>
      <c r="AB146" s="63">
        <f t="shared" si="29"/>
        <v>403.80599999999998</v>
      </c>
      <c r="AC146" s="62" t="s">
        <v>319</v>
      </c>
      <c r="AD146" s="62">
        <f t="shared" si="30"/>
        <v>0</v>
      </c>
      <c r="AE146" s="6"/>
    </row>
    <row r="147" spans="1:31" s="12" customFormat="1" x14ac:dyDescent="0.2">
      <c r="A147" s="41"/>
      <c r="B147" s="46" t="s">
        <v>27</v>
      </c>
      <c r="C147" s="46" t="s">
        <v>60</v>
      </c>
      <c r="D147" s="46" t="s">
        <v>69</v>
      </c>
      <c r="E147" s="48" t="s">
        <v>254</v>
      </c>
      <c r="F147" s="48" t="s">
        <v>254</v>
      </c>
      <c r="G147" s="47" t="s">
        <v>251</v>
      </c>
      <c r="H147" s="47" t="s">
        <v>42</v>
      </c>
      <c r="I147" s="47" t="s">
        <v>43</v>
      </c>
      <c r="J147" s="48" t="s">
        <v>240</v>
      </c>
      <c r="K147" s="51" t="s">
        <v>142</v>
      </c>
      <c r="L147" s="51" t="s">
        <v>256</v>
      </c>
      <c r="M147" s="46" t="s">
        <v>34</v>
      </c>
      <c r="N147" s="48" t="s">
        <v>181</v>
      </c>
      <c r="O147" s="46" t="s">
        <v>56</v>
      </c>
      <c r="P147" s="13">
        <v>116.69</v>
      </c>
      <c r="Q147" s="36">
        <f t="shared" si="24"/>
        <v>0.18838803667837867</v>
      </c>
      <c r="R147" s="37">
        <f t="shared" si="25"/>
        <v>94.706999999999994</v>
      </c>
      <c r="S147" s="42">
        <v>0.15</v>
      </c>
      <c r="T147" s="43">
        <v>111.42</v>
      </c>
      <c r="U147" s="37">
        <f t="shared" si="26"/>
        <v>21.983000000000004</v>
      </c>
      <c r="V147" s="38" t="str">
        <f t="shared" si="27"/>
        <v>1005820531521987361530</v>
      </c>
      <c r="W147" s="39">
        <v>44531</v>
      </c>
      <c r="X147" s="40"/>
      <c r="Y147" s="44"/>
      <c r="Z147" s="45">
        <f t="shared" si="28"/>
        <v>0</v>
      </c>
      <c r="AA147" s="62"/>
      <c r="AB147" s="63">
        <f t="shared" si="29"/>
        <v>0</v>
      </c>
      <c r="AC147" s="62"/>
      <c r="AD147" s="62">
        <f t="shared" si="30"/>
        <v>0</v>
      </c>
      <c r="AE147" s="6"/>
    </row>
    <row r="148" spans="1:31" s="12" customFormat="1" x14ac:dyDescent="0.2">
      <c r="A148" s="41"/>
      <c r="B148" s="46" t="s">
        <v>27</v>
      </c>
      <c r="C148" s="46" t="s">
        <v>60</v>
      </c>
      <c r="D148" s="46" t="s">
        <v>69</v>
      </c>
      <c r="E148" s="48" t="s">
        <v>254</v>
      </c>
      <c r="F148" s="48" t="s">
        <v>254</v>
      </c>
      <c r="G148" s="47" t="s">
        <v>255</v>
      </c>
      <c r="H148" s="47" t="s">
        <v>44</v>
      </c>
      <c r="I148" s="47" t="s">
        <v>263</v>
      </c>
      <c r="J148" s="48" t="s">
        <v>241</v>
      </c>
      <c r="K148" s="51" t="s">
        <v>143</v>
      </c>
      <c r="L148" s="51" t="s">
        <v>256</v>
      </c>
      <c r="M148" s="46" t="s">
        <v>29</v>
      </c>
      <c r="N148" s="48" t="s">
        <v>162</v>
      </c>
      <c r="O148" s="46" t="s">
        <v>31</v>
      </c>
      <c r="P148" s="13">
        <v>25.86</v>
      </c>
      <c r="Q148" s="36">
        <f t="shared" si="24"/>
        <v>0.16511987625676716</v>
      </c>
      <c r="R148" s="37">
        <f t="shared" si="25"/>
        <v>21.59</v>
      </c>
      <c r="S148" s="42">
        <v>0.15</v>
      </c>
      <c r="T148" s="43">
        <v>25.400000000000002</v>
      </c>
      <c r="U148" s="37">
        <f t="shared" si="26"/>
        <v>4.2699999999999996</v>
      </c>
      <c r="V148" s="38" t="str">
        <f t="shared" si="27"/>
        <v>1005820335315759361571</v>
      </c>
      <c r="W148" s="39">
        <v>44531</v>
      </c>
      <c r="X148" s="40"/>
      <c r="Y148" s="44"/>
      <c r="Z148" s="45">
        <f t="shared" si="28"/>
        <v>0</v>
      </c>
      <c r="AA148" s="62"/>
      <c r="AB148" s="63">
        <f t="shared" si="29"/>
        <v>0</v>
      </c>
      <c r="AC148" s="62"/>
      <c r="AD148" s="62">
        <f t="shared" si="30"/>
        <v>0</v>
      </c>
      <c r="AE148" s="6"/>
    </row>
    <row r="149" spans="1:31" s="12" customFormat="1" x14ac:dyDescent="0.2">
      <c r="A149" s="41"/>
      <c r="B149" s="46" t="s">
        <v>27</v>
      </c>
      <c r="C149" s="46" t="s">
        <v>60</v>
      </c>
      <c r="D149" s="46" t="s">
        <v>69</v>
      </c>
      <c r="E149" s="48" t="s">
        <v>254</v>
      </c>
      <c r="F149" s="48" t="s">
        <v>254</v>
      </c>
      <c r="G149" s="47" t="s">
        <v>255</v>
      </c>
      <c r="H149" s="47" t="s">
        <v>44</v>
      </c>
      <c r="I149" s="47" t="s">
        <v>263</v>
      </c>
      <c r="J149" s="48" t="s">
        <v>241</v>
      </c>
      <c r="K149" s="51" t="s">
        <v>143</v>
      </c>
      <c r="L149" s="51" t="s">
        <v>256</v>
      </c>
      <c r="M149" s="46" t="s">
        <v>34</v>
      </c>
      <c r="N149" s="48" t="s">
        <v>173</v>
      </c>
      <c r="O149" s="46" t="s">
        <v>47</v>
      </c>
      <c r="P149" s="13">
        <v>41.42</v>
      </c>
      <c r="Q149" s="36">
        <f t="shared" si="24"/>
        <v>0.49722356349589569</v>
      </c>
      <c r="R149" s="37">
        <f t="shared" si="25"/>
        <v>20.824999999999999</v>
      </c>
      <c r="S149" s="42">
        <v>0.15</v>
      </c>
      <c r="T149" s="43">
        <v>24.5</v>
      </c>
      <c r="U149" s="37">
        <f t="shared" si="26"/>
        <v>20.595000000000002</v>
      </c>
      <c r="V149" s="38" t="str">
        <f t="shared" si="27"/>
        <v>1005820335315759361535</v>
      </c>
      <c r="W149" s="39">
        <v>44531</v>
      </c>
      <c r="X149" s="40"/>
      <c r="Y149" s="44">
        <v>83</v>
      </c>
      <c r="Z149" s="45">
        <f t="shared" si="28"/>
        <v>1709.3850000000002</v>
      </c>
      <c r="AA149" s="62">
        <f>166/2</f>
        <v>83</v>
      </c>
      <c r="AB149" s="63">
        <f t="shared" si="29"/>
        <v>1709.3850000000002</v>
      </c>
      <c r="AC149" s="62" t="s">
        <v>319</v>
      </c>
      <c r="AD149" s="62">
        <f t="shared" si="30"/>
        <v>0</v>
      </c>
      <c r="AE149" s="6"/>
    </row>
    <row r="150" spans="1:31" s="12" customFormat="1" x14ac:dyDescent="0.2">
      <c r="A150" s="41"/>
      <c r="B150" s="46" t="s">
        <v>27</v>
      </c>
      <c r="C150" s="46" t="s">
        <v>60</v>
      </c>
      <c r="D150" s="46" t="s">
        <v>69</v>
      </c>
      <c r="E150" s="48" t="s">
        <v>254</v>
      </c>
      <c r="F150" s="48" t="s">
        <v>254</v>
      </c>
      <c r="G150" s="47" t="s">
        <v>255</v>
      </c>
      <c r="H150" s="47" t="s">
        <v>44</v>
      </c>
      <c r="I150" s="47" t="s">
        <v>144</v>
      </c>
      <c r="J150" s="48" t="s">
        <v>160</v>
      </c>
      <c r="K150" s="51" t="s">
        <v>145</v>
      </c>
      <c r="L150" s="51" t="s">
        <v>256</v>
      </c>
      <c r="M150" s="46" t="s">
        <v>29</v>
      </c>
      <c r="N150" s="49" t="s">
        <v>172</v>
      </c>
      <c r="O150" s="50" t="s">
        <v>46</v>
      </c>
      <c r="P150" s="13">
        <v>11.89</v>
      </c>
      <c r="Q150" s="36">
        <f t="shared" si="24"/>
        <v>0.34230445752733396</v>
      </c>
      <c r="R150" s="37">
        <f t="shared" si="25"/>
        <v>7.8199999999999994</v>
      </c>
      <c r="S150" s="42">
        <v>0.15</v>
      </c>
      <c r="T150" s="43">
        <v>9.1999999999999993</v>
      </c>
      <c r="U150" s="37">
        <f t="shared" si="26"/>
        <v>4.0700000000000012</v>
      </c>
      <c r="V150" s="38" t="str">
        <f t="shared" si="27"/>
        <v>1005820259829594361085</v>
      </c>
      <c r="W150" s="39">
        <v>44531</v>
      </c>
      <c r="X150" s="40"/>
      <c r="Y150" s="44"/>
      <c r="Z150" s="45">
        <f t="shared" si="28"/>
        <v>0</v>
      </c>
      <c r="AA150" s="62"/>
      <c r="AB150" s="63">
        <f t="shared" si="29"/>
        <v>0</v>
      </c>
      <c r="AC150" s="62"/>
      <c r="AD150" s="62">
        <f t="shared" si="30"/>
        <v>0</v>
      </c>
      <c r="AE150" s="6"/>
    </row>
    <row r="151" spans="1:31" s="12" customFormat="1" x14ac:dyDescent="0.2">
      <c r="A151" s="41"/>
      <c r="B151" s="46" t="s">
        <v>27</v>
      </c>
      <c r="C151" s="46" t="s">
        <v>60</v>
      </c>
      <c r="D151" s="46" t="s">
        <v>69</v>
      </c>
      <c r="E151" s="48" t="s">
        <v>254</v>
      </c>
      <c r="F151" s="48" t="s">
        <v>254</v>
      </c>
      <c r="G151" s="47" t="s">
        <v>255</v>
      </c>
      <c r="H151" s="47" t="s">
        <v>44</v>
      </c>
      <c r="I151" s="47" t="s">
        <v>144</v>
      </c>
      <c r="J151" s="48" t="s">
        <v>160</v>
      </c>
      <c r="K151" s="51" t="s">
        <v>145</v>
      </c>
      <c r="L151" s="51" t="s">
        <v>256</v>
      </c>
      <c r="M151" s="46" t="s">
        <v>29</v>
      </c>
      <c r="N151" s="48" t="s">
        <v>162</v>
      </c>
      <c r="O151" s="46" t="s">
        <v>31</v>
      </c>
      <c r="P151" s="13">
        <v>25.86</v>
      </c>
      <c r="Q151" s="36">
        <f t="shared" si="24"/>
        <v>0.17432327919566892</v>
      </c>
      <c r="R151" s="37">
        <f t="shared" si="25"/>
        <v>21.352</v>
      </c>
      <c r="S151" s="42">
        <v>0.15</v>
      </c>
      <c r="T151" s="43">
        <v>25.12</v>
      </c>
      <c r="U151" s="37">
        <f t="shared" si="26"/>
        <v>4.5079999999999991</v>
      </c>
      <c r="V151" s="38" t="str">
        <f t="shared" si="27"/>
        <v>1005820259829594361571</v>
      </c>
      <c r="W151" s="39">
        <v>44531</v>
      </c>
      <c r="X151" s="40"/>
      <c r="Y151" s="44"/>
      <c r="Z151" s="45">
        <f t="shared" si="28"/>
        <v>0</v>
      </c>
      <c r="AA151" s="62"/>
      <c r="AB151" s="63">
        <f t="shared" si="29"/>
        <v>0</v>
      </c>
      <c r="AC151" s="62"/>
      <c r="AD151" s="62">
        <f t="shared" si="30"/>
        <v>0</v>
      </c>
      <c r="AE151" s="6"/>
    </row>
    <row r="152" spans="1:31" s="12" customFormat="1" x14ac:dyDescent="0.2">
      <c r="A152" s="41"/>
      <c r="B152" s="46" t="s">
        <v>27</v>
      </c>
      <c r="C152" s="46" t="s">
        <v>60</v>
      </c>
      <c r="D152" s="46" t="s">
        <v>69</v>
      </c>
      <c r="E152" s="48" t="s">
        <v>254</v>
      </c>
      <c r="F152" s="48" t="s">
        <v>254</v>
      </c>
      <c r="G152" s="47" t="s">
        <v>255</v>
      </c>
      <c r="H152" s="47" t="s">
        <v>44</v>
      </c>
      <c r="I152" s="47" t="s">
        <v>144</v>
      </c>
      <c r="J152" s="48" t="s">
        <v>160</v>
      </c>
      <c r="K152" s="51" t="s">
        <v>145</v>
      </c>
      <c r="L152" s="51" t="s">
        <v>256</v>
      </c>
      <c r="M152" s="46" t="s">
        <v>34</v>
      </c>
      <c r="N152" s="48" t="s">
        <v>167</v>
      </c>
      <c r="O152" s="46" t="s">
        <v>36</v>
      </c>
      <c r="P152" s="13">
        <v>26.44</v>
      </c>
      <c r="Q152" s="36">
        <f t="shared" si="24"/>
        <v>0.33581694402420581</v>
      </c>
      <c r="R152" s="37">
        <f t="shared" si="25"/>
        <v>17.561</v>
      </c>
      <c r="S152" s="42">
        <v>0.15</v>
      </c>
      <c r="T152" s="43">
        <v>20.66</v>
      </c>
      <c r="U152" s="37">
        <f t="shared" si="26"/>
        <v>8.8790000000000013</v>
      </c>
      <c r="V152" s="38" t="str">
        <f t="shared" si="27"/>
        <v>1005820259829594361532</v>
      </c>
      <c r="W152" s="39">
        <v>44531</v>
      </c>
      <c r="X152" s="40"/>
      <c r="Y152" s="44">
        <v>122.5</v>
      </c>
      <c r="Z152" s="45">
        <f t="shared" si="28"/>
        <v>1087.6775000000002</v>
      </c>
      <c r="AA152" s="62">
        <f>(200+45)/2</f>
        <v>122.5</v>
      </c>
      <c r="AB152" s="63">
        <f t="shared" si="29"/>
        <v>1087.6775000000002</v>
      </c>
      <c r="AC152" s="62" t="s">
        <v>319</v>
      </c>
      <c r="AD152" s="62">
        <f t="shared" si="30"/>
        <v>0</v>
      </c>
      <c r="AE152" s="6"/>
    </row>
    <row r="153" spans="1:31" s="12" customFormat="1" x14ac:dyDescent="0.2">
      <c r="A153" s="41"/>
      <c r="B153" s="46" t="s">
        <v>27</v>
      </c>
      <c r="C153" s="46" t="s">
        <v>60</v>
      </c>
      <c r="D153" s="46" t="s">
        <v>69</v>
      </c>
      <c r="E153" s="48" t="s">
        <v>254</v>
      </c>
      <c r="F153" s="48" t="s">
        <v>254</v>
      </c>
      <c r="G153" s="47" t="s">
        <v>253</v>
      </c>
      <c r="H153" s="47" t="s">
        <v>44</v>
      </c>
      <c r="I153" s="47" t="s">
        <v>59</v>
      </c>
      <c r="J153" s="48" t="s">
        <v>242</v>
      </c>
      <c r="K153" s="51" t="s">
        <v>146</v>
      </c>
      <c r="L153" s="51" t="s">
        <v>256</v>
      </c>
      <c r="M153" s="46" t="s">
        <v>29</v>
      </c>
      <c r="N153" s="48" t="s">
        <v>162</v>
      </c>
      <c r="O153" s="46" t="s">
        <v>31</v>
      </c>
      <c r="P153" s="13">
        <v>25.86</v>
      </c>
      <c r="Q153" s="36">
        <f t="shared" si="24"/>
        <v>0.15197215777262185</v>
      </c>
      <c r="R153" s="37">
        <f t="shared" si="25"/>
        <v>21.93</v>
      </c>
      <c r="S153" s="42">
        <v>0.15</v>
      </c>
      <c r="T153" s="43">
        <v>25.8</v>
      </c>
      <c r="U153" s="37">
        <f t="shared" si="26"/>
        <v>3.9299999999999997</v>
      </c>
      <c r="V153" s="38" t="str">
        <f t="shared" si="27"/>
        <v>1005820136222725361571</v>
      </c>
      <c r="W153" s="39">
        <v>44531</v>
      </c>
      <c r="X153" s="40"/>
      <c r="Y153" s="44">
        <v>62.5</v>
      </c>
      <c r="Z153" s="45">
        <f t="shared" si="28"/>
        <v>245.62499999999997</v>
      </c>
      <c r="AA153" s="62">
        <f>(150+100)/4</f>
        <v>62.5</v>
      </c>
      <c r="AB153" s="63">
        <f t="shared" si="29"/>
        <v>245.62499999999997</v>
      </c>
      <c r="AC153" s="62" t="s">
        <v>319</v>
      </c>
      <c r="AD153" s="62">
        <f t="shared" si="30"/>
        <v>0</v>
      </c>
      <c r="AE153" s="6"/>
    </row>
    <row r="154" spans="1:31" s="12" customFormat="1" x14ac:dyDescent="0.2">
      <c r="A154" s="41"/>
      <c r="B154" s="46" t="s">
        <v>27</v>
      </c>
      <c r="C154" s="46" t="s">
        <v>60</v>
      </c>
      <c r="D154" s="46" t="s">
        <v>69</v>
      </c>
      <c r="E154" s="48" t="s">
        <v>254</v>
      </c>
      <c r="F154" s="48" t="s">
        <v>254</v>
      </c>
      <c r="G154" s="47" t="s">
        <v>253</v>
      </c>
      <c r="H154" s="47" t="s">
        <v>44</v>
      </c>
      <c r="I154" s="47" t="s">
        <v>59</v>
      </c>
      <c r="J154" s="48" t="s">
        <v>242</v>
      </c>
      <c r="K154" s="51" t="s">
        <v>146</v>
      </c>
      <c r="L154" s="51" t="s">
        <v>256</v>
      </c>
      <c r="M154" s="46" t="s">
        <v>34</v>
      </c>
      <c r="N154" s="48" t="s">
        <v>167</v>
      </c>
      <c r="O154" s="46" t="s">
        <v>36</v>
      </c>
      <c r="P154" s="13">
        <v>26.44</v>
      </c>
      <c r="Q154" s="36">
        <f t="shared" si="24"/>
        <v>0.20272314674735259</v>
      </c>
      <c r="R154" s="37">
        <f t="shared" si="25"/>
        <v>21.08</v>
      </c>
      <c r="S154" s="42">
        <v>0.15</v>
      </c>
      <c r="T154" s="43">
        <v>24.799999999999997</v>
      </c>
      <c r="U154" s="37">
        <f t="shared" si="26"/>
        <v>5.360000000000003</v>
      </c>
      <c r="V154" s="38" t="str">
        <f t="shared" si="27"/>
        <v>1005820136222725361532</v>
      </c>
      <c r="W154" s="39">
        <v>44531</v>
      </c>
      <c r="X154" s="40"/>
      <c r="Y154" s="44">
        <v>135</v>
      </c>
      <c r="Z154" s="45">
        <f t="shared" si="28"/>
        <v>723.60000000000036</v>
      </c>
      <c r="AA154" s="62">
        <f>(150+120)/2</f>
        <v>135</v>
      </c>
      <c r="AB154" s="63">
        <f t="shared" si="29"/>
        <v>723.60000000000036</v>
      </c>
      <c r="AC154" s="62" t="s">
        <v>319</v>
      </c>
      <c r="AD154" s="62">
        <f t="shared" si="30"/>
        <v>0</v>
      </c>
      <c r="AE154" s="6"/>
    </row>
    <row r="155" spans="1:31" s="12" customFormat="1" x14ac:dyDescent="0.2">
      <c r="A155" s="41"/>
      <c r="B155" s="46" t="s">
        <v>27</v>
      </c>
      <c r="C155" s="46" t="s">
        <v>60</v>
      </c>
      <c r="D155" s="46" t="s">
        <v>69</v>
      </c>
      <c r="E155" s="48" t="s">
        <v>254</v>
      </c>
      <c r="F155" s="48" t="s">
        <v>254</v>
      </c>
      <c r="G155" s="47" t="s">
        <v>251</v>
      </c>
      <c r="H155" s="47" t="s">
        <v>58</v>
      </c>
      <c r="I155" s="47" t="s">
        <v>147</v>
      </c>
      <c r="J155" s="48" t="s">
        <v>243</v>
      </c>
      <c r="K155" s="51" t="s">
        <v>148</v>
      </c>
      <c r="L155" s="51" t="s">
        <v>256</v>
      </c>
      <c r="M155" s="46" t="s">
        <v>29</v>
      </c>
      <c r="N155" s="48" t="s">
        <v>162</v>
      </c>
      <c r="O155" s="46" t="s">
        <v>31</v>
      </c>
      <c r="P155" s="13">
        <v>25.86</v>
      </c>
      <c r="Q155" s="36">
        <f t="shared" si="24"/>
        <v>2.706883217324052E-2</v>
      </c>
      <c r="R155" s="37">
        <f t="shared" si="25"/>
        <v>25.16</v>
      </c>
      <c r="S155" s="42">
        <v>0.15</v>
      </c>
      <c r="T155" s="43">
        <v>29.6</v>
      </c>
      <c r="U155" s="37">
        <f t="shared" si="26"/>
        <v>0.69999999999999929</v>
      </c>
      <c r="V155" s="38" t="str">
        <f t="shared" si="27"/>
        <v>1005820117920144361571</v>
      </c>
      <c r="W155" s="39">
        <v>44531</v>
      </c>
      <c r="X155" s="40"/>
      <c r="Y155" s="44"/>
      <c r="Z155" s="45">
        <f t="shared" si="28"/>
        <v>0</v>
      </c>
      <c r="AA155" s="62"/>
      <c r="AB155" s="63">
        <f t="shared" si="29"/>
        <v>0</v>
      </c>
      <c r="AC155" s="62"/>
      <c r="AD155" s="62">
        <f t="shared" si="30"/>
        <v>0</v>
      </c>
      <c r="AE155" s="6"/>
    </row>
    <row r="156" spans="1:31" s="12" customFormat="1" x14ac:dyDescent="0.2">
      <c r="A156" s="41"/>
      <c r="B156" s="46" t="s">
        <v>27</v>
      </c>
      <c r="C156" s="46" t="s">
        <v>60</v>
      </c>
      <c r="D156" s="46" t="s">
        <v>69</v>
      </c>
      <c r="E156" s="48" t="s">
        <v>254</v>
      </c>
      <c r="F156" s="48" t="s">
        <v>254</v>
      </c>
      <c r="G156" s="47" t="s">
        <v>251</v>
      </c>
      <c r="H156" s="47" t="s">
        <v>58</v>
      </c>
      <c r="I156" s="47" t="s">
        <v>147</v>
      </c>
      <c r="J156" s="48" t="s">
        <v>243</v>
      </c>
      <c r="K156" s="51" t="s">
        <v>148</v>
      </c>
      <c r="L156" s="51" t="s">
        <v>256</v>
      </c>
      <c r="M156" s="46" t="s">
        <v>34</v>
      </c>
      <c r="N156" s="48" t="s">
        <v>167</v>
      </c>
      <c r="O156" s="46" t="s">
        <v>36</v>
      </c>
      <c r="P156" s="13">
        <v>26.44</v>
      </c>
      <c r="Q156" s="36">
        <f t="shared" si="24"/>
        <v>0.24130105900151277</v>
      </c>
      <c r="R156" s="37">
        <f t="shared" si="25"/>
        <v>20.060000000000002</v>
      </c>
      <c r="S156" s="42">
        <v>0.15</v>
      </c>
      <c r="T156" s="43">
        <v>23.600000000000005</v>
      </c>
      <c r="U156" s="37">
        <f t="shared" si="26"/>
        <v>6.379999999999999</v>
      </c>
      <c r="V156" s="38" t="str">
        <f t="shared" si="27"/>
        <v>1005820117920144361532</v>
      </c>
      <c r="W156" s="39">
        <v>44531</v>
      </c>
      <c r="X156" s="40"/>
      <c r="Y156" s="44"/>
      <c r="Z156" s="45">
        <f t="shared" si="28"/>
        <v>0</v>
      </c>
      <c r="AA156" s="62"/>
      <c r="AB156" s="63">
        <f t="shared" si="29"/>
        <v>0</v>
      </c>
      <c r="AC156" s="62"/>
      <c r="AD156" s="62">
        <f t="shared" si="30"/>
        <v>0</v>
      </c>
      <c r="AE156" s="6"/>
    </row>
    <row r="157" spans="1:31" s="12" customFormat="1" x14ac:dyDescent="0.2">
      <c r="A157" s="41"/>
      <c r="B157" s="46" t="s">
        <v>27</v>
      </c>
      <c r="C157" s="46" t="s">
        <v>60</v>
      </c>
      <c r="D157" s="46" t="s">
        <v>69</v>
      </c>
      <c r="E157" s="48" t="s">
        <v>254</v>
      </c>
      <c r="F157" s="48" t="s">
        <v>254</v>
      </c>
      <c r="G157" s="47" t="s">
        <v>251</v>
      </c>
      <c r="H157" s="47" t="s">
        <v>58</v>
      </c>
      <c r="I157" s="47" t="s">
        <v>65</v>
      </c>
      <c r="J157" s="48" t="s">
        <v>244</v>
      </c>
      <c r="K157" s="51" t="s">
        <v>149</v>
      </c>
      <c r="L157" s="51" t="s">
        <v>256</v>
      </c>
      <c r="M157" s="46" t="s">
        <v>29</v>
      </c>
      <c r="N157" s="48" t="s">
        <v>162</v>
      </c>
      <c r="O157" s="46" t="s">
        <v>31</v>
      </c>
      <c r="P157" s="13">
        <v>25.86</v>
      </c>
      <c r="Q157" s="36">
        <f t="shared" si="24"/>
        <v>0.13356535189481833</v>
      </c>
      <c r="R157" s="37">
        <f t="shared" si="25"/>
        <v>22.405999999999999</v>
      </c>
      <c r="S157" s="42">
        <v>0.15</v>
      </c>
      <c r="T157" s="43">
        <v>26.36</v>
      </c>
      <c r="U157" s="37">
        <f t="shared" si="26"/>
        <v>3.4540000000000006</v>
      </c>
      <c r="V157" s="38" t="str">
        <f t="shared" si="27"/>
        <v>1005820340144938361571</v>
      </c>
      <c r="W157" s="39">
        <v>44531</v>
      </c>
      <c r="X157" s="40"/>
      <c r="Y157" s="44">
        <v>75</v>
      </c>
      <c r="Z157" s="45">
        <f t="shared" si="28"/>
        <v>259.05000000000007</v>
      </c>
      <c r="AA157" s="62">
        <f>300/4</f>
        <v>75</v>
      </c>
      <c r="AB157" s="63">
        <f t="shared" si="29"/>
        <v>259.05000000000007</v>
      </c>
      <c r="AC157" s="62" t="s">
        <v>319</v>
      </c>
      <c r="AD157" s="62">
        <f t="shared" si="30"/>
        <v>0</v>
      </c>
      <c r="AE157" s="6"/>
    </row>
    <row r="158" spans="1:31" s="12" customFormat="1" x14ac:dyDescent="0.2">
      <c r="A158" s="41"/>
      <c r="B158" s="46" t="s">
        <v>27</v>
      </c>
      <c r="C158" s="46" t="s">
        <v>60</v>
      </c>
      <c r="D158" s="46" t="s">
        <v>69</v>
      </c>
      <c r="E158" s="48" t="s">
        <v>254</v>
      </c>
      <c r="F158" s="48" t="s">
        <v>254</v>
      </c>
      <c r="G158" s="47" t="s">
        <v>251</v>
      </c>
      <c r="H158" s="47" t="s">
        <v>58</v>
      </c>
      <c r="I158" s="47" t="s">
        <v>65</v>
      </c>
      <c r="J158" s="48" t="s">
        <v>244</v>
      </c>
      <c r="K158" s="51" t="s">
        <v>149</v>
      </c>
      <c r="L158" s="51" t="s">
        <v>256</v>
      </c>
      <c r="M158" s="46" t="s">
        <v>29</v>
      </c>
      <c r="N158" s="48" t="s">
        <v>165</v>
      </c>
      <c r="O158" s="46" t="s">
        <v>33</v>
      </c>
      <c r="P158" s="13">
        <v>50.39</v>
      </c>
      <c r="Q158" s="36">
        <f t="shared" si="24"/>
        <v>0.19368922405239142</v>
      </c>
      <c r="R158" s="37">
        <f t="shared" si="25"/>
        <v>40.629999999999995</v>
      </c>
      <c r="S158" s="42">
        <v>0.15</v>
      </c>
      <c r="T158" s="43">
        <v>47.8</v>
      </c>
      <c r="U158" s="37">
        <f t="shared" si="26"/>
        <v>9.7600000000000051</v>
      </c>
      <c r="V158" s="38" t="str">
        <f t="shared" si="27"/>
        <v>1005820340144938361540</v>
      </c>
      <c r="W158" s="39">
        <v>44531</v>
      </c>
      <c r="X158" s="40"/>
      <c r="Y158" s="44"/>
      <c r="Z158" s="45">
        <f t="shared" si="28"/>
        <v>0</v>
      </c>
      <c r="AA158" s="62"/>
      <c r="AB158" s="63">
        <f t="shared" si="29"/>
        <v>0</v>
      </c>
      <c r="AC158" s="62"/>
      <c r="AD158" s="62">
        <f t="shared" si="30"/>
        <v>0</v>
      </c>
      <c r="AE158" s="6"/>
    </row>
    <row r="159" spans="1:31" s="12" customFormat="1" x14ac:dyDescent="0.2">
      <c r="A159" s="41"/>
      <c r="B159" s="46" t="s">
        <v>27</v>
      </c>
      <c r="C159" s="46" t="s">
        <v>60</v>
      </c>
      <c r="D159" s="46" t="s">
        <v>69</v>
      </c>
      <c r="E159" s="48" t="s">
        <v>254</v>
      </c>
      <c r="F159" s="48" t="s">
        <v>254</v>
      </c>
      <c r="G159" s="47" t="s">
        <v>251</v>
      </c>
      <c r="H159" s="47" t="s">
        <v>58</v>
      </c>
      <c r="I159" s="47" t="s">
        <v>65</v>
      </c>
      <c r="J159" s="48" t="s">
        <v>244</v>
      </c>
      <c r="K159" s="51" t="s">
        <v>149</v>
      </c>
      <c r="L159" s="51" t="s">
        <v>256</v>
      </c>
      <c r="M159" s="46" t="s">
        <v>34</v>
      </c>
      <c r="N159" s="48" t="s">
        <v>177</v>
      </c>
      <c r="O159" s="46" t="s">
        <v>52</v>
      </c>
      <c r="P159" s="13">
        <v>77.8</v>
      </c>
      <c r="Q159" s="36">
        <f t="shared" si="24"/>
        <v>0.24614395886889462</v>
      </c>
      <c r="R159" s="37">
        <f t="shared" si="25"/>
        <v>58.65</v>
      </c>
      <c r="S159" s="42">
        <v>0.15</v>
      </c>
      <c r="T159" s="43">
        <v>69</v>
      </c>
      <c r="U159" s="37">
        <f t="shared" si="26"/>
        <v>19.149999999999999</v>
      </c>
      <c r="V159" s="38" t="str">
        <f t="shared" si="27"/>
        <v>1005820340144938361537</v>
      </c>
      <c r="W159" s="39">
        <v>44531</v>
      </c>
      <c r="X159" s="40"/>
      <c r="Y159" s="44"/>
      <c r="Z159" s="45">
        <f t="shared" si="28"/>
        <v>0</v>
      </c>
      <c r="AA159" s="62"/>
      <c r="AB159" s="63">
        <f t="shared" si="29"/>
        <v>0</v>
      </c>
      <c r="AC159" s="62"/>
      <c r="AD159" s="62">
        <f t="shared" si="30"/>
        <v>0</v>
      </c>
      <c r="AE159" s="6"/>
    </row>
    <row r="160" spans="1:31" s="12" customFormat="1" x14ac:dyDescent="0.2">
      <c r="A160" s="41"/>
      <c r="B160" s="46" t="s">
        <v>27</v>
      </c>
      <c r="C160" s="46" t="s">
        <v>60</v>
      </c>
      <c r="D160" s="46" t="s">
        <v>69</v>
      </c>
      <c r="E160" s="48" t="s">
        <v>254</v>
      </c>
      <c r="F160" s="48" t="s">
        <v>254</v>
      </c>
      <c r="G160" s="47" t="s">
        <v>260</v>
      </c>
      <c r="H160" s="47" t="s">
        <v>44</v>
      </c>
      <c r="I160" s="47" t="s">
        <v>261</v>
      </c>
      <c r="J160" s="48" t="s">
        <v>245</v>
      </c>
      <c r="K160" s="51" t="s">
        <v>150</v>
      </c>
      <c r="L160" s="51" t="s">
        <v>256</v>
      </c>
      <c r="M160" s="46" t="s">
        <v>29</v>
      </c>
      <c r="N160" s="48" t="s">
        <v>164</v>
      </c>
      <c r="O160" s="46" t="s">
        <v>32</v>
      </c>
      <c r="P160" s="13">
        <v>56.91</v>
      </c>
      <c r="Q160" s="36">
        <f t="shared" si="24"/>
        <v>0.24275171323141809</v>
      </c>
      <c r="R160" s="37">
        <f t="shared" si="25"/>
        <v>43.094999999999992</v>
      </c>
      <c r="S160" s="42">
        <v>0.15</v>
      </c>
      <c r="T160" s="43">
        <v>50.699999999999989</v>
      </c>
      <c r="U160" s="37">
        <f t="shared" si="26"/>
        <v>13.815000000000005</v>
      </c>
      <c r="V160" s="38" t="str">
        <f t="shared" si="27"/>
        <v>1005820100147514361377</v>
      </c>
      <c r="W160" s="39">
        <v>44531</v>
      </c>
      <c r="X160" s="40"/>
      <c r="Y160" s="44">
        <v>11.67</v>
      </c>
      <c r="Z160" s="45">
        <f t="shared" si="28"/>
        <v>161.22105000000005</v>
      </c>
      <c r="AA160" s="62">
        <v>11.67</v>
      </c>
      <c r="AB160" s="63">
        <f t="shared" si="29"/>
        <v>161.22105000000005</v>
      </c>
      <c r="AC160" s="62" t="s">
        <v>319</v>
      </c>
      <c r="AD160" s="62">
        <f t="shared" si="30"/>
        <v>0</v>
      </c>
      <c r="AE160" s="6"/>
    </row>
    <row r="161" spans="1:31" s="12" customFormat="1" x14ac:dyDescent="0.2">
      <c r="A161" s="41"/>
      <c r="B161" s="46" t="s">
        <v>27</v>
      </c>
      <c r="C161" s="46" t="s">
        <v>60</v>
      </c>
      <c r="D161" s="46" t="s">
        <v>69</v>
      </c>
      <c r="E161" s="48" t="s">
        <v>254</v>
      </c>
      <c r="F161" s="48" t="s">
        <v>254</v>
      </c>
      <c r="G161" s="47" t="s">
        <v>260</v>
      </c>
      <c r="H161" s="47" t="s">
        <v>44</v>
      </c>
      <c r="I161" s="47" t="s">
        <v>261</v>
      </c>
      <c r="J161" s="48" t="s">
        <v>245</v>
      </c>
      <c r="K161" s="51" t="s">
        <v>150</v>
      </c>
      <c r="L161" s="51" t="s">
        <v>256</v>
      </c>
      <c r="M161" s="46" t="s">
        <v>29</v>
      </c>
      <c r="N161" s="48" t="s">
        <v>165</v>
      </c>
      <c r="O161" s="46" t="s">
        <v>33</v>
      </c>
      <c r="P161" s="13">
        <v>50.39</v>
      </c>
      <c r="Q161" s="36">
        <f t="shared" si="24"/>
        <v>0.30839452272276247</v>
      </c>
      <c r="R161" s="37">
        <f t="shared" si="25"/>
        <v>34.85</v>
      </c>
      <c r="S161" s="42">
        <v>0.15</v>
      </c>
      <c r="T161" s="43">
        <v>41</v>
      </c>
      <c r="U161" s="37">
        <f t="shared" si="26"/>
        <v>15.54</v>
      </c>
      <c r="V161" s="38" t="str">
        <f t="shared" si="27"/>
        <v>1005820100147514361540</v>
      </c>
      <c r="W161" s="39">
        <v>44531</v>
      </c>
      <c r="X161" s="40"/>
      <c r="Y161" s="44">
        <v>62.5</v>
      </c>
      <c r="Z161" s="45">
        <f t="shared" si="28"/>
        <v>971.25</v>
      </c>
      <c r="AA161" s="62">
        <f>250/4</f>
        <v>62.5</v>
      </c>
      <c r="AB161" s="63">
        <f t="shared" si="29"/>
        <v>971.25</v>
      </c>
      <c r="AC161" s="62" t="s">
        <v>319</v>
      </c>
      <c r="AD161" s="62">
        <f t="shared" si="30"/>
        <v>0</v>
      </c>
      <c r="AE161" s="6"/>
    </row>
    <row r="162" spans="1:31" s="12" customFormat="1" x14ac:dyDescent="0.2">
      <c r="A162" s="41"/>
      <c r="B162" s="46" t="s">
        <v>27</v>
      </c>
      <c r="C162" s="46" t="s">
        <v>60</v>
      </c>
      <c r="D162" s="46" t="s">
        <v>69</v>
      </c>
      <c r="E162" s="48" t="s">
        <v>254</v>
      </c>
      <c r="F162" s="48" t="s">
        <v>254</v>
      </c>
      <c r="G162" s="47" t="s">
        <v>255</v>
      </c>
      <c r="H162" s="47" t="s">
        <v>44</v>
      </c>
      <c r="I162" s="47" t="s">
        <v>61</v>
      </c>
      <c r="J162" s="48" t="s">
        <v>246</v>
      </c>
      <c r="K162" s="51" t="s">
        <v>151</v>
      </c>
      <c r="L162" s="51" t="s">
        <v>256</v>
      </c>
      <c r="M162" s="46" t="s">
        <v>29</v>
      </c>
      <c r="N162" s="48" t="s">
        <v>162</v>
      </c>
      <c r="O162" s="46" t="s">
        <v>31</v>
      </c>
      <c r="P162" s="13">
        <v>25.86</v>
      </c>
      <c r="Q162" s="36">
        <f t="shared" si="24"/>
        <v>0.16511987625676716</v>
      </c>
      <c r="R162" s="37">
        <f t="shared" si="25"/>
        <v>21.59</v>
      </c>
      <c r="S162" s="42">
        <v>0.15</v>
      </c>
      <c r="T162" s="43">
        <v>25.400000000000002</v>
      </c>
      <c r="U162" s="37">
        <f t="shared" si="26"/>
        <v>4.2699999999999996</v>
      </c>
      <c r="V162" s="38" t="str">
        <f t="shared" si="27"/>
        <v>1005820536692399361571</v>
      </c>
      <c r="W162" s="39">
        <v>44531</v>
      </c>
      <c r="X162" s="40"/>
      <c r="Y162" s="44"/>
      <c r="Z162" s="45">
        <f t="shared" si="28"/>
        <v>0</v>
      </c>
      <c r="AA162" s="62"/>
      <c r="AB162" s="63">
        <f t="shared" si="29"/>
        <v>0</v>
      </c>
      <c r="AC162" s="62"/>
      <c r="AD162" s="62">
        <f t="shared" si="30"/>
        <v>0</v>
      </c>
      <c r="AE162" s="6"/>
    </row>
    <row r="163" spans="1:31" s="12" customFormat="1" x14ac:dyDescent="0.2">
      <c r="A163" s="41"/>
      <c r="B163" s="46" t="s">
        <v>27</v>
      </c>
      <c r="C163" s="46" t="s">
        <v>60</v>
      </c>
      <c r="D163" s="46" t="s">
        <v>69</v>
      </c>
      <c r="E163" s="48" t="s">
        <v>254</v>
      </c>
      <c r="F163" s="48" t="s">
        <v>254</v>
      </c>
      <c r="G163" s="47" t="s">
        <v>255</v>
      </c>
      <c r="H163" s="47" t="s">
        <v>44</v>
      </c>
      <c r="I163" s="47" t="s">
        <v>61</v>
      </c>
      <c r="J163" s="48" t="s">
        <v>246</v>
      </c>
      <c r="K163" s="51" t="s">
        <v>151</v>
      </c>
      <c r="L163" s="51" t="s">
        <v>256</v>
      </c>
      <c r="M163" s="46" t="s">
        <v>34</v>
      </c>
      <c r="N163" s="48" t="s">
        <v>173</v>
      </c>
      <c r="O163" s="46" t="s">
        <v>47</v>
      </c>
      <c r="P163" s="13">
        <v>41.42</v>
      </c>
      <c r="Q163" s="36">
        <f t="shared" si="24"/>
        <v>0.49722356349589569</v>
      </c>
      <c r="R163" s="37">
        <f t="shared" si="25"/>
        <v>20.824999999999999</v>
      </c>
      <c r="S163" s="42">
        <v>0.15</v>
      </c>
      <c r="T163" s="43">
        <v>24.5</v>
      </c>
      <c r="U163" s="37">
        <f t="shared" si="26"/>
        <v>20.595000000000002</v>
      </c>
      <c r="V163" s="38" t="str">
        <f t="shared" si="27"/>
        <v>1005820536692399361535</v>
      </c>
      <c r="W163" s="39">
        <v>44531</v>
      </c>
      <c r="X163" s="40"/>
      <c r="Y163" s="44"/>
      <c r="Z163" s="45">
        <f t="shared" si="28"/>
        <v>0</v>
      </c>
      <c r="AA163" s="62"/>
      <c r="AB163" s="63">
        <f t="shared" si="29"/>
        <v>0</v>
      </c>
      <c r="AC163" s="62"/>
      <c r="AD163" s="62">
        <f t="shared" si="30"/>
        <v>0</v>
      </c>
      <c r="AE163" s="6"/>
    </row>
    <row r="164" spans="1:31" s="12" customFormat="1" x14ac:dyDescent="0.2">
      <c r="A164" s="41"/>
      <c r="B164" s="46" t="s">
        <v>27</v>
      </c>
      <c r="C164" s="46" t="s">
        <v>60</v>
      </c>
      <c r="D164" s="46" t="s">
        <v>69</v>
      </c>
      <c r="E164" s="48" t="s">
        <v>254</v>
      </c>
      <c r="F164" s="48" t="s">
        <v>254</v>
      </c>
      <c r="G164" s="47" t="s">
        <v>251</v>
      </c>
      <c r="H164" s="47" t="s">
        <v>68</v>
      </c>
      <c r="I164" s="47" t="s">
        <v>156</v>
      </c>
      <c r="J164" s="48" t="s">
        <v>247</v>
      </c>
      <c r="K164" s="51" t="s">
        <v>152</v>
      </c>
      <c r="L164" s="51" t="s">
        <v>256</v>
      </c>
      <c r="M164" s="46" t="s">
        <v>29</v>
      </c>
      <c r="N164" s="48" t="s">
        <v>162</v>
      </c>
      <c r="O164" s="46" t="s">
        <v>31</v>
      </c>
      <c r="P164" s="13">
        <v>25.86</v>
      </c>
      <c r="Q164" s="36">
        <f t="shared" si="24"/>
        <v>0</v>
      </c>
      <c r="R164" s="37">
        <f t="shared" si="25"/>
        <v>26.452000000000002</v>
      </c>
      <c r="S164" s="42">
        <v>0.15</v>
      </c>
      <c r="T164" s="43">
        <v>31.12</v>
      </c>
      <c r="U164" s="37">
        <f t="shared" si="26"/>
        <v>0</v>
      </c>
      <c r="V164" s="38" t="str">
        <f t="shared" si="27"/>
        <v>1005820172627421361571</v>
      </c>
      <c r="W164" s="39">
        <v>43831</v>
      </c>
      <c r="X164" s="40"/>
      <c r="Y164" s="44"/>
      <c r="Z164" s="45">
        <f t="shared" si="28"/>
        <v>0</v>
      </c>
      <c r="AA164" s="62"/>
      <c r="AB164" s="63">
        <f t="shared" si="29"/>
        <v>0</v>
      </c>
      <c r="AC164" s="62"/>
      <c r="AD164" s="62">
        <f t="shared" si="30"/>
        <v>0</v>
      </c>
      <c r="AE164" s="6"/>
    </row>
    <row r="165" spans="1:31" s="12" customFormat="1" x14ac:dyDescent="0.2">
      <c r="A165" s="41"/>
      <c r="B165" s="46" t="s">
        <v>27</v>
      </c>
      <c r="C165" s="46" t="s">
        <v>60</v>
      </c>
      <c r="D165" s="46" t="s">
        <v>69</v>
      </c>
      <c r="E165" s="48" t="s">
        <v>254</v>
      </c>
      <c r="F165" s="48" t="s">
        <v>254</v>
      </c>
      <c r="G165" s="47" t="s">
        <v>251</v>
      </c>
      <c r="H165" s="47" t="s">
        <v>68</v>
      </c>
      <c r="I165" s="47" t="s">
        <v>156</v>
      </c>
      <c r="J165" s="48" t="s">
        <v>248</v>
      </c>
      <c r="K165" s="51" t="s">
        <v>153</v>
      </c>
      <c r="L165" s="51" t="s">
        <v>256</v>
      </c>
      <c r="M165" s="46" t="s">
        <v>29</v>
      </c>
      <c r="N165" s="48" t="s">
        <v>162</v>
      </c>
      <c r="O165" s="46" t="s">
        <v>31</v>
      </c>
      <c r="P165" s="13">
        <v>25.86</v>
      </c>
      <c r="Q165" s="36">
        <f t="shared" si="24"/>
        <v>0.10595514307811305</v>
      </c>
      <c r="R165" s="37">
        <f t="shared" si="25"/>
        <v>23.119999999999997</v>
      </c>
      <c r="S165" s="42">
        <v>0.15</v>
      </c>
      <c r="T165" s="43">
        <v>27.2</v>
      </c>
      <c r="U165" s="37">
        <f t="shared" si="26"/>
        <v>2.740000000000002</v>
      </c>
      <c r="V165" s="38" t="str">
        <f t="shared" si="27"/>
        <v>1005820111580996361571</v>
      </c>
      <c r="W165" s="39">
        <v>44531</v>
      </c>
      <c r="X165" s="40"/>
      <c r="Y165" s="44"/>
      <c r="Z165" s="45">
        <f t="shared" si="28"/>
        <v>0</v>
      </c>
      <c r="AA165" s="62"/>
      <c r="AB165" s="63">
        <f t="shared" si="29"/>
        <v>0</v>
      </c>
      <c r="AC165" s="62"/>
      <c r="AD165" s="62">
        <f t="shared" si="30"/>
        <v>0</v>
      </c>
      <c r="AE165" s="6"/>
    </row>
    <row r="166" spans="1:31" s="12" customFormat="1" x14ac:dyDescent="0.2">
      <c r="A166" s="41"/>
      <c r="B166" s="46" t="s">
        <v>27</v>
      </c>
      <c r="C166" s="46" t="s">
        <v>60</v>
      </c>
      <c r="D166" s="46" t="s">
        <v>69</v>
      </c>
      <c r="E166" s="48" t="s">
        <v>254</v>
      </c>
      <c r="F166" s="48" t="s">
        <v>254</v>
      </c>
      <c r="G166" s="47" t="s">
        <v>251</v>
      </c>
      <c r="H166" s="47" t="s">
        <v>68</v>
      </c>
      <c r="I166" s="47" t="s">
        <v>156</v>
      </c>
      <c r="J166" s="48" t="s">
        <v>248</v>
      </c>
      <c r="K166" s="51" t="s">
        <v>153</v>
      </c>
      <c r="L166" s="51" t="s">
        <v>256</v>
      </c>
      <c r="M166" s="46" t="s">
        <v>34</v>
      </c>
      <c r="N166" s="48" t="s">
        <v>180</v>
      </c>
      <c r="O166" s="46" t="s">
        <v>55</v>
      </c>
      <c r="P166" s="13">
        <v>119.29</v>
      </c>
      <c r="Q166" s="36">
        <f t="shared" ref="Q166:Q170" si="31">IF(1-R166/P166&lt;0%,0,1-R166/P166)</f>
        <v>0.33946684550255679</v>
      </c>
      <c r="R166" s="37">
        <f t="shared" ref="R166:R170" si="32">+T166*(100%-S166)</f>
        <v>78.795000000000002</v>
      </c>
      <c r="S166" s="42">
        <v>0.15</v>
      </c>
      <c r="T166" s="43">
        <v>92.7</v>
      </c>
      <c r="U166" s="37">
        <f t="shared" si="26"/>
        <v>40.495000000000005</v>
      </c>
      <c r="V166" s="38" t="str">
        <f t="shared" si="27"/>
        <v>1005820111580996360484</v>
      </c>
      <c r="W166" s="39">
        <v>44531</v>
      </c>
      <c r="X166" s="40"/>
      <c r="Y166" s="44"/>
      <c r="Z166" s="45">
        <f t="shared" ref="Z166:Z170" si="33">IFERROR(U166*Y166,0)</f>
        <v>0</v>
      </c>
      <c r="AA166" s="62"/>
      <c r="AB166" s="63">
        <f t="shared" si="29"/>
        <v>0</v>
      </c>
      <c r="AC166" s="62"/>
      <c r="AD166" s="62">
        <f t="shared" si="30"/>
        <v>0</v>
      </c>
      <c r="AE166" s="6"/>
    </row>
    <row r="167" spans="1:31" s="12" customFormat="1" x14ac:dyDescent="0.2">
      <c r="A167" s="41"/>
      <c r="B167" s="46" t="s">
        <v>27</v>
      </c>
      <c r="C167" s="46" t="s">
        <v>60</v>
      </c>
      <c r="D167" s="46" t="s">
        <v>69</v>
      </c>
      <c r="E167" s="48" t="s">
        <v>254</v>
      </c>
      <c r="F167" s="48" t="s">
        <v>254</v>
      </c>
      <c r="G167" s="47" t="s">
        <v>251</v>
      </c>
      <c r="H167" s="47" t="s">
        <v>68</v>
      </c>
      <c r="I167" s="47" t="s">
        <v>156</v>
      </c>
      <c r="J167" s="48" t="s">
        <v>249</v>
      </c>
      <c r="K167" s="51" t="s">
        <v>154</v>
      </c>
      <c r="L167" s="51" t="s">
        <v>256</v>
      </c>
      <c r="M167" s="46" t="s">
        <v>29</v>
      </c>
      <c r="N167" s="48" t="s">
        <v>162</v>
      </c>
      <c r="O167" s="46" t="s">
        <v>31</v>
      </c>
      <c r="P167" s="13">
        <v>25.86</v>
      </c>
      <c r="Q167" s="36">
        <f t="shared" si="31"/>
        <v>8.8863109048723965E-2</v>
      </c>
      <c r="R167" s="37">
        <f t="shared" si="32"/>
        <v>23.561999999999998</v>
      </c>
      <c r="S167" s="42">
        <v>0.15</v>
      </c>
      <c r="T167" s="43">
        <v>27.72</v>
      </c>
      <c r="U167" s="37">
        <f t="shared" si="26"/>
        <v>2.2980000000000018</v>
      </c>
      <c r="V167" s="38" t="str">
        <f t="shared" si="27"/>
        <v>1005820110768151361571</v>
      </c>
      <c r="W167" s="39">
        <v>44531</v>
      </c>
      <c r="X167" s="40"/>
      <c r="Y167" s="44">
        <v>76</v>
      </c>
      <c r="Z167" s="45">
        <f t="shared" si="33"/>
        <v>174.64800000000014</v>
      </c>
      <c r="AA167" s="62">
        <f>304/4</f>
        <v>76</v>
      </c>
      <c r="AB167" s="63">
        <f t="shared" si="29"/>
        <v>174.64800000000014</v>
      </c>
      <c r="AC167" s="62" t="s">
        <v>319</v>
      </c>
      <c r="AD167" s="62">
        <f t="shared" si="30"/>
        <v>0</v>
      </c>
      <c r="AE167" s="6"/>
    </row>
    <row r="168" spans="1:31" s="12" customFormat="1" x14ac:dyDescent="0.2">
      <c r="A168" s="41"/>
      <c r="B168" s="46" t="s">
        <v>27</v>
      </c>
      <c r="C168" s="46" t="s">
        <v>60</v>
      </c>
      <c r="D168" s="46" t="s">
        <v>69</v>
      </c>
      <c r="E168" s="48" t="s">
        <v>254</v>
      </c>
      <c r="F168" s="48" t="s">
        <v>254</v>
      </c>
      <c r="G168" s="47" t="s">
        <v>251</v>
      </c>
      <c r="H168" s="47" t="s">
        <v>68</v>
      </c>
      <c r="I168" s="47" t="s">
        <v>156</v>
      </c>
      <c r="J168" s="48" t="s">
        <v>249</v>
      </c>
      <c r="K168" s="51" t="s">
        <v>154</v>
      </c>
      <c r="L168" s="51" t="s">
        <v>256</v>
      </c>
      <c r="M168" s="46" t="s">
        <v>34</v>
      </c>
      <c r="N168" s="48" t="s">
        <v>173</v>
      </c>
      <c r="O168" s="46" t="s">
        <v>47</v>
      </c>
      <c r="P168" s="13">
        <v>41.42</v>
      </c>
      <c r="Q168" s="36">
        <f t="shared" si="31"/>
        <v>0.55673587638821831</v>
      </c>
      <c r="R168" s="37">
        <f t="shared" si="32"/>
        <v>18.36</v>
      </c>
      <c r="S168" s="42">
        <v>0.15</v>
      </c>
      <c r="T168" s="43">
        <v>21.6</v>
      </c>
      <c r="U168" s="37">
        <f t="shared" si="26"/>
        <v>23.060000000000002</v>
      </c>
      <c r="V168" s="38" t="str">
        <f t="shared" si="27"/>
        <v>1005820110768151361535</v>
      </c>
      <c r="W168" s="39">
        <v>44531</v>
      </c>
      <c r="X168" s="40"/>
      <c r="Y168" s="44"/>
      <c r="Z168" s="45">
        <f t="shared" si="33"/>
        <v>0</v>
      </c>
      <c r="AA168" s="62"/>
      <c r="AB168" s="63">
        <f t="shared" si="29"/>
        <v>0</v>
      </c>
      <c r="AC168" s="62"/>
      <c r="AD168" s="62">
        <f t="shared" si="30"/>
        <v>0</v>
      </c>
      <c r="AE168" s="6"/>
    </row>
    <row r="169" spans="1:31" s="12" customFormat="1" x14ac:dyDescent="0.2">
      <c r="A169" s="41"/>
      <c r="B169" s="46" t="s">
        <v>27</v>
      </c>
      <c r="C169" s="46" t="s">
        <v>60</v>
      </c>
      <c r="D169" s="46" t="s">
        <v>69</v>
      </c>
      <c r="E169" s="48" t="s">
        <v>254</v>
      </c>
      <c r="F169" s="48" t="s">
        <v>254</v>
      </c>
      <c r="G169" s="47" t="s">
        <v>251</v>
      </c>
      <c r="H169" s="47" t="s">
        <v>81</v>
      </c>
      <c r="I169" s="47" t="s">
        <v>155</v>
      </c>
      <c r="J169" s="48" t="s">
        <v>250</v>
      </c>
      <c r="K169" s="51" t="s">
        <v>159</v>
      </c>
      <c r="L169" s="51" t="s">
        <v>256</v>
      </c>
      <c r="M169" s="46" t="s">
        <v>28</v>
      </c>
      <c r="N169" s="48" t="s">
        <v>267</v>
      </c>
      <c r="O169" s="46" t="s">
        <v>266</v>
      </c>
      <c r="P169" s="13">
        <v>54.03</v>
      </c>
      <c r="Q169" s="36">
        <f t="shared" si="31"/>
        <v>0.32352396816583373</v>
      </c>
      <c r="R169" s="37">
        <f t="shared" si="32"/>
        <v>36.550000000000004</v>
      </c>
      <c r="S169" s="42">
        <v>0.15</v>
      </c>
      <c r="T169" s="43">
        <v>43.000000000000007</v>
      </c>
      <c r="U169" s="37">
        <f t="shared" si="26"/>
        <v>17.479999999999997</v>
      </c>
      <c r="V169" s="38" t="str">
        <f t="shared" si="27"/>
        <v>1005820514964778361311</v>
      </c>
      <c r="W169" s="39">
        <v>44256</v>
      </c>
      <c r="X169" s="40">
        <v>500</v>
      </c>
      <c r="Y169" s="44"/>
      <c r="Z169" s="45">
        <f t="shared" si="33"/>
        <v>0</v>
      </c>
      <c r="AA169" s="62"/>
      <c r="AB169" s="63">
        <f t="shared" si="29"/>
        <v>0</v>
      </c>
      <c r="AC169" s="62"/>
      <c r="AD169" s="62">
        <f t="shared" si="30"/>
        <v>0</v>
      </c>
      <c r="AE169" s="6"/>
    </row>
    <row r="170" spans="1:31" s="12" customFormat="1" x14ac:dyDescent="0.2">
      <c r="A170" s="41"/>
      <c r="B170" s="46" t="s">
        <v>27</v>
      </c>
      <c r="C170" s="46" t="s">
        <v>60</v>
      </c>
      <c r="D170" s="46" t="s">
        <v>69</v>
      </c>
      <c r="E170" s="48" t="s">
        <v>254</v>
      </c>
      <c r="F170" s="48" t="s">
        <v>254</v>
      </c>
      <c r="G170" s="47" t="s">
        <v>251</v>
      </c>
      <c r="H170" s="47" t="s">
        <v>58</v>
      </c>
      <c r="I170" s="47" t="s">
        <v>269</v>
      </c>
      <c r="J170" s="48" t="s">
        <v>264</v>
      </c>
      <c r="K170" s="51" t="s">
        <v>265</v>
      </c>
      <c r="L170" s="51" t="s">
        <v>256</v>
      </c>
      <c r="M170" s="46" t="s">
        <v>28</v>
      </c>
      <c r="N170" s="48" t="s">
        <v>267</v>
      </c>
      <c r="O170" s="46" t="s">
        <v>266</v>
      </c>
      <c r="P170" s="13">
        <v>54.03</v>
      </c>
      <c r="Q170" s="36">
        <f t="shared" si="31"/>
        <v>0.28451648965902743</v>
      </c>
      <c r="R170" s="37">
        <f t="shared" si="32"/>
        <v>38.657574063722748</v>
      </c>
      <c r="S170" s="42">
        <v>0.15</v>
      </c>
      <c r="T170" s="43">
        <v>45.479498898497354</v>
      </c>
      <c r="U170" s="37">
        <f t="shared" si="26"/>
        <v>15.372425936277253</v>
      </c>
      <c r="V170" s="38" t="str">
        <f t="shared" si="27"/>
        <v>1005820547566239361311</v>
      </c>
      <c r="W170" s="39">
        <v>44531</v>
      </c>
      <c r="X170" s="40">
        <v>150</v>
      </c>
      <c r="Y170" s="44"/>
      <c r="Z170" s="45">
        <f t="shared" si="33"/>
        <v>0</v>
      </c>
      <c r="AA170" s="62"/>
      <c r="AB170" s="63">
        <f t="shared" si="29"/>
        <v>0</v>
      </c>
      <c r="AC170" s="62"/>
      <c r="AD170" s="62">
        <f t="shared" si="30"/>
        <v>0</v>
      </c>
      <c r="AE170" s="6"/>
    </row>
    <row r="171" spans="1:31" x14ac:dyDescent="0.2">
      <c r="Z171" s="3">
        <f>+SUM(Z6:Z170)</f>
        <v>82706.112692311232</v>
      </c>
    </row>
  </sheetData>
  <autoFilter ref="B5:Z170"/>
  <mergeCells count="5">
    <mergeCell ref="Y3:Z3"/>
    <mergeCell ref="AA1:AB2"/>
    <mergeCell ref="AC1:AD2"/>
    <mergeCell ref="AA3:AB3"/>
    <mergeCell ref="AC3:AD3"/>
  </mergeCells>
  <dataValidations count="1">
    <dataValidation type="list" allowBlank="1" showInputMessage="1" showErrorMessage="1" sqref="AC6:AC170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7"/>
  <sheetViews>
    <sheetView zoomScale="90" zoomScaleNormal="90" workbookViewId="0"/>
  </sheetViews>
  <sheetFormatPr baseColWidth="10" defaultRowHeight="15" x14ac:dyDescent="0.25"/>
  <cols>
    <col min="1" max="1" width="1.7109375" customWidth="1"/>
    <col min="2" max="2" width="11.5703125" bestFit="1" customWidth="1"/>
    <col min="3" max="3" width="35.7109375" customWidth="1"/>
    <col min="4" max="4" width="20" customWidth="1"/>
    <col min="5" max="5" width="14.42578125" bestFit="1" customWidth="1"/>
    <col min="6" max="6" width="6.85546875" bestFit="1" customWidth="1"/>
    <col min="7" max="7" width="44" bestFit="1" customWidth="1"/>
    <col min="8" max="8" width="34.7109375" customWidth="1"/>
    <col min="9" max="9" width="20.140625" customWidth="1"/>
  </cols>
  <sheetData>
    <row r="2" spans="2:9" ht="24" x14ac:dyDescent="0.25">
      <c r="B2" s="52" t="s">
        <v>10</v>
      </c>
      <c r="C2" s="52" t="s">
        <v>11</v>
      </c>
      <c r="D2" s="52" t="s">
        <v>12</v>
      </c>
      <c r="E2" s="52" t="s">
        <v>13</v>
      </c>
      <c r="F2" s="52" t="s">
        <v>272</v>
      </c>
      <c r="G2" s="52" t="s">
        <v>15</v>
      </c>
      <c r="H2" s="52" t="s">
        <v>273</v>
      </c>
      <c r="I2" s="52" t="s">
        <v>25</v>
      </c>
    </row>
    <row r="3" spans="2:9" x14ac:dyDescent="0.25">
      <c r="B3" s="48" t="s">
        <v>187</v>
      </c>
      <c r="C3" s="51" t="s">
        <v>70</v>
      </c>
      <c r="D3" s="51" t="s">
        <v>71</v>
      </c>
      <c r="E3" s="46" t="s">
        <v>29</v>
      </c>
      <c r="F3" s="48" t="s">
        <v>163</v>
      </c>
      <c r="G3" s="46" t="s">
        <v>30</v>
      </c>
      <c r="H3" s="53"/>
      <c r="I3" s="53"/>
    </row>
    <row r="4" spans="2:9" x14ac:dyDescent="0.25">
      <c r="B4" s="48" t="s">
        <v>187</v>
      </c>
      <c r="C4" s="51" t="s">
        <v>70</v>
      </c>
      <c r="D4" s="51" t="s">
        <v>71</v>
      </c>
      <c r="E4" s="46" t="s">
        <v>29</v>
      </c>
      <c r="F4" s="48" t="s">
        <v>162</v>
      </c>
      <c r="G4" s="46" t="s">
        <v>31</v>
      </c>
      <c r="H4" s="53" t="s">
        <v>274</v>
      </c>
      <c r="I4" s="53">
        <v>35</v>
      </c>
    </row>
    <row r="5" spans="2:9" x14ac:dyDescent="0.25">
      <c r="B5" s="48" t="s">
        <v>187</v>
      </c>
      <c r="C5" s="51" t="s">
        <v>70</v>
      </c>
      <c r="D5" s="51" t="s">
        <v>71</v>
      </c>
      <c r="E5" s="46" t="s">
        <v>34</v>
      </c>
      <c r="F5" s="48" t="s">
        <v>166</v>
      </c>
      <c r="G5" s="46" t="s">
        <v>35</v>
      </c>
      <c r="H5" s="53" t="s">
        <v>274</v>
      </c>
      <c r="I5" s="53">
        <v>30</v>
      </c>
    </row>
    <row r="6" spans="2:9" x14ac:dyDescent="0.25">
      <c r="B6" s="48" t="s">
        <v>188</v>
      </c>
      <c r="C6" s="51" t="s">
        <v>72</v>
      </c>
      <c r="D6" s="51" t="s">
        <v>73</v>
      </c>
      <c r="E6" s="46" t="s">
        <v>29</v>
      </c>
      <c r="F6" s="48" t="s">
        <v>165</v>
      </c>
      <c r="G6" s="46" t="s">
        <v>33</v>
      </c>
      <c r="H6" s="53" t="s">
        <v>276</v>
      </c>
      <c r="I6" s="53">
        <v>296</v>
      </c>
    </row>
    <row r="7" spans="2:9" x14ac:dyDescent="0.25">
      <c r="B7" s="48" t="s">
        <v>188</v>
      </c>
      <c r="C7" s="51" t="s">
        <v>72</v>
      </c>
      <c r="D7" s="51" t="s">
        <v>73</v>
      </c>
      <c r="E7" s="46" t="s">
        <v>34</v>
      </c>
      <c r="F7" s="48" t="s">
        <v>173</v>
      </c>
      <c r="G7" s="46" t="s">
        <v>47</v>
      </c>
      <c r="H7" s="53" t="s">
        <v>276</v>
      </c>
      <c r="I7" s="53">
        <v>1276</v>
      </c>
    </row>
    <row r="8" spans="2:9" x14ac:dyDescent="0.25">
      <c r="B8" s="48" t="s">
        <v>189</v>
      </c>
      <c r="C8" s="51" t="s">
        <v>74</v>
      </c>
      <c r="D8" s="51" t="s">
        <v>73</v>
      </c>
      <c r="E8" s="46" t="s">
        <v>29</v>
      </c>
      <c r="F8" s="48" t="s">
        <v>165</v>
      </c>
      <c r="G8" s="46" t="s">
        <v>33</v>
      </c>
      <c r="H8" s="53" t="s">
        <v>292</v>
      </c>
      <c r="I8" s="53">
        <v>141</v>
      </c>
    </row>
    <row r="9" spans="2:9" x14ac:dyDescent="0.25">
      <c r="B9" s="48" t="s">
        <v>189</v>
      </c>
      <c r="C9" s="51" t="s">
        <v>74</v>
      </c>
      <c r="D9" s="51" t="s">
        <v>73</v>
      </c>
      <c r="E9" s="46" t="s">
        <v>34</v>
      </c>
      <c r="F9" s="48" t="s">
        <v>173</v>
      </c>
      <c r="G9" s="46" t="s">
        <v>47</v>
      </c>
      <c r="H9" s="53"/>
      <c r="I9" s="53"/>
    </row>
    <row r="10" spans="2:9" x14ac:dyDescent="0.25">
      <c r="B10" s="48" t="s">
        <v>190</v>
      </c>
      <c r="C10" s="51" t="s">
        <v>75</v>
      </c>
      <c r="D10" s="51" t="s">
        <v>73</v>
      </c>
      <c r="E10" s="46" t="s">
        <v>34</v>
      </c>
      <c r="F10" s="48" t="s">
        <v>173</v>
      </c>
      <c r="G10" s="46" t="s">
        <v>47</v>
      </c>
      <c r="H10" s="53"/>
      <c r="I10" s="53"/>
    </row>
    <row r="11" spans="2:9" x14ac:dyDescent="0.25">
      <c r="B11" s="48" t="s">
        <v>191</v>
      </c>
      <c r="C11" s="51" t="s">
        <v>76</v>
      </c>
      <c r="D11" s="51" t="s">
        <v>73</v>
      </c>
      <c r="E11" s="46" t="s">
        <v>29</v>
      </c>
      <c r="F11" s="48" t="s">
        <v>165</v>
      </c>
      <c r="G11" s="46" t="s">
        <v>33</v>
      </c>
      <c r="H11" s="53" t="s">
        <v>308</v>
      </c>
      <c r="I11" s="53">
        <v>24</v>
      </c>
    </row>
    <row r="12" spans="2:9" x14ac:dyDescent="0.25">
      <c r="B12" s="48" t="s">
        <v>191</v>
      </c>
      <c r="C12" s="51" t="s">
        <v>76</v>
      </c>
      <c r="D12" s="51" t="s">
        <v>73</v>
      </c>
      <c r="E12" s="46" t="s">
        <v>34</v>
      </c>
      <c r="F12" s="48" t="s">
        <v>166</v>
      </c>
      <c r="G12" s="46" t="s">
        <v>35</v>
      </c>
      <c r="H12" s="54" t="s">
        <v>308</v>
      </c>
      <c r="I12" s="53">
        <v>12</v>
      </c>
    </row>
    <row r="13" spans="2:9" x14ac:dyDescent="0.25">
      <c r="B13" s="48" t="s">
        <v>192</v>
      </c>
      <c r="C13" s="51" t="s">
        <v>77</v>
      </c>
      <c r="D13" s="51" t="s">
        <v>78</v>
      </c>
      <c r="E13" s="46" t="s">
        <v>29</v>
      </c>
      <c r="F13" s="48" t="s">
        <v>162</v>
      </c>
      <c r="G13" s="46" t="s">
        <v>31</v>
      </c>
      <c r="H13" s="53"/>
      <c r="I13" s="53"/>
    </row>
    <row r="14" spans="2:9" x14ac:dyDescent="0.25">
      <c r="B14" s="48" t="s">
        <v>192</v>
      </c>
      <c r="C14" s="51" t="s">
        <v>77</v>
      </c>
      <c r="D14" s="51" t="s">
        <v>78</v>
      </c>
      <c r="E14" s="46" t="s">
        <v>34</v>
      </c>
      <c r="F14" s="48" t="s">
        <v>173</v>
      </c>
      <c r="G14" s="46" t="s">
        <v>47</v>
      </c>
      <c r="H14" s="53"/>
      <c r="I14" s="53"/>
    </row>
    <row r="15" spans="2:9" x14ac:dyDescent="0.25">
      <c r="B15" s="48" t="s">
        <v>193</v>
      </c>
      <c r="C15" s="51" t="s">
        <v>79</v>
      </c>
      <c r="D15" s="51" t="s">
        <v>78</v>
      </c>
      <c r="E15" s="46" t="s">
        <v>29</v>
      </c>
      <c r="F15" s="48" t="s">
        <v>162</v>
      </c>
      <c r="G15" s="46" t="s">
        <v>31</v>
      </c>
      <c r="H15" s="53"/>
      <c r="I15" s="53"/>
    </row>
    <row r="16" spans="2:9" x14ac:dyDescent="0.25">
      <c r="B16" s="48" t="s">
        <v>193</v>
      </c>
      <c r="C16" s="51" t="s">
        <v>79</v>
      </c>
      <c r="D16" s="51" t="s">
        <v>78</v>
      </c>
      <c r="E16" s="46" t="s">
        <v>34</v>
      </c>
      <c r="F16" s="48" t="s">
        <v>173</v>
      </c>
      <c r="G16" s="46" t="s">
        <v>47</v>
      </c>
      <c r="H16" s="53"/>
      <c r="I16" s="53"/>
    </row>
    <row r="17" spans="2:9" x14ac:dyDescent="0.25">
      <c r="B17" s="48" t="s">
        <v>194</v>
      </c>
      <c r="C17" s="51" t="s">
        <v>80</v>
      </c>
      <c r="D17" s="51" t="s">
        <v>78</v>
      </c>
      <c r="E17" s="46" t="s">
        <v>29</v>
      </c>
      <c r="F17" s="48" t="s">
        <v>162</v>
      </c>
      <c r="G17" s="46" t="s">
        <v>31</v>
      </c>
      <c r="H17" s="53"/>
      <c r="I17" s="53"/>
    </row>
    <row r="18" spans="2:9" x14ac:dyDescent="0.25">
      <c r="B18" s="48" t="s">
        <v>194</v>
      </c>
      <c r="C18" s="51" t="s">
        <v>80</v>
      </c>
      <c r="D18" s="51" t="s">
        <v>78</v>
      </c>
      <c r="E18" s="46" t="s">
        <v>34</v>
      </c>
      <c r="F18" s="48" t="s">
        <v>173</v>
      </c>
      <c r="G18" s="46" t="s">
        <v>47</v>
      </c>
      <c r="H18" s="53"/>
      <c r="I18" s="53"/>
    </row>
    <row r="19" spans="2:9" x14ac:dyDescent="0.25">
      <c r="B19" s="48" t="s">
        <v>195</v>
      </c>
      <c r="C19" s="51" t="s">
        <v>82</v>
      </c>
      <c r="D19" s="51" t="s">
        <v>83</v>
      </c>
      <c r="E19" s="46" t="s">
        <v>28</v>
      </c>
      <c r="F19" s="48" t="s">
        <v>267</v>
      </c>
      <c r="G19" s="46" t="s">
        <v>266</v>
      </c>
      <c r="H19" s="53" t="s">
        <v>278</v>
      </c>
      <c r="I19" s="53">
        <v>60</v>
      </c>
    </row>
    <row r="20" spans="2:9" x14ac:dyDescent="0.25">
      <c r="B20" s="48" t="s">
        <v>195</v>
      </c>
      <c r="C20" s="51" t="s">
        <v>82</v>
      </c>
      <c r="D20" s="51" t="s">
        <v>83</v>
      </c>
      <c r="E20" s="46" t="s">
        <v>34</v>
      </c>
      <c r="F20" s="48" t="s">
        <v>167</v>
      </c>
      <c r="G20" s="46" t="s">
        <v>36</v>
      </c>
      <c r="H20" s="54" t="s">
        <v>278</v>
      </c>
      <c r="I20" s="53">
        <v>420</v>
      </c>
    </row>
    <row r="21" spans="2:9" x14ac:dyDescent="0.25">
      <c r="B21" s="48" t="s">
        <v>196</v>
      </c>
      <c r="C21" s="51" t="s">
        <v>84</v>
      </c>
      <c r="D21" s="51" t="s">
        <v>85</v>
      </c>
      <c r="E21" s="46" t="s">
        <v>29</v>
      </c>
      <c r="F21" s="48" t="s">
        <v>165</v>
      </c>
      <c r="G21" s="46" t="s">
        <v>33</v>
      </c>
      <c r="H21" s="53"/>
      <c r="I21" s="53"/>
    </row>
    <row r="22" spans="2:9" x14ac:dyDescent="0.25">
      <c r="B22" s="48" t="s">
        <v>196</v>
      </c>
      <c r="C22" s="51" t="s">
        <v>84</v>
      </c>
      <c r="D22" s="51" t="s">
        <v>85</v>
      </c>
      <c r="E22" s="46" t="s">
        <v>34</v>
      </c>
      <c r="F22" s="48" t="s">
        <v>178</v>
      </c>
      <c r="G22" s="46" t="s">
        <v>53</v>
      </c>
      <c r="H22" s="53"/>
      <c r="I22" s="53"/>
    </row>
    <row r="23" spans="2:9" x14ac:dyDescent="0.25">
      <c r="B23" s="48" t="s">
        <v>197</v>
      </c>
      <c r="C23" s="51" t="s">
        <v>86</v>
      </c>
      <c r="D23" s="51" t="s">
        <v>87</v>
      </c>
      <c r="E23" s="46" t="s">
        <v>29</v>
      </c>
      <c r="F23" s="49" t="s">
        <v>172</v>
      </c>
      <c r="G23" s="50" t="s">
        <v>46</v>
      </c>
      <c r="H23" s="53" t="s">
        <v>285</v>
      </c>
      <c r="I23" s="53">
        <v>70</v>
      </c>
    </row>
    <row r="24" spans="2:9" x14ac:dyDescent="0.25">
      <c r="B24" s="48" t="s">
        <v>197</v>
      </c>
      <c r="C24" s="51" t="s">
        <v>86</v>
      </c>
      <c r="D24" s="51" t="s">
        <v>87</v>
      </c>
      <c r="E24" s="46" t="s">
        <v>29</v>
      </c>
      <c r="F24" s="48" t="s">
        <v>162</v>
      </c>
      <c r="G24" s="46" t="s">
        <v>31</v>
      </c>
      <c r="H24" s="53"/>
      <c r="I24" s="53"/>
    </row>
    <row r="25" spans="2:9" x14ac:dyDescent="0.25">
      <c r="B25" s="48" t="s">
        <v>197</v>
      </c>
      <c r="C25" s="51" t="s">
        <v>86</v>
      </c>
      <c r="D25" s="51" t="s">
        <v>87</v>
      </c>
      <c r="E25" s="46" t="s">
        <v>34</v>
      </c>
      <c r="F25" s="48" t="s">
        <v>180</v>
      </c>
      <c r="G25" s="46" t="s">
        <v>55</v>
      </c>
      <c r="H25" s="54" t="s">
        <v>285</v>
      </c>
      <c r="I25" s="53">
        <v>10</v>
      </c>
    </row>
    <row r="26" spans="2:9" x14ac:dyDescent="0.25">
      <c r="B26" s="48" t="s">
        <v>198</v>
      </c>
      <c r="C26" s="51" t="s">
        <v>88</v>
      </c>
      <c r="D26" s="51" t="s">
        <v>87</v>
      </c>
      <c r="E26" s="46" t="s">
        <v>29</v>
      </c>
      <c r="F26" s="48" t="s">
        <v>162</v>
      </c>
      <c r="G26" s="46" t="s">
        <v>31</v>
      </c>
      <c r="H26" s="53" t="s">
        <v>311</v>
      </c>
      <c r="I26" s="53">
        <v>30</v>
      </c>
    </row>
    <row r="27" spans="2:9" x14ac:dyDescent="0.25">
      <c r="B27" s="48" t="s">
        <v>198</v>
      </c>
      <c r="C27" s="51" t="s">
        <v>88</v>
      </c>
      <c r="D27" s="51" t="s">
        <v>87</v>
      </c>
      <c r="E27" s="46" t="s">
        <v>34</v>
      </c>
      <c r="F27" s="48" t="s">
        <v>180</v>
      </c>
      <c r="G27" s="46" t="s">
        <v>55</v>
      </c>
      <c r="H27" s="54" t="s">
        <v>311</v>
      </c>
      <c r="I27" s="53">
        <v>4</v>
      </c>
    </row>
    <row r="28" spans="2:9" x14ac:dyDescent="0.25">
      <c r="B28" s="48" t="s">
        <v>199</v>
      </c>
      <c r="C28" s="51" t="s">
        <v>89</v>
      </c>
      <c r="D28" s="51" t="s">
        <v>90</v>
      </c>
      <c r="E28" s="46" t="s">
        <v>29</v>
      </c>
      <c r="F28" s="48" t="s">
        <v>162</v>
      </c>
      <c r="G28" s="46" t="s">
        <v>31</v>
      </c>
      <c r="H28" s="53"/>
      <c r="I28" s="53"/>
    </row>
    <row r="29" spans="2:9" x14ac:dyDescent="0.25">
      <c r="B29" s="48" t="s">
        <v>199</v>
      </c>
      <c r="C29" s="51" t="s">
        <v>89</v>
      </c>
      <c r="D29" s="51" t="s">
        <v>90</v>
      </c>
      <c r="E29" s="46" t="s">
        <v>34</v>
      </c>
      <c r="F29" s="48" t="s">
        <v>166</v>
      </c>
      <c r="G29" s="46" t="s">
        <v>35</v>
      </c>
      <c r="H29" s="53"/>
      <c r="I29" s="53"/>
    </row>
    <row r="30" spans="2:9" x14ac:dyDescent="0.25">
      <c r="B30" s="48" t="s">
        <v>199</v>
      </c>
      <c r="C30" s="51" t="s">
        <v>89</v>
      </c>
      <c r="D30" s="51" t="s">
        <v>90</v>
      </c>
      <c r="E30" s="46" t="s">
        <v>34</v>
      </c>
      <c r="F30" s="48" t="s">
        <v>167</v>
      </c>
      <c r="G30" s="46" t="s">
        <v>36</v>
      </c>
      <c r="H30" s="53"/>
      <c r="I30" s="53"/>
    </row>
    <row r="31" spans="2:9" x14ac:dyDescent="0.25">
      <c r="B31" s="48" t="s">
        <v>199</v>
      </c>
      <c r="C31" s="51" t="s">
        <v>89</v>
      </c>
      <c r="D31" s="51" t="s">
        <v>90</v>
      </c>
      <c r="E31" s="46" t="s">
        <v>38</v>
      </c>
      <c r="F31" s="48" t="s">
        <v>169</v>
      </c>
      <c r="G31" s="46" t="s">
        <v>39</v>
      </c>
      <c r="H31" s="53"/>
      <c r="I31" s="53"/>
    </row>
    <row r="32" spans="2:9" x14ac:dyDescent="0.25">
      <c r="B32" s="48" t="s">
        <v>200</v>
      </c>
      <c r="C32" s="51" t="s">
        <v>91</v>
      </c>
      <c r="D32" s="51" t="s">
        <v>90</v>
      </c>
      <c r="E32" s="46" t="s">
        <v>29</v>
      </c>
      <c r="F32" s="48" t="s">
        <v>162</v>
      </c>
      <c r="G32" s="46" t="s">
        <v>31</v>
      </c>
      <c r="H32" s="53"/>
      <c r="I32" s="53"/>
    </row>
    <row r="33" spans="2:9" x14ac:dyDescent="0.25">
      <c r="B33" s="48" t="s">
        <v>200</v>
      </c>
      <c r="C33" s="51" t="s">
        <v>91</v>
      </c>
      <c r="D33" s="51" t="s">
        <v>90</v>
      </c>
      <c r="E33" s="46" t="s">
        <v>34</v>
      </c>
      <c r="F33" s="48" t="s">
        <v>166</v>
      </c>
      <c r="G33" s="46" t="s">
        <v>35</v>
      </c>
      <c r="H33" s="53"/>
      <c r="I33" s="53"/>
    </row>
    <row r="34" spans="2:9" x14ac:dyDescent="0.25">
      <c r="B34" s="48" t="s">
        <v>200</v>
      </c>
      <c r="C34" s="51" t="s">
        <v>91</v>
      </c>
      <c r="D34" s="51" t="s">
        <v>90</v>
      </c>
      <c r="E34" s="46" t="s">
        <v>34</v>
      </c>
      <c r="F34" s="48" t="s">
        <v>167</v>
      </c>
      <c r="G34" s="46" t="s">
        <v>36</v>
      </c>
      <c r="H34" s="53"/>
      <c r="I34" s="53"/>
    </row>
    <row r="35" spans="2:9" x14ac:dyDescent="0.25">
      <c r="B35" s="48" t="s">
        <v>200</v>
      </c>
      <c r="C35" s="51" t="s">
        <v>91</v>
      </c>
      <c r="D35" s="51" t="s">
        <v>90</v>
      </c>
      <c r="E35" s="46" t="s">
        <v>48</v>
      </c>
      <c r="F35" s="48" t="s">
        <v>182</v>
      </c>
      <c r="G35" s="46" t="s">
        <v>57</v>
      </c>
      <c r="H35" s="53"/>
      <c r="I35" s="53"/>
    </row>
    <row r="36" spans="2:9" x14ac:dyDescent="0.25">
      <c r="B36" s="48" t="s">
        <v>201</v>
      </c>
      <c r="C36" s="51" t="s">
        <v>93</v>
      </c>
      <c r="D36" s="51" t="s">
        <v>94</v>
      </c>
      <c r="E36" s="46" t="s">
        <v>29</v>
      </c>
      <c r="F36" s="48" t="s">
        <v>183</v>
      </c>
      <c r="G36" s="46" t="s">
        <v>62</v>
      </c>
      <c r="H36" s="53"/>
      <c r="I36" s="53"/>
    </row>
    <row r="37" spans="2:9" x14ac:dyDescent="0.25">
      <c r="B37" s="48" t="s">
        <v>201</v>
      </c>
      <c r="C37" s="51" t="s">
        <v>93</v>
      </c>
      <c r="D37" s="51" t="s">
        <v>94</v>
      </c>
      <c r="E37" s="46" t="s">
        <v>29</v>
      </c>
      <c r="F37" s="48" t="s">
        <v>162</v>
      </c>
      <c r="G37" s="46" t="s">
        <v>31</v>
      </c>
      <c r="H37" s="53" t="s">
        <v>277</v>
      </c>
      <c r="I37" s="53">
        <v>51.5</v>
      </c>
    </row>
    <row r="38" spans="2:9" x14ac:dyDescent="0.25">
      <c r="B38" s="48" t="s">
        <v>201</v>
      </c>
      <c r="C38" s="51" t="s">
        <v>93</v>
      </c>
      <c r="D38" s="51" t="s">
        <v>94</v>
      </c>
      <c r="E38" s="46" t="s">
        <v>34</v>
      </c>
      <c r="F38" s="48" t="s">
        <v>173</v>
      </c>
      <c r="G38" s="46" t="s">
        <v>47</v>
      </c>
      <c r="H38" s="54" t="s">
        <v>277</v>
      </c>
      <c r="I38" s="53">
        <v>213.5</v>
      </c>
    </row>
    <row r="39" spans="2:9" x14ac:dyDescent="0.25">
      <c r="B39" s="48" t="s">
        <v>202</v>
      </c>
      <c r="C39" s="51" t="s">
        <v>95</v>
      </c>
      <c r="D39" s="51" t="s">
        <v>94</v>
      </c>
      <c r="E39" s="46" t="s">
        <v>29</v>
      </c>
      <c r="F39" s="48" t="s">
        <v>183</v>
      </c>
      <c r="G39" s="46" t="s">
        <v>62</v>
      </c>
      <c r="H39" s="53"/>
      <c r="I39" s="53"/>
    </row>
    <row r="40" spans="2:9" x14ac:dyDescent="0.25">
      <c r="B40" s="48" t="s">
        <v>202</v>
      </c>
      <c r="C40" s="51" t="s">
        <v>95</v>
      </c>
      <c r="D40" s="51" t="s">
        <v>94</v>
      </c>
      <c r="E40" s="46" t="s">
        <v>29</v>
      </c>
      <c r="F40" s="48" t="s">
        <v>162</v>
      </c>
      <c r="G40" s="46" t="s">
        <v>31</v>
      </c>
      <c r="H40" s="53" t="s">
        <v>300</v>
      </c>
      <c r="I40" s="53">
        <v>132</v>
      </c>
    </row>
    <row r="41" spans="2:9" x14ac:dyDescent="0.25">
      <c r="B41" s="48" t="s">
        <v>202</v>
      </c>
      <c r="C41" s="51" t="s">
        <v>95</v>
      </c>
      <c r="D41" s="51" t="s">
        <v>94</v>
      </c>
      <c r="E41" s="46" t="s">
        <v>34</v>
      </c>
      <c r="F41" s="48" t="s">
        <v>173</v>
      </c>
      <c r="G41" s="46" t="s">
        <v>47</v>
      </c>
      <c r="H41" s="53"/>
      <c r="I41" s="53"/>
    </row>
    <row r="42" spans="2:9" x14ac:dyDescent="0.25">
      <c r="B42" s="48" t="s">
        <v>203</v>
      </c>
      <c r="C42" s="51" t="s">
        <v>96</v>
      </c>
      <c r="D42" s="51" t="s">
        <v>97</v>
      </c>
      <c r="E42" s="46" t="s">
        <v>29</v>
      </c>
      <c r="F42" s="48" t="s">
        <v>183</v>
      </c>
      <c r="G42" s="46" t="s">
        <v>62</v>
      </c>
      <c r="H42" s="53"/>
      <c r="I42" s="53"/>
    </row>
    <row r="43" spans="2:9" x14ac:dyDescent="0.25">
      <c r="B43" s="48" t="s">
        <v>203</v>
      </c>
      <c r="C43" s="51" t="s">
        <v>96</v>
      </c>
      <c r="D43" s="51" t="s">
        <v>97</v>
      </c>
      <c r="E43" s="46" t="s">
        <v>29</v>
      </c>
      <c r="F43" s="49" t="s">
        <v>172</v>
      </c>
      <c r="G43" s="50" t="s">
        <v>46</v>
      </c>
      <c r="H43" s="53"/>
      <c r="I43" s="53"/>
    </row>
    <row r="44" spans="2:9" x14ac:dyDescent="0.25">
      <c r="B44" s="48" t="s">
        <v>204</v>
      </c>
      <c r="C44" s="51" t="s">
        <v>98</v>
      </c>
      <c r="D44" s="51" t="s">
        <v>97</v>
      </c>
      <c r="E44" s="46" t="s">
        <v>29</v>
      </c>
      <c r="F44" s="49" t="s">
        <v>172</v>
      </c>
      <c r="G44" s="50" t="s">
        <v>46</v>
      </c>
      <c r="H44" s="53"/>
      <c r="I44" s="53"/>
    </row>
    <row r="45" spans="2:9" x14ac:dyDescent="0.25">
      <c r="B45" s="48" t="s">
        <v>205</v>
      </c>
      <c r="C45" s="51" t="s">
        <v>99</v>
      </c>
      <c r="D45" s="51" t="s">
        <v>97</v>
      </c>
      <c r="E45" s="46" t="s">
        <v>29</v>
      </c>
      <c r="F45" s="48" t="s">
        <v>183</v>
      </c>
      <c r="G45" s="46" t="s">
        <v>62</v>
      </c>
      <c r="H45" s="53"/>
      <c r="I45" s="53"/>
    </row>
    <row r="46" spans="2:9" x14ac:dyDescent="0.25">
      <c r="B46" s="48" t="s">
        <v>205</v>
      </c>
      <c r="C46" s="51" t="s">
        <v>99</v>
      </c>
      <c r="D46" s="51" t="s">
        <v>97</v>
      </c>
      <c r="E46" s="46" t="s">
        <v>29</v>
      </c>
      <c r="F46" s="49" t="s">
        <v>172</v>
      </c>
      <c r="G46" s="50" t="s">
        <v>46</v>
      </c>
      <c r="H46" s="53" t="s">
        <v>303</v>
      </c>
      <c r="I46" s="53">
        <v>200</v>
      </c>
    </row>
    <row r="47" spans="2:9" x14ac:dyDescent="0.25">
      <c r="B47" s="48" t="s">
        <v>206</v>
      </c>
      <c r="C47" s="51" t="s">
        <v>101</v>
      </c>
      <c r="D47" s="51" t="s">
        <v>102</v>
      </c>
      <c r="E47" s="46" t="s">
        <v>29</v>
      </c>
      <c r="F47" s="48" t="s">
        <v>162</v>
      </c>
      <c r="G47" s="46" t="s">
        <v>31</v>
      </c>
      <c r="H47" s="53" t="s">
        <v>301</v>
      </c>
      <c r="I47" s="53">
        <v>300</v>
      </c>
    </row>
    <row r="48" spans="2:9" x14ac:dyDescent="0.25">
      <c r="B48" s="48" t="s">
        <v>206</v>
      </c>
      <c r="C48" s="51" t="s">
        <v>101</v>
      </c>
      <c r="D48" s="51" t="s">
        <v>102</v>
      </c>
      <c r="E48" s="46" t="s">
        <v>34</v>
      </c>
      <c r="F48" s="48" t="s">
        <v>167</v>
      </c>
      <c r="G48" s="46" t="s">
        <v>36</v>
      </c>
      <c r="H48" s="53"/>
      <c r="I48" s="53"/>
    </row>
    <row r="49" spans="2:9" x14ac:dyDescent="0.25">
      <c r="B49" s="48" t="s">
        <v>207</v>
      </c>
      <c r="C49" s="51" t="s">
        <v>103</v>
      </c>
      <c r="D49" s="51" t="s">
        <v>104</v>
      </c>
      <c r="E49" s="46" t="s">
        <v>29</v>
      </c>
      <c r="F49" s="48" t="s">
        <v>183</v>
      </c>
      <c r="G49" s="46" t="s">
        <v>62</v>
      </c>
      <c r="H49" s="53"/>
      <c r="I49" s="53"/>
    </row>
    <row r="50" spans="2:9" x14ac:dyDescent="0.25">
      <c r="B50" s="48" t="s">
        <v>208</v>
      </c>
      <c r="C50" s="51" t="s">
        <v>105</v>
      </c>
      <c r="D50" s="51" t="s">
        <v>106</v>
      </c>
      <c r="E50" s="46" t="s">
        <v>29</v>
      </c>
      <c r="F50" s="48" t="s">
        <v>165</v>
      </c>
      <c r="G50" s="46" t="s">
        <v>33</v>
      </c>
      <c r="H50" s="53" t="s">
        <v>281</v>
      </c>
      <c r="I50" s="53">
        <v>25</v>
      </c>
    </row>
    <row r="51" spans="2:9" x14ac:dyDescent="0.25">
      <c r="B51" s="48" t="s">
        <v>209</v>
      </c>
      <c r="C51" s="51" t="s">
        <v>108</v>
      </c>
      <c r="D51" s="51" t="s">
        <v>109</v>
      </c>
      <c r="E51" s="46" t="s">
        <v>29</v>
      </c>
      <c r="F51" s="49" t="s">
        <v>172</v>
      </c>
      <c r="G51" s="50" t="s">
        <v>46</v>
      </c>
      <c r="H51" s="53"/>
      <c r="I51" s="53"/>
    </row>
    <row r="52" spans="2:9" x14ac:dyDescent="0.25">
      <c r="B52" s="48" t="s">
        <v>209</v>
      </c>
      <c r="C52" s="51" t="s">
        <v>108</v>
      </c>
      <c r="D52" s="51" t="s">
        <v>109</v>
      </c>
      <c r="E52" s="46" t="s">
        <v>29</v>
      </c>
      <c r="F52" s="48" t="s">
        <v>162</v>
      </c>
      <c r="G52" s="46" t="s">
        <v>31</v>
      </c>
      <c r="H52" s="53"/>
      <c r="I52" s="53"/>
    </row>
    <row r="53" spans="2:9" x14ac:dyDescent="0.25">
      <c r="B53" s="48" t="s">
        <v>209</v>
      </c>
      <c r="C53" s="51" t="s">
        <v>108</v>
      </c>
      <c r="D53" s="51" t="s">
        <v>109</v>
      </c>
      <c r="E53" s="46" t="s">
        <v>34</v>
      </c>
      <c r="F53" s="48" t="s">
        <v>173</v>
      </c>
      <c r="G53" s="46" t="s">
        <v>47</v>
      </c>
      <c r="H53" s="53"/>
      <c r="I53" s="53"/>
    </row>
    <row r="54" spans="2:9" x14ac:dyDescent="0.25">
      <c r="B54" s="48" t="s">
        <v>210</v>
      </c>
      <c r="C54" s="51" t="s">
        <v>110</v>
      </c>
      <c r="D54" s="51" t="s">
        <v>109</v>
      </c>
      <c r="E54" s="46" t="s">
        <v>29</v>
      </c>
      <c r="F54" s="48" t="s">
        <v>162</v>
      </c>
      <c r="G54" s="46" t="s">
        <v>31</v>
      </c>
      <c r="H54" s="53"/>
      <c r="I54" s="53"/>
    </row>
    <row r="55" spans="2:9" x14ac:dyDescent="0.25">
      <c r="B55" s="48" t="s">
        <v>210</v>
      </c>
      <c r="C55" s="51" t="s">
        <v>110</v>
      </c>
      <c r="D55" s="51" t="s">
        <v>109</v>
      </c>
      <c r="E55" s="46" t="s">
        <v>34</v>
      </c>
      <c r="F55" s="48" t="s">
        <v>166</v>
      </c>
      <c r="G55" s="46" t="s">
        <v>35</v>
      </c>
      <c r="H55" s="53" t="s">
        <v>309</v>
      </c>
      <c r="I55" s="53">
        <v>10</v>
      </c>
    </row>
    <row r="56" spans="2:9" x14ac:dyDescent="0.25">
      <c r="B56" s="48" t="s">
        <v>210</v>
      </c>
      <c r="C56" s="51" t="s">
        <v>110</v>
      </c>
      <c r="D56" s="51" t="s">
        <v>109</v>
      </c>
      <c r="E56" s="46" t="s">
        <v>34</v>
      </c>
      <c r="F56" s="48" t="s">
        <v>173</v>
      </c>
      <c r="G56" s="46" t="s">
        <v>47</v>
      </c>
      <c r="H56" s="53"/>
      <c r="I56" s="53"/>
    </row>
    <row r="57" spans="2:9" x14ac:dyDescent="0.25">
      <c r="B57" s="48" t="s">
        <v>211</v>
      </c>
      <c r="C57" s="51" t="s">
        <v>111</v>
      </c>
      <c r="D57" s="51" t="s">
        <v>256</v>
      </c>
      <c r="E57" s="46" t="s">
        <v>29</v>
      </c>
      <c r="F57" s="48" t="s">
        <v>165</v>
      </c>
      <c r="G57" s="46" t="s">
        <v>33</v>
      </c>
      <c r="H57" s="53"/>
      <c r="I57" s="53"/>
    </row>
    <row r="58" spans="2:9" x14ac:dyDescent="0.25">
      <c r="B58" s="48" t="s">
        <v>211</v>
      </c>
      <c r="C58" s="51" t="s">
        <v>111</v>
      </c>
      <c r="D58" s="51" t="s">
        <v>256</v>
      </c>
      <c r="E58" s="46" t="s">
        <v>34</v>
      </c>
      <c r="F58" s="48" t="s">
        <v>181</v>
      </c>
      <c r="G58" s="46" t="s">
        <v>56</v>
      </c>
      <c r="H58" s="53"/>
      <c r="I58" s="53"/>
    </row>
    <row r="59" spans="2:9" x14ac:dyDescent="0.25">
      <c r="B59" s="48" t="s">
        <v>211</v>
      </c>
      <c r="C59" s="51" t="s">
        <v>111</v>
      </c>
      <c r="D59" s="51" t="s">
        <v>256</v>
      </c>
      <c r="E59" s="46" t="s">
        <v>34</v>
      </c>
      <c r="F59" s="48" t="s">
        <v>177</v>
      </c>
      <c r="G59" s="46" t="s">
        <v>52</v>
      </c>
      <c r="H59" s="53"/>
      <c r="I59" s="53"/>
    </row>
    <row r="60" spans="2:9" x14ac:dyDescent="0.25">
      <c r="B60" s="48" t="s">
        <v>211</v>
      </c>
      <c r="C60" s="51" t="s">
        <v>111</v>
      </c>
      <c r="D60" s="51" t="s">
        <v>256</v>
      </c>
      <c r="E60" s="46" t="s">
        <v>34</v>
      </c>
      <c r="F60" s="48" t="s">
        <v>178</v>
      </c>
      <c r="G60" s="46" t="s">
        <v>53</v>
      </c>
      <c r="H60" s="53"/>
      <c r="I60" s="53"/>
    </row>
    <row r="61" spans="2:9" x14ac:dyDescent="0.25">
      <c r="B61" s="48" t="s">
        <v>212</v>
      </c>
      <c r="C61" s="51" t="s">
        <v>112</v>
      </c>
      <c r="D61" s="51" t="s">
        <v>256</v>
      </c>
      <c r="E61" s="46" t="s">
        <v>29</v>
      </c>
      <c r="F61" s="48" t="s">
        <v>162</v>
      </c>
      <c r="G61" s="46" t="s">
        <v>31</v>
      </c>
      <c r="H61" s="53" t="s">
        <v>275</v>
      </c>
      <c r="I61" s="53">
        <v>60</v>
      </c>
    </row>
    <row r="62" spans="2:9" x14ac:dyDescent="0.25">
      <c r="B62" s="48" t="s">
        <v>212</v>
      </c>
      <c r="C62" s="51" t="s">
        <v>112</v>
      </c>
      <c r="D62" s="51" t="s">
        <v>256</v>
      </c>
      <c r="E62" s="46" t="s">
        <v>34</v>
      </c>
      <c r="F62" s="48" t="s">
        <v>181</v>
      </c>
      <c r="G62" s="46" t="s">
        <v>56</v>
      </c>
      <c r="H62" s="53"/>
      <c r="I62" s="53"/>
    </row>
    <row r="63" spans="2:9" x14ac:dyDescent="0.25">
      <c r="B63" s="48" t="s">
        <v>213</v>
      </c>
      <c r="C63" s="51" t="s">
        <v>113</v>
      </c>
      <c r="D63" s="51" t="s">
        <v>256</v>
      </c>
      <c r="E63" s="46" t="s">
        <v>34</v>
      </c>
      <c r="F63" s="48" t="s">
        <v>167</v>
      </c>
      <c r="G63" s="46" t="s">
        <v>36</v>
      </c>
      <c r="H63" s="53"/>
      <c r="I63" s="53"/>
    </row>
    <row r="64" spans="2:9" x14ac:dyDescent="0.25">
      <c r="B64" s="48" t="s">
        <v>214</v>
      </c>
      <c r="C64" s="51" t="s">
        <v>114</v>
      </c>
      <c r="D64" s="51" t="s">
        <v>256</v>
      </c>
      <c r="E64" s="46" t="s">
        <v>34</v>
      </c>
      <c r="F64" s="48" t="s">
        <v>167</v>
      </c>
      <c r="G64" s="46" t="s">
        <v>36</v>
      </c>
      <c r="H64" s="53" t="s">
        <v>287</v>
      </c>
      <c r="I64" s="53">
        <v>15</v>
      </c>
    </row>
    <row r="65" spans="2:9" x14ac:dyDescent="0.25">
      <c r="B65" s="48" t="s">
        <v>215</v>
      </c>
      <c r="C65" s="51" t="s">
        <v>115</v>
      </c>
      <c r="D65" s="51" t="s">
        <v>256</v>
      </c>
      <c r="E65" s="46" t="s">
        <v>28</v>
      </c>
      <c r="F65" s="48" t="s">
        <v>267</v>
      </c>
      <c r="G65" s="46" t="s">
        <v>266</v>
      </c>
      <c r="H65" s="53" t="s">
        <v>279</v>
      </c>
      <c r="I65" s="53">
        <v>25</v>
      </c>
    </row>
    <row r="66" spans="2:9" x14ac:dyDescent="0.25">
      <c r="B66" s="48" t="s">
        <v>215</v>
      </c>
      <c r="C66" s="51" t="s">
        <v>115</v>
      </c>
      <c r="D66" s="51" t="s">
        <v>256</v>
      </c>
      <c r="E66" s="46" t="s">
        <v>29</v>
      </c>
      <c r="F66" s="48" t="s">
        <v>162</v>
      </c>
      <c r="G66" s="46" t="s">
        <v>31</v>
      </c>
      <c r="H66" s="54" t="s">
        <v>279</v>
      </c>
      <c r="I66" s="53">
        <v>60</v>
      </c>
    </row>
    <row r="67" spans="2:9" x14ac:dyDescent="0.25">
      <c r="B67" s="48" t="s">
        <v>215</v>
      </c>
      <c r="C67" s="51" t="s">
        <v>115</v>
      </c>
      <c r="D67" s="51" t="s">
        <v>256</v>
      </c>
      <c r="E67" s="46" t="s">
        <v>34</v>
      </c>
      <c r="F67" s="48" t="s">
        <v>173</v>
      </c>
      <c r="G67" s="46" t="s">
        <v>47</v>
      </c>
      <c r="H67" s="54" t="s">
        <v>279</v>
      </c>
      <c r="I67" s="53">
        <v>100</v>
      </c>
    </row>
    <row r="68" spans="2:9" x14ac:dyDescent="0.25">
      <c r="B68" s="48" t="s">
        <v>215</v>
      </c>
      <c r="C68" s="51" t="s">
        <v>115</v>
      </c>
      <c r="D68" s="51" t="s">
        <v>256</v>
      </c>
      <c r="E68" s="46" t="s">
        <v>34</v>
      </c>
      <c r="F68" s="48" t="s">
        <v>166</v>
      </c>
      <c r="G68" s="46" t="s">
        <v>35</v>
      </c>
      <c r="H68" s="53"/>
      <c r="I68" s="53"/>
    </row>
    <row r="69" spans="2:9" x14ac:dyDescent="0.25">
      <c r="B69" s="48" t="s">
        <v>216</v>
      </c>
      <c r="C69" s="51" t="s">
        <v>116</v>
      </c>
      <c r="D69" s="51" t="s">
        <v>256</v>
      </c>
      <c r="E69" s="46" t="s">
        <v>29</v>
      </c>
      <c r="F69" s="48" t="s">
        <v>162</v>
      </c>
      <c r="G69" s="46" t="s">
        <v>31</v>
      </c>
      <c r="H69" s="53" t="s">
        <v>280</v>
      </c>
      <c r="I69" s="53">
        <v>66</v>
      </c>
    </row>
    <row r="70" spans="2:9" x14ac:dyDescent="0.25">
      <c r="B70" s="48" t="s">
        <v>217</v>
      </c>
      <c r="C70" s="51" t="s">
        <v>117</v>
      </c>
      <c r="D70" s="51" t="s">
        <v>256</v>
      </c>
      <c r="E70" s="46" t="s">
        <v>29</v>
      </c>
      <c r="F70" s="48" t="s">
        <v>183</v>
      </c>
      <c r="G70" s="46" t="s">
        <v>62</v>
      </c>
      <c r="H70" s="53"/>
      <c r="I70" s="53"/>
    </row>
    <row r="71" spans="2:9" x14ac:dyDescent="0.25">
      <c r="B71" s="48" t="s">
        <v>217</v>
      </c>
      <c r="C71" s="51" t="s">
        <v>117</v>
      </c>
      <c r="D71" s="51" t="s">
        <v>256</v>
      </c>
      <c r="E71" s="46" t="s">
        <v>34</v>
      </c>
      <c r="F71" s="48" t="s">
        <v>177</v>
      </c>
      <c r="G71" s="46" t="s">
        <v>52</v>
      </c>
      <c r="H71" s="53" t="s">
        <v>282</v>
      </c>
      <c r="I71" s="53">
        <v>18</v>
      </c>
    </row>
    <row r="72" spans="2:9" x14ac:dyDescent="0.25">
      <c r="B72" s="48" t="s">
        <v>218</v>
      </c>
      <c r="C72" s="51" t="s">
        <v>118</v>
      </c>
      <c r="D72" s="51" t="s">
        <v>256</v>
      </c>
      <c r="E72" s="46" t="s">
        <v>29</v>
      </c>
      <c r="F72" s="48" t="s">
        <v>165</v>
      </c>
      <c r="G72" s="46" t="s">
        <v>33</v>
      </c>
      <c r="H72" s="53" t="s">
        <v>283</v>
      </c>
      <c r="I72" s="53">
        <v>250</v>
      </c>
    </row>
    <row r="73" spans="2:9" x14ac:dyDescent="0.25">
      <c r="B73" s="48" t="s">
        <v>218</v>
      </c>
      <c r="C73" s="51" t="s">
        <v>118</v>
      </c>
      <c r="D73" s="51" t="s">
        <v>256</v>
      </c>
      <c r="E73" s="46" t="s">
        <v>34</v>
      </c>
      <c r="F73" s="48" t="s">
        <v>181</v>
      </c>
      <c r="G73" s="46" t="s">
        <v>56</v>
      </c>
      <c r="H73" s="54" t="s">
        <v>283</v>
      </c>
      <c r="I73" s="53">
        <v>20</v>
      </c>
    </row>
    <row r="74" spans="2:9" x14ac:dyDescent="0.25">
      <c r="B74" s="48" t="s">
        <v>218</v>
      </c>
      <c r="C74" s="51" t="s">
        <v>118</v>
      </c>
      <c r="D74" s="51" t="s">
        <v>256</v>
      </c>
      <c r="E74" s="46" t="s">
        <v>34</v>
      </c>
      <c r="F74" s="48" t="s">
        <v>177</v>
      </c>
      <c r="G74" s="46" t="s">
        <v>52</v>
      </c>
      <c r="H74" s="53"/>
      <c r="I74" s="53"/>
    </row>
    <row r="75" spans="2:9" x14ac:dyDescent="0.25">
      <c r="B75" s="48" t="s">
        <v>219</v>
      </c>
      <c r="C75" s="51" t="s">
        <v>119</v>
      </c>
      <c r="D75" s="51" t="s">
        <v>256</v>
      </c>
      <c r="E75" s="46" t="s">
        <v>34</v>
      </c>
      <c r="F75" s="48" t="s">
        <v>167</v>
      </c>
      <c r="G75" s="46" t="s">
        <v>36</v>
      </c>
      <c r="H75" s="53"/>
      <c r="I75" s="53"/>
    </row>
    <row r="76" spans="2:9" x14ac:dyDescent="0.25">
      <c r="B76" s="48" t="s">
        <v>220</v>
      </c>
      <c r="C76" s="51" t="s">
        <v>121</v>
      </c>
      <c r="D76" s="51" t="s">
        <v>256</v>
      </c>
      <c r="E76" s="46" t="s">
        <v>29</v>
      </c>
      <c r="F76" s="48" t="s">
        <v>162</v>
      </c>
      <c r="G76" s="46" t="s">
        <v>31</v>
      </c>
      <c r="H76" s="53"/>
      <c r="I76" s="53"/>
    </row>
    <row r="77" spans="2:9" x14ac:dyDescent="0.25">
      <c r="B77" s="48" t="s">
        <v>221</v>
      </c>
      <c r="C77" s="51" t="s">
        <v>122</v>
      </c>
      <c r="D77" s="51" t="s">
        <v>256</v>
      </c>
      <c r="E77" s="46" t="s">
        <v>29</v>
      </c>
      <c r="F77" s="49" t="s">
        <v>172</v>
      </c>
      <c r="G77" s="50" t="s">
        <v>46</v>
      </c>
      <c r="H77" s="53" t="s">
        <v>284</v>
      </c>
      <c r="I77" s="53">
        <v>25</v>
      </c>
    </row>
    <row r="78" spans="2:9" x14ac:dyDescent="0.25">
      <c r="B78" s="48" t="s">
        <v>221</v>
      </c>
      <c r="C78" s="51" t="s">
        <v>122</v>
      </c>
      <c r="D78" s="51" t="s">
        <v>256</v>
      </c>
      <c r="E78" s="46" t="s">
        <v>29</v>
      </c>
      <c r="F78" s="48" t="s">
        <v>162</v>
      </c>
      <c r="G78" s="46" t="s">
        <v>31</v>
      </c>
      <c r="H78" s="54" t="s">
        <v>284</v>
      </c>
      <c r="I78" s="53">
        <v>22.5</v>
      </c>
    </row>
    <row r="79" spans="2:9" x14ac:dyDescent="0.25">
      <c r="B79" s="48" t="s">
        <v>221</v>
      </c>
      <c r="C79" s="51" t="s">
        <v>122</v>
      </c>
      <c r="D79" s="51" t="s">
        <v>256</v>
      </c>
      <c r="E79" s="46" t="s">
        <v>29</v>
      </c>
      <c r="F79" s="48" t="s">
        <v>165</v>
      </c>
      <c r="G79" s="46" t="s">
        <v>33</v>
      </c>
      <c r="H79" s="54" t="s">
        <v>284</v>
      </c>
      <c r="I79" s="53">
        <v>40</v>
      </c>
    </row>
    <row r="80" spans="2:9" x14ac:dyDescent="0.25">
      <c r="B80" s="48" t="s">
        <v>221</v>
      </c>
      <c r="C80" s="51" t="s">
        <v>122</v>
      </c>
      <c r="D80" s="51" t="s">
        <v>256</v>
      </c>
      <c r="E80" s="46" t="s">
        <v>34</v>
      </c>
      <c r="F80" s="48" t="s">
        <v>166</v>
      </c>
      <c r="G80" s="46" t="s">
        <v>35</v>
      </c>
      <c r="H80" s="54" t="s">
        <v>284</v>
      </c>
      <c r="I80" s="53">
        <v>6.67</v>
      </c>
    </row>
    <row r="81" spans="2:9" x14ac:dyDescent="0.25">
      <c r="B81" s="48" t="s">
        <v>221</v>
      </c>
      <c r="C81" s="51" t="s">
        <v>122</v>
      </c>
      <c r="D81" s="51" t="s">
        <v>256</v>
      </c>
      <c r="E81" s="46" t="s">
        <v>34</v>
      </c>
      <c r="F81" s="48" t="s">
        <v>167</v>
      </c>
      <c r="G81" s="46" t="s">
        <v>36</v>
      </c>
      <c r="H81" s="54" t="s">
        <v>284</v>
      </c>
      <c r="I81" s="53">
        <v>30</v>
      </c>
    </row>
    <row r="82" spans="2:9" x14ac:dyDescent="0.25">
      <c r="B82" s="48" t="s">
        <v>221</v>
      </c>
      <c r="C82" s="51" t="s">
        <v>122</v>
      </c>
      <c r="D82" s="51" t="s">
        <v>256</v>
      </c>
      <c r="E82" s="46" t="s">
        <v>34</v>
      </c>
      <c r="F82" s="48" t="s">
        <v>173</v>
      </c>
      <c r="G82" s="46" t="s">
        <v>47</v>
      </c>
      <c r="H82" s="54" t="s">
        <v>284</v>
      </c>
      <c r="I82" s="53">
        <v>200</v>
      </c>
    </row>
    <row r="83" spans="2:9" x14ac:dyDescent="0.25">
      <c r="B83" s="48" t="s">
        <v>222</v>
      </c>
      <c r="C83" s="51" t="s">
        <v>123</v>
      </c>
      <c r="D83" s="51" t="s">
        <v>256</v>
      </c>
      <c r="E83" s="46" t="s">
        <v>29</v>
      </c>
      <c r="F83" s="48" t="s">
        <v>162</v>
      </c>
      <c r="G83" s="46" t="s">
        <v>31</v>
      </c>
      <c r="H83" s="53"/>
      <c r="I83" s="53"/>
    </row>
    <row r="84" spans="2:9" x14ac:dyDescent="0.25">
      <c r="B84" s="48" t="s">
        <v>222</v>
      </c>
      <c r="C84" s="51" t="s">
        <v>123</v>
      </c>
      <c r="D84" s="51" t="s">
        <v>256</v>
      </c>
      <c r="E84" s="46" t="s">
        <v>34</v>
      </c>
      <c r="F84" s="48" t="s">
        <v>173</v>
      </c>
      <c r="G84" s="46" t="s">
        <v>47</v>
      </c>
      <c r="H84" s="53"/>
      <c r="I84" s="53"/>
    </row>
    <row r="85" spans="2:9" x14ac:dyDescent="0.25">
      <c r="B85" s="48" t="s">
        <v>222</v>
      </c>
      <c r="C85" s="51" t="s">
        <v>123</v>
      </c>
      <c r="D85" s="51" t="s">
        <v>256</v>
      </c>
      <c r="E85" s="46" t="s">
        <v>29</v>
      </c>
      <c r="F85" s="48" t="s">
        <v>165</v>
      </c>
      <c r="G85" s="46" t="s">
        <v>33</v>
      </c>
      <c r="H85" s="53"/>
      <c r="I85" s="53"/>
    </row>
    <row r="86" spans="2:9" x14ac:dyDescent="0.25">
      <c r="B86" s="48" t="s">
        <v>223</v>
      </c>
      <c r="C86" s="51" t="s">
        <v>124</v>
      </c>
      <c r="D86" s="51" t="s">
        <v>256</v>
      </c>
      <c r="E86" s="46" t="s">
        <v>29</v>
      </c>
      <c r="F86" s="48" t="s">
        <v>162</v>
      </c>
      <c r="G86" s="46" t="s">
        <v>31</v>
      </c>
      <c r="H86" s="53"/>
      <c r="I86" s="53"/>
    </row>
    <row r="87" spans="2:9" x14ac:dyDescent="0.25">
      <c r="B87" s="48" t="s">
        <v>223</v>
      </c>
      <c r="C87" s="51" t="s">
        <v>124</v>
      </c>
      <c r="D87" s="51" t="s">
        <v>256</v>
      </c>
      <c r="E87" s="46" t="s">
        <v>48</v>
      </c>
      <c r="F87" s="48" t="s">
        <v>175</v>
      </c>
      <c r="G87" s="46" t="s">
        <v>49</v>
      </c>
      <c r="H87" s="53"/>
      <c r="I87" s="53"/>
    </row>
    <row r="88" spans="2:9" x14ac:dyDescent="0.25">
      <c r="B88" s="48" t="s">
        <v>223</v>
      </c>
      <c r="C88" s="51" t="s">
        <v>124</v>
      </c>
      <c r="D88" s="51" t="s">
        <v>256</v>
      </c>
      <c r="E88" s="46" t="s">
        <v>48</v>
      </c>
      <c r="F88" s="48" t="s">
        <v>182</v>
      </c>
      <c r="G88" s="46" t="s">
        <v>57</v>
      </c>
      <c r="H88" s="53" t="s">
        <v>286</v>
      </c>
      <c r="I88" s="53">
        <v>0.83</v>
      </c>
    </row>
    <row r="89" spans="2:9" x14ac:dyDescent="0.25">
      <c r="B89" s="48" t="s">
        <v>223</v>
      </c>
      <c r="C89" s="51" t="s">
        <v>124</v>
      </c>
      <c r="D89" s="51" t="s">
        <v>256</v>
      </c>
      <c r="E89" s="46" t="s">
        <v>29</v>
      </c>
      <c r="F89" s="48" t="s">
        <v>165</v>
      </c>
      <c r="G89" s="46" t="s">
        <v>33</v>
      </c>
      <c r="H89" s="53"/>
      <c r="I89" s="53"/>
    </row>
    <row r="90" spans="2:9" x14ac:dyDescent="0.25">
      <c r="B90" s="48" t="s">
        <v>224</v>
      </c>
      <c r="C90" s="51" t="s">
        <v>125</v>
      </c>
      <c r="D90" s="51" t="s">
        <v>256</v>
      </c>
      <c r="E90" s="46" t="s">
        <v>29</v>
      </c>
      <c r="F90" s="48" t="s">
        <v>179</v>
      </c>
      <c r="G90" s="46" t="s">
        <v>54</v>
      </c>
      <c r="H90" s="53" t="s">
        <v>288</v>
      </c>
      <c r="I90" s="53">
        <v>78.75</v>
      </c>
    </row>
    <row r="91" spans="2:9" x14ac:dyDescent="0.25">
      <c r="B91" s="48" t="s">
        <v>224</v>
      </c>
      <c r="C91" s="51" t="s">
        <v>125</v>
      </c>
      <c r="D91" s="51" t="s">
        <v>256</v>
      </c>
      <c r="E91" s="46" t="s">
        <v>34</v>
      </c>
      <c r="F91" s="48" t="s">
        <v>167</v>
      </c>
      <c r="G91" s="46" t="s">
        <v>36</v>
      </c>
      <c r="H91" s="54" t="s">
        <v>288</v>
      </c>
      <c r="I91" s="53">
        <v>228.5</v>
      </c>
    </row>
    <row r="92" spans="2:9" x14ac:dyDescent="0.25">
      <c r="B92" s="48" t="s">
        <v>224</v>
      </c>
      <c r="C92" s="51" t="s">
        <v>125</v>
      </c>
      <c r="D92" s="51" t="s">
        <v>256</v>
      </c>
      <c r="E92" s="46" t="s">
        <v>34</v>
      </c>
      <c r="F92" s="48" t="s">
        <v>173</v>
      </c>
      <c r="G92" s="46" t="s">
        <v>47</v>
      </c>
      <c r="H92" s="53"/>
      <c r="I92" s="53"/>
    </row>
    <row r="93" spans="2:9" x14ac:dyDescent="0.25">
      <c r="B93" s="48" t="s">
        <v>225</v>
      </c>
      <c r="C93" s="51" t="s">
        <v>126</v>
      </c>
      <c r="D93" s="51" t="s">
        <v>256</v>
      </c>
      <c r="E93" s="46" t="s">
        <v>29</v>
      </c>
      <c r="F93" s="48" t="s">
        <v>162</v>
      </c>
      <c r="G93" s="46" t="s">
        <v>31</v>
      </c>
      <c r="H93" s="53" t="s">
        <v>289</v>
      </c>
      <c r="I93" s="53">
        <v>87.5</v>
      </c>
    </row>
    <row r="94" spans="2:9" x14ac:dyDescent="0.25">
      <c r="B94" s="48" t="s">
        <v>225</v>
      </c>
      <c r="C94" s="51" t="s">
        <v>126</v>
      </c>
      <c r="D94" s="51" t="s">
        <v>256</v>
      </c>
      <c r="E94" s="46" t="s">
        <v>34</v>
      </c>
      <c r="F94" s="48" t="s">
        <v>167</v>
      </c>
      <c r="G94" s="46" t="s">
        <v>36</v>
      </c>
      <c r="H94" s="53"/>
      <c r="I94" s="53"/>
    </row>
    <row r="95" spans="2:9" x14ac:dyDescent="0.25">
      <c r="B95" s="48" t="s">
        <v>225</v>
      </c>
      <c r="C95" s="51" t="s">
        <v>126</v>
      </c>
      <c r="D95" s="51" t="s">
        <v>256</v>
      </c>
      <c r="E95" s="46" t="s">
        <v>29</v>
      </c>
      <c r="F95" s="48" t="s">
        <v>174</v>
      </c>
      <c r="G95" s="46" t="s">
        <v>157</v>
      </c>
      <c r="H95" s="53"/>
      <c r="I95" s="53"/>
    </row>
    <row r="96" spans="2:9" x14ac:dyDescent="0.25">
      <c r="B96" s="48" t="s">
        <v>225</v>
      </c>
      <c r="C96" s="51" t="s">
        <v>126</v>
      </c>
      <c r="D96" s="51" t="s">
        <v>256</v>
      </c>
      <c r="E96" s="46" t="s">
        <v>41</v>
      </c>
      <c r="F96" s="48" t="s">
        <v>171</v>
      </c>
      <c r="G96" s="46" t="s">
        <v>270</v>
      </c>
      <c r="H96" s="53"/>
      <c r="I96" s="53"/>
    </row>
    <row r="97" spans="2:9" x14ac:dyDescent="0.25">
      <c r="B97" s="48" t="s">
        <v>225</v>
      </c>
      <c r="C97" s="51" t="s">
        <v>126</v>
      </c>
      <c r="D97" s="51" t="s">
        <v>256</v>
      </c>
      <c r="E97" s="46" t="s">
        <v>41</v>
      </c>
      <c r="F97" s="48" t="s">
        <v>185</v>
      </c>
      <c r="G97" s="46" t="s">
        <v>158</v>
      </c>
      <c r="H97" s="53"/>
      <c r="I97" s="53"/>
    </row>
    <row r="98" spans="2:9" x14ac:dyDescent="0.25">
      <c r="B98" s="48" t="s">
        <v>226</v>
      </c>
      <c r="C98" s="51" t="s">
        <v>127</v>
      </c>
      <c r="D98" s="51" t="s">
        <v>256</v>
      </c>
      <c r="E98" s="46" t="s">
        <v>29</v>
      </c>
      <c r="F98" s="48" t="s">
        <v>162</v>
      </c>
      <c r="G98" s="46" t="s">
        <v>31</v>
      </c>
      <c r="H98" s="53"/>
      <c r="I98" s="53"/>
    </row>
    <row r="99" spans="2:9" x14ac:dyDescent="0.25">
      <c r="B99" s="48" t="s">
        <v>226</v>
      </c>
      <c r="C99" s="51" t="s">
        <v>127</v>
      </c>
      <c r="D99" s="51" t="s">
        <v>256</v>
      </c>
      <c r="E99" s="46" t="s">
        <v>34</v>
      </c>
      <c r="F99" s="48" t="s">
        <v>167</v>
      </c>
      <c r="G99" s="46" t="s">
        <v>36</v>
      </c>
      <c r="H99" s="53"/>
      <c r="I99" s="53"/>
    </row>
    <row r="100" spans="2:9" x14ac:dyDescent="0.25">
      <c r="B100" s="48" t="s">
        <v>227</v>
      </c>
      <c r="C100" s="51" t="s">
        <v>128</v>
      </c>
      <c r="D100" s="51" t="s">
        <v>256</v>
      </c>
      <c r="E100" s="46" t="s">
        <v>29</v>
      </c>
      <c r="F100" s="48" t="s">
        <v>183</v>
      </c>
      <c r="G100" s="46" t="s">
        <v>62</v>
      </c>
      <c r="H100" s="53"/>
      <c r="I100" s="53"/>
    </row>
    <row r="101" spans="2:9" x14ac:dyDescent="0.25">
      <c r="B101" s="48" t="s">
        <v>228</v>
      </c>
      <c r="C101" s="51" t="s">
        <v>129</v>
      </c>
      <c r="D101" s="51" t="s">
        <v>256</v>
      </c>
      <c r="E101" s="46" t="s">
        <v>29</v>
      </c>
      <c r="F101" s="48" t="s">
        <v>183</v>
      </c>
      <c r="G101" s="46" t="s">
        <v>62</v>
      </c>
      <c r="H101" s="53"/>
      <c r="I101" s="53"/>
    </row>
    <row r="102" spans="2:9" x14ac:dyDescent="0.25">
      <c r="B102" s="48" t="s">
        <v>229</v>
      </c>
      <c r="C102" s="51" t="s">
        <v>130</v>
      </c>
      <c r="D102" s="51" t="s">
        <v>256</v>
      </c>
      <c r="E102" s="46" t="s">
        <v>29</v>
      </c>
      <c r="F102" s="48" t="s">
        <v>162</v>
      </c>
      <c r="G102" s="46" t="s">
        <v>31</v>
      </c>
      <c r="H102" s="53" t="s">
        <v>290</v>
      </c>
      <c r="I102" s="53">
        <v>220.5</v>
      </c>
    </row>
    <row r="103" spans="2:9" x14ac:dyDescent="0.25">
      <c r="B103" s="48" t="s">
        <v>229</v>
      </c>
      <c r="C103" s="51" t="s">
        <v>130</v>
      </c>
      <c r="D103" s="51" t="s">
        <v>256</v>
      </c>
      <c r="E103" s="46" t="s">
        <v>34</v>
      </c>
      <c r="F103" s="48" t="s">
        <v>167</v>
      </c>
      <c r="G103" s="46" t="s">
        <v>36</v>
      </c>
      <c r="H103" s="54" t="s">
        <v>290</v>
      </c>
      <c r="I103" s="53">
        <v>242</v>
      </c>
    </row>
    <row r="104" spans="2:9" x14ac:dyDescent="0.25">
      <c r="B104" s="48" t="s">
        <v>229</v>
      </c>
      <c r="C104" s="51" t="s">
        <v>130</v>
      </c>
      <c r="D104" s="51" t="s">
        <v>256</v>
      </c>
      <c r="E104" s="46" t="s">
        <v>34</v>
      </c>
      <c r="F104" s="48" t="s">
        <v>173</v>
      </c>
      <c r="G104" s="46" t="s">
        <v>47</v>
      </c>
      <c r="H104" s="53"/>
      <c r="I104" s="53"/>
    </row>
    <row r="105" spans="2:9" x14ac:dyDescent="0.25">
      <c r="B105" s="48" t="s">
        <v>230</v>
      </c>
      <c r="C105" s="51" t="s">
        <v>131</v>
      </c>
      <c r="D105" s="51" t="s">
        <v>256</v>
      </c>
      <c r="E105" s="46" t="s">
        <v>29</v>
      </c>
      <c r="F105" s="48" t="s">
        <v>165</v>
      </c>
      <c r="G105" s="46" t="s">
        <v>33</v>
      </c>
      <c r="H105" s="53" t="s">
        <v>291</v>
      </c>
      <c r="I105" s="53">
        <v>65</v>
      </c>
    </row>
    <row r="106" spans="2:9" x14ac:dyDescent="0.25">
      <c r="B106" s="48" t="s">
        <v>230</v>
      </c>
      <c r="C106" s="51" t="s">
        <v>131</v>
      </c>
      <c r="D106" s="51" t="s">
        <v>256</v>
      </c>
      <c r="E106" s="46" t="s">
        <v>34</v>
      </c>
      <c r="F106" s="48" t="s">
        <v>167</v>
      </c>
      <c r="G106" s="46" t="s">
        <v>36</v>
      </c>
      <c r="H106" s="54" t="s">
        <v>291</v>
      </c>
      <c r="I106" s="53">
        <v>190</v>
      </c>
    </row>
    <row r="107" spans="2:9" x14ac:dyDescent="0.25">
      <c r="B107" s="48" t="s">
        <v>230</v>
      </c>
      <c r="C107" s="51" t="s">
        <v>131</v>
      </c>
      <c r="D107" s="51" t="s">
        <v>256</v>
      </c>
      <c r="E107" s="46" t="s">
        <v>34</v>
      </c>
      <c r="F107" s="48" t="s">
        <v>173</v>
      </c>
      <c r="G107" s="46" t="s">
        <v>47</v>
      </c>
      <c r="H107" s="53"/>
      <c r="I107" s="53"/>
    </row>
    <row r="108" spans="2:9" x14ac:dyDescent="0.25">
      <c r="B108" s="48" t="s">
        <v>230</v>
      </c>
      <c r="C108" s="51" t="s">
        <v>131</v>
      </c>
      <c r="D108" s="51" t="s">
        <v>256</v>
      </c>
      <c r="E108" s="46" t="s">
        <v>29</v>
      </c>
      <c r="F108" s="48" t="s">
        <v>162</v>
      </c>
      <c r="G108" s="46" t="s">
        <v>31</v>
      </c>
      <c r="H108" s="53"/>
      <c r="I108" s="53"/>
    </row>
    <row r="109" spans="2:9" x14ac:dyDescent="0.25">
      <c r="B109" s="48" t="s">
        <v>231</v>
      </c>
      <c r="C109" s="51" t="s">
        <v>132</v>
      </c>
      <c r="D109" s="51" t="s">
        <v>256</v>
      </c>
      <c r="E109" s="46" t="s">
        <v>29</v>
      </c>
      <c r="F109" s="48" t="s">
        <v>183</v>
      </c>
      <c r="G109" s="46" t="s">
        <v>62</v>
      </c>
      <c r="H109" s="53"/>
      <c r="I109" s="53"/>
    </row>
    <row r="110" spans="2:9" x14ac:dyDescent="0.25">
      <c r="B110" s="48" t="s">
        <v>231</v>
      </c>
      <c r="C110" s="51" t="s">
        <v>132</v>
      </c>
      <c r="D110" s="51" t="s">
        <v>256</v>
      </c>
      <c r="E110" s="46" t="s">
        <v>29</v>
      </c>
      <c r="F110" s="48" t="s">
        <v>165</v>
      </c>
      <c r="G110" s="46" t="s">
        <v>33</v>
      </c>
      <c r="H110" s="53"/>
      <c r="I110" s="53"/>
    </row>
    <row r="111" spans="2:9" x14ac:dyDescent="0.25">
      <c r="B111" s="48" t="s">
        <v>231</v>
      </c>
      <c r="C111" s="51" t="s">
        <v>132</v>
      </c>
      <c r="D111" s="51" t="s">
        <v>256</v>
      </c>
      <c r="E111" s="46" t="s">
        <v>38</v>
      </c>
      <c r="F111" s="48" t="s">
        <v>170</v>
      </c>
      <c r="G111" s="46" t="s">
        <v>40</v>
      </c>
      <c r="H111" s="53" t="s">
        <v>293</v>
      </c>
      <c r="I111" s="53">
        <v>20</v>
      </c>
    </row>
    <row r="112" spans="2:9" x14ac:dyDescent="0.25">
      <c r="B112" s="48" t="s">
        <v>232</v>
      </c>
      <c r="C112" s="51" t="s">
        <v>133</v>
      </c>
      <c r="D112" s="51" t="s">
        <v>256</v>
      </c>
      <c r="E112" s="46" t="s">
        <v>29</v>
      </c>
      <c r="F112" s="48" t="s">
        <v>179</v>
      </c>
      <c r="G112" s="46" t="s">
        <v>54</v>
      </c>
      <c r="H112" s="53"/>
      <c r="I112" s="53"/>
    </row>
    <row r="113" spans="2:9" x14ac:dyDescent="0.25">
      <c r="B113" s="48" t="s">
        <v>232</v>
      </c>
      <c r="C113" s="51" t="s">
        <v>133</v>
      </c>
      <c r="D113" s="51" t="s">
        <v>256</v>
      </c>
      <c r="E113" s="46" t="s">
        <v>34</v>
      </c>
      <c r="F113" s="48" t="s">
        <v>166</v>
      </c>
      <c r="G113" s="46" t="s">
        <v>35</v>
      </c>
      <c r="H113" s="53"/>
      <c r="I113" s="53"/>
    </row>
    <row r="114" spans="2:9" x14ac:dyDescent="0.25">
      <c r="B114" s="48" t="s">
        <v>232</v>
      </c>
      <c r="C114" s="51" t="s">
        <v>133</v>
      </c>
      <c r="D114" s="51" t="s">
        <v>256</v>
      </c>
      <c r="E114" s="46" t="s">
        <v>34</v>
      </c>
      <c r="F114" s="48" t="s">
        <v>178</v>
      </c>
      <c r="G114" s="46" t="s">
        <v>53</v>
      </c>
      <c r="H114" s="53"/>
      <c r="I114" s="53"/>
    </row>
    <row r="115" spans="2:9" x14ac:dyDescent="0.25">
      <c r="B115" s="48" t="s">
        <v>233</v>
      </c>
      <c r="C115" s="51" t="s">
        <v>134</v>
      </c>
      <c r="D115" s="51" t="s">
        <v>256</v>
      </c>
      <c r="E115" s="46" t="s">
        <v>28</v>
      </c>
      <c r="F115" s="48" t="s">
        <v>267</v>
      </c>
      <c r="G115" s="46" t="s">
        <v>266</v>
      </c>
      <c r="H115" s="53" t="s">
        <v>294</v>
      </c>
      <c r="I115" s="53">
        <v>210</v>
      </c>
    </row>
    <row r="116" spans="2:9" x14ac:dyDescent="0.25">
      <c r="B116" s="48" t="s">
        <v>233</v>
      </c>
      <c r="C116" s="51" t="s">
        <v>134</v>
      </c>
      <c r="D116" s="51" t="s">
        <v>256</v>
      </c>
      <c r="E116" s="46" t="s">
        <v>29</v>
      </c>
      <c r="F116" s="49" t="s">
        <v>172</v>
      </c>
      <c r="G116" s="50" t="s">
        <v>46</v>
      </c>
      <c r="H116" s="53"/>
      <c r="I116" s="53"/>
    </row>
    <row r="117" spans="2:9" x14ac:dyDescent="0.25">
      <c r="B117" s="48" t="s">
        <v>233</v>
      </c>
      <c r="C117" s="51" t="s">
        <v>134</v>
      </c>
      <c r="D117" s="51" t="s">
        <v>256</v>
      </c>
      <c r="E117" s="46" t="s">
        <v>29</v>
      </c>
      <c r="F117" s="48" t="s">
        <v>165</v>
      </c>
      <c r="G117" s="46" t="s">
        <v>33</v>
      </c>
      <c r="H117" s="53"/>
      <c r="I117" s="53"/>
    </row>
    <row r="118" spans="2:9" x14ac:dyDescent="0.25">
      <c r="B118" s="48" t="s">
        <v>233</v>
      </c>
      <c r="C118" s="51" t="s">
        <v>134</v>
      </c>
      <c r="D118" s="51" t="s">
        <v>256</v>
      </c>
      <c r="E118" s="46" t="s">
        <v>34</v>
      </c>
      <c r="F118" s="48" t="s">
        <v>166</v>
      </c>
      <c r="G118" s="46" t="s">
        <v>35</v>
      </c>
      <c r="H118" s="53"/>
      <c r="I118" s="53"/>
    </row>
    <row r="119" spans="2:9" x14ac:dyDescent="0.25">
      <c r="B119" s="48" t="s">
        <v>233</v>
      </c>
      <c r="C119" s="51" t="s">
        <v>134</v>
      </c>
      <c r="D119" s="51" t="s">
        <v>256</v>
      </c>
      <c r="E119" s="46" t="s">
        <v>34</v>
      </c>
      <c r="F119" s="48" t="s">
        <v>168</v>
      </c>
      <c r="G119" s="46" t="s">
        <v>37</v>
      </c>
      <c r="H119" s="54" t="s">
        <v>294</v>
      </c>
      <c r="I119" s="53">
        <v>5</v>
      </c>
    </row>
    <row r="120" spans="2:9" x14ac:dyDescent="0.25">
      <c r="B120" s="48" t="s">
        <v>234</v>
      </c>
      <c r="C120" s="51" t="s">
        <v>136</v>
      </c>
      <c r="D120" s="51" t="s">
        <v>256</v>
      </c>
      <c r="E120" s="46" t="s">
        <v>29</v>
      </c>
      <c r="F120" s="48" t="s">
        <v>165</v>
      </c>
      <c r="G120" s="46" t="s">
        <v>33</v>
      </c>
      <c r="H120" s="53" t="s">
        <v>295</v>
      </c>
      <c r="I120" s="53">
        <v>12.5</v>
      </c>
    </row>
    <row r="121" spans="2:9" x14ac:dyDescent="0.25">
      <c r="B121" s="48" t="s">
        <v>234</v>
      </c>
      <c r="C121" s="51" t="s">
        <v>136</v>
      </c>
      <c r="D121" s="51" t="s">
        <v>256</v>
      </c>
      <c r="E121" s="46" t="s">
        <v>34</v>
      </c>
      <c r="F121" s="48" t="s">
        <v>167</v>
      </c>
      <c r="G121" s="46" t="s">
        <v>36</v>
      </c>
      <c r="H121" s="54" t="s">
        <v>295</v>
      </c>
      <c r="I121" s="53">
        <v>40</v>
      </c>
    </row>
    <row r="122" spans="2:9" x14ac:dyDescent="0.25">
      <c r="B122" s="48" t="s">
        <v>235</v>
      </c>
      <c r="C122" s="51" t="s">
        <v>137</v>
      </c>
      <c r="D122" s="51" t="s">
        <v>256</v>
      </c>
      <c r="E122" s="46" t="s">
        <v>29</v>
      </c>
      <c r="F122" s="48" t="s">
        <v>162</v>
      </c>
      <c r="G122" s="46" t="s">
        <v>31</v>
      </c>
      <c r="H122" s="53"/>
      <c r="I122" s="53"/>
    </row>
    <row r="123" spans="2:9" x14ac:dyDescent="0.25">
      <c r="B123" s="48" t="s">
        <v>235</v>
      </c>
      <c r="C123" s="51" t="s">
        <v>137</v>
      </c>
      <c r="D123" s="51" t="s">
        <v>256</v>
      </c>
      <c r="E123" s="46" t="s">
        <v>34</v>
      </c>
      <c r="F123" s="48" t="s">
        <v>166</v>
      </c>
      <c r="G123" s="46" t="s">
        <v>35</v>
      </c>
      <c r="H123" s="53"/>
      <c r="I123" s="53"/>
    </row>
    <row r="124" spans="2:9" x14ac:dyDescent="0.25">
      <c r="B124" s="48" t="s">
        <v>235</v>
      </c>
      <c r="C124" s="51" t="s">
        <v>137</v>
      </c>
      <c r="D124" s="51" t="s">
        <v>256</v>
      </c>
      <c r="E124" s="46" t="s">
        <v>34</v>
      </c>
      <c r="F124" s="48" t="s">
        <v>167</v>
      </c>
      <c r="G124" s="46" t="s">
        <v>36</v>
      </c>
      <c r="H124" s="53"/>
      <c r="I124" s="53"/>
    </row>
    <row r="125" spans="2:9" x14ac:dyDescent="0.25">
      <c r="B125" s="48" t="s">
        <v>236</v>
      </c>
      <c r="C125" s="51" t="s">
        <v>138</v>
      </c>
      <c r="D125" s="51" t="s">
        <v>256</v>
      </c>
      <c r="E125" s="46" t="s">
        <v>29</v>
      </c>
      <c r="F125" s="48" t="s">
        <v>179</v>
      </c>
      <c r="G125" s="46" t="s">
        <v>54</v>
      </c>
      <c r="H125" s="53"/>
      <c r="I125" s="53"/>
    </row>
    <row r="126" spans="2:9" x14ac:dyDescent="0.25">
      <c r="B126" s="48" t="s">
        <v>236</v>
      </c>
      <c r="C126" s="51" t="s">
        <v>138</v>
      </c>
      <c r="D126" s="51" t="s">
        <v>256</v>
      </c>
      <c r="E126" s="46" t="s">
        <v>34</v>
      </c>
      <c r="F126" s="48" t="s">
        <v>180</v>
      </c>
      <c r="G126" s="46" t="s">
        <v>55</v>
      </c>
      <c r="H126" s="53" t="s">
        <v>297</v>
      </c>
      <c r="I126" s="53">
        <v>2.78</v>
      </c>
    </row>
    <row r="127" spans="2:9" x14ac:dyDescent="0.25">
      <c r="B127" s="48" t="s">
        <v>237</v>
      </c>
      <c r="C127" s="51" t="s">
        <v>63</v>
      </c>
      <c r="D127" s="51" t="s">
        <v>256</v>
      </c>
      <c r="E127" s="46" t="s">
        <v>29</v>
      </c>
      <c r="F127" s="48" t="s">
        <v>164</v>
      </c>
      <c r="G127" s="46" t="s">
        <v>32</v>
      </c>
      <c r="H127" s="53" t="s">
        <v>298</v>
      </c>
      <c r="I127" s="53">
        <v>17.329999999999998</v>
      </c>
    </row>
    <row r="128" spans="2:9" x14ac:dyDescent="0.25">
      <c r="B128" s="48" t="s">
        <v>237</v>
      </c>
      <c r="C128" s="51" t="s">
        <v>63</v>
      </c>
      <c r="D128" s="51" t="s">
        <v>256</v>
      </c>
      <c r="E128" s="46" t="s">
        <v>29</v>
      </c>
      <c r="F128" s="48" t="s">
        <v>165</v>
      </c>
      <c r="G128" s="46" t="s">
        <v>33</v>
      </c>
      <c r="H128" s="54" t="s">
        <v>298</v>
      </c>
      <c r="I128" s="53">
        <v>29.25</v>
      </c>
    </row>
    <row r="129" spans="2:9" x14ac:dyDescent="0.25">
      <c r="B129" s="48" t="s">
        <v>237</v>
      </c>
      <c r="C129" s="51" t="s">
        <v>63</v>
      </c>
      <c r="D129" s="51" t="s">
        <v>256</v>
      </c>
      <c r="E129" s="46" t="s">
        <v>34</v>
      </c>
      <c r="F129" s="48" t="s">
        <v>166</v>
      </c>
      <c r="G129" s="46" t="s">
        <v>35</v>
      </c>
      <c r="H129" s="54" t="s">
        <v>298</v>
      </c>
      <c r="I129" s="53">
        <v>12.11</v>
      </c>
    </row>
    <row r="130" spans="2:9" x14ac:dyDescent="0.25">
      <c r="B130" s="48" t="s">
        <v>237</v>
      </c>
      <c r="C130" s="51" t="s">
        <v>63</v>
      </c>
      <c r="D130" s="51" t="s">
        <v>256</v>
      </c>
      <c r="E130" s="46" t="s">
        <v>34</v>
      </c>
      <c r="F130" s="48" t="s">
        <v>181</v>
      </c>
      <c r="G130" s="46" t="s">
        <v>56</v>
      </c>
      <c r="H130" s="53"/>
      <c r="I130" s="53"/>
    </row>
    <row r="131" spans="2:9" x14ac:dyDescent="0.25">
      <c r="B131" s="48" t="s">
        <v>237</v>
      </c>
      <c r="C131" s="51" t="s">
        <v>63</v>
      </c>
      <c r="D131" s="51" t="s">
        <v>256</v>
      </c>
      <c r="E131" s="46" t="s">
        <v>34</v>
      </c>
      <c r="F131" s="48" t="s">
        <v>167</v>
      </c>
      <c r="G131" s="46" t="s">
        <v>36</v>
      </c>
      <c r="H131" s="54" t="s">
        <v>298</v>
      </c>
      <c r="I131" s="53">
        <v>161</v>
      </c>
    </row>
    <row r="132" spans="2:9" x14ac:dyDescent="0.25">
      <c r="B132" s="48" t="s">
        <v>237</v>
      </c>
      <c r="C132" s="51" t="s">
        <v>63</v>
      </c>
      <c r="D132" s="51" t="s">
        <v>256</v>
      </c>
      <c r="E132" s="46" t="s">
        <v>34</v>
      </c>
      <c r="F132" s="48" t="s">
        <v>184</v>
      </c>
      <c r="G132" s="46" t="s">
        <v>66</v>
      </c>
      <c r="H132" s="53"/>
      <c r="I132" s="53"/>
    </row>
    <row r="133" spans="2:9" x14ac:dyDescent="0.25">
      <c r="B133" s="48" t="s">
        <v>237</v>
      </c>
      <c r="C133" s="51" t="s">
        <v>63</v>
      </c>
      <c r="D133" s="51" t="s">
        <v>256</v>
      </c>
      <c r="E133" s="46" t="s">
        <v>34</v>
      </c>
      <c r="F133" s="48" t="s">
        <v>186</v>
      </c>
      <c r="G133" s="46" t="s">
        <v>139</v>
      </c>
      <c r="H133" s="53"/>
      <c r="I133" s="53"/>
    </row>
    <row r="134" spans="2:9" x14ac:dyDescent="0.25">
      <c r="B134" s="48" t="s">
        <v>237</v>
      </c>
      <c r="C134" s="51" t="s">
        <v>63</v>
      </c>
      <c r="D134" s="51" t="s">
        <v>256</v>
      </c>
      <c r="E134" s="46" t="s">
        <v>48</v>
      </c>
      <c r="F134" s="48" t="s">
        <v>176</v>
      </c>
      <c r="G134" s="46" t="s">
        <v>51</v>
      </c>
      <c r="H134" s="54" t="s">
        <v>298</v>
      </c>
      <c r="I134" s="53">
        <v>1</v>
      </c>
    </row>
    <row r="135" spans="2:9" x14ac:dyDescent="0.25">
      <c r="B135" s="48" t="s">
        <v>238</v>
      </c>
      <c r="C135" s="51" t="s">
        <v>268</v>
      </c>
      <c r="D135" s="51" t="s">
        <v>256</v>
      </c>
      <c r="E135" s="46" t="s">
        <v>29</v>
      </c>
      <c r="F135" s="48" t="s">
        <v>162</v>
      </c>
      <c r="G135" s="46" t="s">
        <v>31</v>
      </c>
      <c r="H135" s="53"/>
      <c r="I135" s="53"/>
    </row>
    <row r="136" spans="2:9" x14ac:dyDescent="0.25">
      <c r="B136" s="48" t="s">
        <v>238</v>
      </c>
      <c r="C136" s="51" t="s">
        <v>268</v>
      </c>
      <c r="D136" s="51" t="s">
        <v>256</v>
      </c>
      <c r="E136" s="46" t="s">
        <v>34</v>
      </c>
      <c r="F136" s="48" t="s">
        <v>181</v>
      </c>
      <c r="G136" s="46" t="s">
        <v>56</v>
      </c>
      <c r="H136" s="53" t="s">
        <v>296</v>
      </c>
      <c r="I136" s="53">
        <v>11.67</v>
      </c>
    </row>
    <row r="137" spans="2:9" x14ac:dyDescent="0.25">
      <c r="B137" s="48" t="s">
        <v>239</v>
      </c>
      <c r="C137" s="51" t="s">
        <v>141</v>
      </c>
      <c r="D137" s="51" t="s">
        <v>256</v>
      </c>
      <c r="E137" s="46" t="s">
        <v>29</v>
      </c>
      <c r="F137" s="48" t="s">
        <v>183</v>
      </c>
      <c r="G137" s="46" t="s">
        <v>62</v>
      </c>
      <c r="H137" s="53"/>
      <c r="I137" s="53"/>
    </row>
    <row r="138" spans="2:9" x14ac:dyDescent="0.25">
      <c r="B138" s="48" t="s">
        <v>239</v>
      </c>
      <c r="C138" s="51" t="s">
        <v>141</v>
      </c>
      <c r="D138" s="51" t="s">
        <v>256</v>
      </c>
      <c r="E138" s="46" t="s">
        <v>29</v>
      </c>
      <c r="F138" s="49" t="s">
        <v>172</v>
      </c>
      <c r="G138" s="50" t="s">
        <v>46</v>
      </c>
      <c r="H138" s="53"/>
      <c r="I138" s="53"/>
    </row>
    <row r="139" spans="2:9" x14ac:dyDescent="0.25">
      <c r="B139" s="48" t="s">
        <v>239</v>
      </c>
      <c r="C139" s="51" t="s">
        <v>141</v>
      </c>
      <c r="D139" s="51" t="s">
        <v>256</v>
      </c>
      <c r="E139" s="46" t="s">
        <v>29</v>
      </c>
      <c r="F139" s="48" t="s">
        <v>165</v>
      </c>
      <c r="G139" s="46" t="s">
        <v>33</v>
      </c>
      <c r="H139" s="53"/>
      <c r="I139" s="53"/>
    </row>
    <row r="140" spans="2:9" x14ac:dyDescent="0.25">
      <c r="B140" s="48" t="s">
        <v>239</v>
      </c>
      <c r="C140" s="51" t="s">
        <v>141</v>
      </c>
      <c r="D140" s="51" t="s">
        <v>256</v>
      </c>
      <c r="E140" s="46" t="s">
        <v>29</v>
      </c>
      <c r="F140" s="48" t="s">
        <v>179</v>
      </c>
      <c r="G140" s="46" t="s">
        <v>54</v>
      </c>
      <c r="H140" s="53" t="s">
        <v>299</v>
      </c>
      <c r="I140" s="53">
        <v>100</v>
      </c>
    </row>
    <row r="141" spans="2:9" x14ac:dyDescent="0.25">
      <c r="B141" s="48" t="s">
        <v>239</v>
      </c>
      <c r="C141" s="51" t="s">
        <v>141</v>
      </c>
      <c r="D141" s="51" t="s">
        <v>256</v>
      </c>
      <c r="E141" s="46" t="s">
        <v>34</v>
      </c>
      <c r="F141" s="48" t="s">
        <v>166</v>
      </c>
      <c r="G141" s="46" t="s">
        <v>35</v>
      </c>
      <c r="H141" s="54" t="s">
        <v>299</v>
      </c>
      <c r="I141" s="53">
        <v>7</v>
      </c>
    </row>
    <row r="142" spans="2:9" x14ac:dyDescent="0.25">
      <c r="B142" s="48" t="s">
        <v>239</v>
      </c>
      <c r="C142" s="51" t="s">
        <v>141</v>
      </c>
      <c r="D142" s="51" t="s">
        <v>256</v>
      </c>
      <c r="E142" s="46" t="s">
        <v>34</v>
      </c>
      <c r="F142" s="48" t="s">
        <v>177</v>
      </c>
      <c r="G142" s="46" t="s">
        <v>52</v>
      </c>
      <c r="H142" s="54" t="s">
        <v>299</v>
      </c>
      <c r="I142" s="53">
        <v>160</v>
      </c>
    </row>
    <row r="143" spans="2:9" x14ac:dyDescent="0.25">
      <c r="B143" s="48" t="s">
        <v>240</v>
      </c>
      <c r="C143" s="51" t="s">
        <v>142</v>
      </c>
      <c r="D143" s="51" t="s">
        <v>256</v>
      </c>
      <c r="E143" s="46" t="s">
        <v>29</v>
      </c>
      <c r="F143" s="48" t="s">
        <v>165</v>
      </c>
      <c r="G143" s="46" t="s">
        <v>33</v>
      </c>
      <c r="H143" s="53" t="s">
        <v>302</v>
      </c>
      <c r="I143" s="53">
        <v>19.5</v>
      </c>
    </row>
    <row r="144" spans="2:9" x14ac:dyDescent="0.25">
      <c r="B144" s="48" t="s">
        <v>240</v>
      </c>
      <c r="C144" s="51" t="s">
        <v>142</v>
      </c>
      <c r="D144" s="51" t="s">
        <v>256</v>
      </c>
      <c r="E144" s="46" t="s">
        <v>34</v>
      </c>
      <c r="F144" s="48" t="s">
        <v>181</v>
      </c>
      <c r="G144" s="46" t="s">
        <v>56</v>
      </c>
      <c r="H144" s="53"/>
      <c r="I144" s="53"/>
    </row>
    <row r="145" spans="2:9" x14ac:dyDescent="0.25">
      <c r="B145" s="48" t="s">
        <v>241</v>
      </c>
      <c r="C145" s="51" t="s">
        <v>143</v>
      </c>
      <c r="D145" s="51" t="s">
        <v>256</v>
      </c>
      <c r="E145" s="46" t="s">
        <v>29</v>
      </c>
      <c r="F145" s="48" t="s">
        <v>162</v>
      </c>
      <c r="G145" s="46" t="s">
        <v>31</v>
      </c>
      <c r="H145" s="53"/>
      <c r="I145" s="53"/>
    </row>
    <row r="146" spans="2:9" x14ac:dyDescent="0.25">
      <c r="B146" s="48" t="s">
        <v>241</v>
      </c>
      <c r="C146" s="51" t="s">
        <v>143</v>
      </c>
      <c r="D146" s="51" t="s">
        <v>256</v>
      </c>
      <c r="E146" s="46" t="s">
        <v>34</v>
      </c>
      <c r="F146" s="48" t="s">
        <v>173</v>
      </c>
      <c r="G146" s="46" t="s">
        <v>47</v>
      </c>
      <c r="H146" s="53" t="s">
        <v>304</v>
      </c>
      <c r="I146" s="53">
        <v>83</v>
      </c>
    </row>
    <row r="147" spans="2:9" x14ac:dyDescent="0.25">
      <c r="B147" s="48" t="s">
        <v>160</v>
      </c>
      <c r="C147" s="51" t="s">
        <v>145</v>
      </c>
      <c r="D147" s="51" t="s">
        <v>256</v>
      </c>
      <c r="E147" s="46" t="s">
        <v>29</v>
      </c>
      <c r="F147" s="49" t="s">
        <v>172</v>
      </c>
      <c r="G147" s="50" t="s">
        <v>46</v>
      </c>
      <c r="H147" s="53"/>
      <c r="I147" s="53"/>
    </row>
    <row r="148" spans="2:9" x14ac:dyDescent="0.25">
      <c r="B148" s="48" t="s">
        <v>160</v>
      </c>
      <c r="C148" s="51" t="s">
        <v>145</v>
      </c>
      <c r="D148" s="51" t="s">
        <v>256</v>
      </c>
      <c r="E148" s="46" t="s">
        <v>29</v>
      </c>
      <c r="F148" s="48" t="s">
        <v>162</v>
      </c>
      <c r="G148" s="46" t="s">
        <v>31</v>
      </c>
      <c r="H148" s="53"/>
      <c r="I148" s="53"/>
    </row>
    <row r="149" spans="2:9" x14ac:dyDescent="0.25">
      <c r="B149" s="48" t="s">
        <v>160</v>
      </c>
      <c r="C149" s="51" t="s">
        <v>145</v>
      </c>
      <c r="D149" s="51" t="s">
        <v>256</v>
      </c>
      <c r="E149" s="46" t="s">
        <v>34</v>
      </c>
      <c r="F149" s="48" t="s">
        <v>167</v>
      </c>
      <c r="G149" s="46" t="s">
        <v>36</v>
      </c>
      <c r="H149" s="53" t="s">
        <v>305</v>
      </c>
      <c r="I149" s="53">
        <v>122.5</v>
      </c>
    </row>
    <row r="150" spans="2:9" x14ac:dyDescent="0.25">
      <c r="B150" s="48" t="s">
        <v>242</v>
      </c>
      <c r="C150" s="51" t="s">
        <v>146</v>
      </c>
      <c r="D150" s="51" t="s">
        <v>256</v>
      </c>
      <c r="E150" s="46" t="s">
        <v>29</v>
      </c>
      <c r="F150" s="48" t="s">
        <v>162</v>
      </c>
      <c r="G150" s="46" t="s">
        <v>31</v>
      </c>
      <c r="H150" s="54" t="s">
        <v>306</v>
      </c>
      <c r="I150" s="54">
        <v>62.5</v>
      </c>
    </row>
    <row r="151" spans="2:9" x14ac:dyDescent="0.25">
      <c r="B151" s="48" t="s">
        <v>242</v>
      </c>
      <c r="C151" s="51" t="s">
        <v>146</v>
      </c>
      <c r="D151" s="51" t="s">
        <v>256</v>
      </c>
      <c r="E151" s="46" t="s">
        <v>34</v>
      </c>
      <c r="F151" s="48" t="s">
        <v>167</v>
      </c>
      <c r="G151" s="46" t="s">
        <v>36</v>
      </c>
      <c r="H151" s="54" t="s">
        <v>306</v>
      </c>
      <c r="I151" s="54">
        <v>135</v>
      </c>
    </row>
    <row r="152" spans="2:9" x14ac:dyDescent="0.25">
      <c r="B152" s="48" t="s">
        <v>243</v>
      </c>
      <c r="C152" s="51" t="s">
        <v>148</v>
      </c>
      <c r="D152" s="51" t="s">
        <v>256</v>
      </c>
      <c r="E152" s="46" t="s">
        <v>29</v>
      </c>
      <c r="F152" s="48" t="s">
        <v>162</v>
      </c>
      <c r="G152" s="46" t="s">
        <v>31</v>
      </c>
      <c r="H152" s="53"/>
      <c r="I152" s="53"/>
    </row>
    <row r="153" spans="2:9" x14ac:dyDescent="0.25">
      <c r="B153" s="48" t="s">
        <v>243</v>
      </c>
      <c r="C153" s="51" t="s">
        <v>148</v>
      </c>
      <c r="D153" s="51" t="s">
        <v>256</v>
      </c>
      <c r="E153" s="46" t="s">
        <v>34</v>
      </c>
      <c r="F153" s="48" t="s">
        <v>167</v>
      </c>
      <c r="G153" s="46" t="s">
        <v>36</v>
      </c>
      <c r="H153" s="54"/>
      <c r="I153" s="53"/>
    </row>
    <row r="154" spans="2:9" x14ac:dyDescent="0.25">
      <c r="B154" s="48" t="s">
        <v>244</v>
      </c>
      <c r="C154" s="51" t="s">
        <v>149</v>
      </c>
      <c r="D154" s="51" t="s">
        <v>256</v>
      </c>
      <c r="E154" s="46" t="s">
        <v>29</v>
      </c>
      <c r="F154" s="48" t="s">
        <v>162</v>
      </c>
      <c r="G154" s="46" t="s">
        <v>31</v>
      </c>
      <c r="H154" s="53" t="s">
        <v>307</v>
      </c>
      <c r="I154" s="53">
        <v>75</v>
      </c>
    </row>
    <row r="155" spans="2:9" x14ac:dyDescent="0.25">
      <c r="B155" s="48" t="s">
        <v>244</v>
      </c>
      <c r="C155" s="51" t="s">
        <v>149</v>
      </c>
      <c r="D155" s="51" t="s">
        <v>256</v>
      </c>
      <c r="E155" s="46" t="s">
        <v>29</v>
      </c>
      <c r="F155" s="48" t="s">
        <v>165</v>
      </c>
      <c r="G155" s="46" t="s">
        <v>33</v>
      </c>
      <c r="H155" s="53"/>
      <c r="I155" s="53"/>
    </row>
    <row r="156" spans="2:9" x14ac:dyDescent="0.25">
      <c r="B156" s="48" t="s">
        <v>244</v>
      </c>
      <c r="C156" s="51" t="s">
        <v>149</v>
      </c>
      <c r="D156" s="51" t="s">
        <v>256</v>
      </c>
      <c r="E156" s="46" t="s">
        <v>34</v>
      </c>
      <c r="F156" s="48" t="s">
        <v>177</v>
      </c>
      <c r="G156" s="46" t="s">
        <v>52</v>
      </c>
      <c r="H156" s="53"/>
      <c r="I156" s="53"/>
    </row>
    <row r="157" spans="2:9" x14ac:dyDescent="0.25">
      <c r="B157" s="48" t="s">
        <v>245</v>
      </c>
      <c r="C157" s="51" t="s">
        <v>150</v>
      </c>
      <c r="D157" s="51" t="s">
        <v>256</v>
      </c>
      <c r="E157" s="46" t="s">
        <v>29</v>
      </c>
      <c r="F157" s="48" t="s">
        <v>164</v>
      </c>
      <c r="G157" s="46" t="s">
        <v>32</v>
      </c>
      <c r="H157" s="53" t="s">
        <v>310</v>
      </c>
      <c r="I157" s="53">
        <v>11.67</v>
      </c>
    </row>
    <row r="158" spans="2:9" x14ac:dyDescent="0.25">
      <c r="B158" s="48" t="s">
        <v>245</v>
      </c>
      <c r="C158" s="51" t="s">
        <v>150</v>
      </c>
      <c r="D158" s="51" t="s">
        <v>256</v>
      </c>
      <c r="E158" s="46" t="s">
        <v>29</v>
      </c>
      <c r="F158" s="48" t="s">
        <v>165</v>
      </c>
      <c r="G158" s="46" t="s">
        <v>33</v>
      </c>
      <c r="H158" s="54" t="s">
        <v>310</v>
      </c>
      <c r="I158" s="53">
        <v>62.5</v>
      </c>
    </row>
    <row r="159" spans="2:9" x14ac:dyDescent="0.25">
      <c r="B159" s="48" t="s">
        <v>246</v>
      </c>
      <c r="C159" s="51" t="s">
        <v>151</v>
      </c>
      <c r="D159" s="51" t="s">
        <v>256</v>
      </c>
      <c r="E159" s="46" t="s">
        <v>29</v>
      </c>
      <c r="F159" s="48" t="s">
        <v>162</v>
      </c>
      <c r="G159" s="46" t="s">
        <v>31</v>
      </c>
      <c r="H159" s="53"/>
      <c r="I159" s="53"/>
    </row>
    <row r="160" spans="2:9" x14ac:dyDescent="0.25">
      <c r="B160" s="48" t="s">
        <v>246</v>
      </c>
      <c r="C160" s="51" t="s">
        <v>151</v>
      </c>
      <c r="D160" s="51" t="s">
        <v>256</v>
      </c>
      <c r="E160" s="46" t="s">
        <v>34</v>
      </c>
      <c r="F160" s="48" t="s">
        <v>173</v>
      </c>
      <c r="G160" s="46" t="s">
        <v>47</v>
      </c>
      <c r="H160" s="53"/>
      <c r="I160" s="53"/>
    </row>
    <row r="161" spans="2:9" x14ac:dyDescent="0.25">
      <c r="B161" s="48" t="s">
        <v>247</v>
      </c>
      <c r="C161" s="51" t="s">
        <v>152</v>
      </c>
      <c r="D161" s="51" t="s">
        <v>256</v>
      </c>
      <c r="E161" s="46" t="s">
        <v>29</v>
      </c>
      <c r="F161" s="48" t="s">
        <v>162</v>
      </c>
      <c r="G161" s="46" t="s">
        <v>31</v>
      </c>
      <c r="H161" s="53"/>
      <c r="I161" s="53"/>
    </row>
    <row r="162" spans="2:9" x14ac:dyDescent="0.25">
      <c r="B162" s="48" t="s">
        <v>248</v>
      </c>
      <c r="C162" s="51" t="s">
        <v>153</v>
      </c>
      <c r="D162" s="51" t="s">
        <v>256</v>
      </c>
      <c r="E162" s="46" t="s">
        <v>29</v>
      </c>
      <c r="F162" s="48" t="s">
        <v>162</v>
      </c>
      <c r="G162" s="46" t="s">
        <v>31</v>
      </c>
      <c r="H162" s="53"/>
      <c r="I162" s="53"/>
    </row>
    <row r="163" spans="2:9" x14ac:dyDescent="0.25">
      <c r="B163" s="48" t="s">
        <v>248</v>
      </c>
      <c r="C163" s="51" t="s">
        <v>153</v>
      </c>
      <c r="D163" s="51" t="s">
        <v>256</v>
      </c>
      <c r="E163" s="46" t="s">
        <v>34</v>
      </c>
      <c r="F163" s="48" t="s">
        <v>180</v>
      </c>
      <c r="G163" s="46" t="s">
        <v>55</v>
      </c>
      <c r="H163" s="53"/>
      <c r="I163" s="53"/>
    </row>
    <row r="164" spans="2:9" x14ac:dyDescent="0.25">
      <c r="B164" s="48" t="s">
        <v>249</v>
      </c>
      <c r="C164" s="51" t="s">
        <v>154</v>
      </c>
      <c r="D164" s="51" t="s">
        <v>256</v>
      </c>
      <c r="E164" s="46" t="s">
        <v>29</v>
      </c>
      <c r="F164" s="48" t="s">
        <v>162</v>
      </c>
      <c r="G164" s="46" t="s">
        <v>31</v>
      </c>
      <c r="H164" s="53" t="s">
        <v>312</v>
      </c>
      <c r="I164" s="53">
        <v>76</v>
      </c>
    </row>
    <row r="165" spans="2:9" x14ac:dyDescent="0.25">
      <c r="B165" s="48" t="s">
        <v>249</v>
      </c>
      <c r="C165" s="51" t="s">
        <v>154</v>
      </c>
      <c r="D165" s="51" t="s">
        <v>256</v>
      </c>
      <c r="E165" s="46" t="s">
        <v>34</v>
      </c>
      <c r="F165" s="48" t="s">
        <v>173</v>
      </c>
      <c r="G165" s="46" t="s">
        <v>47</v>
      </c>
      <c r="H165" s="53"/>
      <c r="I165" s="53"/>
    </row>
    <row r="166" spans="2:9" x14ac:dyDescent="0.25">
      <c r="B166" s="48" t="s">
        <v>250</v>
      </c>
      <c r="C166" s="51" t="s">
        <v>159</v>
      </c>
      <c r="D166" s="51" t="s">
        <v>256</v>
      </c>
      <c r="E166" s="46" t="s">
        <v>28</v>
      </c>
      <c r="F166" s="48" t="s">
        <v>267</v>
      </c>
      <c r="G166" s="46" t="s">
        <v>266</v>
      </c>
      <c r="H166" s="53"/>
      <c r="I166" s="53"/>
    </row>
    <row r="167" spans="2:9" x14ac:dyDescent="0.25">
      <c r="B167" s="48" t="s">
        <v>264</v>
      </c>
      <c r="C167" s="51" t="s">
        <v>265</v>
      </c>
      <c r="D167" s="51" t="s">
        <v>256</v>
      </c>
      <c r="E167" s="46" t="s">
        <v>28</v>
      </c>
      <c r="F167" s="48" t="s">
        <v>267</v>
      </c>
      <c r="G167" s="46" t="s">
        <v>266</v>
      </c>
      <c r="H167" s="53"/>
      <c r="I167" s="53"/>
    </row>
  </sheetData>
  <autoFilter ref="B2:I87"/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Alberto Jesus Torres Trucios</cp:lastModifiedBy>
  <dcterms:created xsi:type="dcterms:W3CDTF">2020-12-30T17:58:02Z</dcterms:created>
  <dcterms:modified xsi:type="dcterms:W3CDTF">2022-02-14T18:37:14Z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4d4fdece-b995-4a2c-ac3f-fada7e49bfd0</vt:lpwstr>
  </property>
</Properties>
</file>