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730" windowHeight="10050" tabRatio="830" activeTab="4"/>
  </bookViews>
  <sheets>
    <sheet name="підїзд1" sheetId="1" r:id="rId1"/>
    <sheet name="підїзд2" sheetId="8" r:id="rId2"/>
    <sheet name="підїзд3" sheetId="3" r:id="rId3"/>
    <sheet name="підїзд4" sheetId="9" r:id="rId4"/>
    <sheet name="підїзд5" sheetId="5" r:id="rId5"/>
    <sheet name="комерція" sheetId="12" r:id="rId6"/>
    <sheet name="розрахунок балконів" sheetId="7" r:id="rId7"/>
    <sheet name="розрахунок квадрату стяжки" sheetId="10" r:id="rId8"/>
    <sheet name="загальна сума збору" sheetId="11" r:id="rId9"/>
    <sheet name="Лист1" sheetId="13" r:id="rId10"/>
  </sheets>
  <calcPr calcId="144525"/>
</workbook>
</file>

<file path=xl/calcChain.xml><?xml version="1.0" encoding="utf-8"?>
<calcChain xmlns="http://schemas.openxmlformats.org/spreadsheetml/2006/main">
  <c r="M11" i="7" l="1"/>
  <c r="M10" i="7"/>
  <c r="M9" i="7"/>
  <c r="J10" i="7" l="1"/>
  <c r="K9" i="7"/>
  <c r="D9" i="11" l="1"/>
  <c r="D6" i="11"/>
  <c r="D5" i="11"/>
  <c r="D4" i="11"/>
  <c r="Q8" i="3"/>
  <c r="Q7" i="5" l="1"/>
  <c r="Q4" i="5"/>
  <c r="Q39" i="8" l="1"/>
  <c r="J2" i="12" l="1"/>
  <c r="Q30" i="9"/>
  <c r="D7" i="11" s="1"/>
  <c r="Q18" i="1" l="1"/>
  <c r="Q45" i="5" l="1"/>
  <c r="Q48" i="1"/>
  <c r="Q3" i="3"/>
  <c r="Q48" i="3" s="1"/>
  <c r="Q57" i="5" l="1"/>
  <c r="D8" i="11" s="1"/>
  <c r="D10" i="11" s="1"/>
  <c r="D11" i="12" l="1"/>
  <c r="G10" i="12"/>
  <c r="G9" i="12"/>
  <c r="G8" i="12"/>
  <c r="G7" i="12"/>
  <c r="G6" i="12"/>
  <c r="G5" i="12"/>
  <c r="G3" i="12"/>
  <c r="G2" i="12"/>
  <c r="G11" i="12" l="1"/>
  <c r="B10" i="10" s="1"/>
  <c r="L3" i="10"/>
  <c r="N9" i="3" l="1"/>
  <c r="N13" i="3"/>
  <c r="N17" i="3"/>
  <c r="N18" i="3"/>
  <c r="N19" i="3"/>
  <c r="N26" i="3"/>
  <c r="N33" i="3"/>
  <c r="N38" i="3"/>
  <c r="N41" i="3"/>
  <c r="N43" i="3"/>
  <c r="N46" i="3"/>
  <c r="N17" i="5"/>
  <c r="N20" i="5"/>
  <c r="N25" i="5"/>
  <c r="N29" i="5"/>
  <c r="N31" i="5"/>
  <c r="N40" i="5"/>
  <c r="N43" i="5"/>
  <c r="N50" i="5"/>
  <c r="N51" i="5"/>
  <c r="N52" i="5"/>
  <c r="N54" i="5"/>
  <c r="N10" i="9"/>
  <c r="N19" i="9"/>
  <c r="N20" i="9"/>
  <c r="N27" i="9"/>
  <c r="N28" i="9"/>
  <c r="N4" i="9"/>
  <c r="N5" i="9"/>
  <c r="N3" i="9"/>
  <c r="N8" i="8" l="1"/>
  <c r="N18" i="8"/>
  <c r="N27" i="8"/>
  <c r="N37" i="8"/>
  <c r="N3" i="8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4" i="5"/>
  <c r="G5" i="5"/>
  <c r="G6" i="5"/>
  <c r="G7" i="5"/>
  <c r="G8" i="5"/>
  <c r="G9" i="5"/>
  <c r="G10" i="5"/>
  <c r="G11" i="5"/>
  <c r="G12" i="5"/>
  <c r="G13" i="5"/>
  <c r="G3" i="5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" i="9"/>
  <c r="E57" i="5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3" i="3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" i="8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3" i="1"/>
  <c r="M6" i="1" l="1"/>
  <c r="M8" i="1"/>
  <c r="M9" i="1"/>
  <c r="M10" i="1"/>
  <c r="M11" i="1"/>
  <c r="M12" i="1"/>
  <c r="M13" i="1"/>
  <c r="M14" i="1"/>
  <c r="M16" i="1"/>
  <c r="M17" i="1"/>
  <c r="M18" i="1"/>
  <c r="M19" i="1"/>
  <c r="M20" i="1"/>
  <c r="M22" i="1"/>
  <c r="M23" i="1"/>
  <c r="M24" i="1"/>
  <c r="M26" i="1"/>
  <c r="M27" i="1"/>
  <c r="M28" i="1"/>
  <c r="M29" i="1"/>
  <c r="M30" i="1"/>
  <c r="M31" i="1"/>
  <c r="M32" i="1"/>
  <c r="M33" i="1"/>
  <c r="M34" i="1"/>
  <c r="M36" i="1"/>
  <c r="M37" i="1"/>
  <c r="M38" i="1"/>
  <c r="M39" i="1"/>
  <c r="M40" i="1"/>
  <c r="M41" i="1"/>
  <c r="M42" i="1"/>
  <c r="M43" i="1"/>
  <c r="M44" i="1"/>
  <c r="M45" i="1"/>
  <c r="M46" i="1"/>
  <c r="M47" i="1"/>
  <c r="M3" i="1"/>
  <c r="N7" i="1"/>
  <c r="N21" i="1"/>
  <c r="N4" i="1"/>
  <c r="N5" i="1"/>
  <c r="M21" i="9"/>
  <c r="M22" i="9"/>
  <c r="M23" i="9"/>
  <c r="M24" i="9"/>
  <c r="M25" i="9"/>
  <c r="M26" i="9"/>
  <c r="M29" i="9"/>
  <c r="M6" i="9"/>
  <c r="M7" i="9"/>
  <c r="M8" i="9"/>
  <c r="M12" i="9"/>
  <c r="M13" i="9"/>
  <c r="M14" i="9"/>
  <c r="M15" i="9"/>
  <c r="M16" i="9"/>
  <c r="M17" i="9"/>
  <c r="M18" i="9"/>
  <c r="M15" i="3"/>
  <c r="M16" i="3"/>
  <c r="M20" i="3"/>
  <c r="M21" i="3"/>
  <c r="M22" i="3"/>
  <c r="M23" i="3"/>
  <c r="M24" i="3"/>
  <c r="M25" i="3"/>
  <c r="M27" i="3"/>
  <c r="M28" i="3"/>
  <c r="M29" i="3"/>
  <c r="M30" i="3"/>
  <c r="M31" i="3"/>
  <c r="M32" i="3"/>
  <c r="M34" i="3"/>
  <c r="M35" i="3"/>
  <c r="M36" i="3"/>
  <c r="M37" i="3"/>
  <c r="M39" i="3"/>
  <c r="M40" i="3"/>
  <c r="M42" i="3"/>
  <c r="M44" i="3"/>
  <c r="M45" i="3"/>
  <c r="M47" i="3"/>
  <c r="M4" i="3"/>
  <c r="M5" i="3"/>
  <c r="M6" i="3"/>
  <c r="M7" i="3"/>
  <c r="M8" i="3"/>
  <c r="M10" i="3"/>
  <c r="M11" i="3"/>
  <c r="M12" i="3"/>
  <c r="M14" i="3"/>
  <c r="M3" i="3"/>
  <c r="M4" i="8"/>
  <c r="M5" i="8"/>
  <c r="M6" i="8"/>
  <c r="M7" i="8"/>
  <c r="M9" i="8"/>
  <c r="M10" i="8"/>
  <c r="M11" i="8"/>
  <c r="M12" i="8"/>
  <c r="M13" i="8"/>
  <c r="M15" i="8"/>
  <c r="M16" i="8"/>
  <c r="M17" i="8"/>
  <c r="M19" i="8"/>
  <c r="M20" i="8"/>
  <c r="M21" i="8"/>
  <c r="M22" i="8"/>
  <c r="M23" i="8"/>
  <c r="M24" i="8"/>
  <c r="M25" i="8"/>
  <c r="M26" i="8"/>
  <c r="M28" i="8"/>
  <c r="M29" i="8"/>
  <c r="M30" i="8"/>
  <c r="M31" i="8"/>
  <c r="M32" i="8"/>
  <c r="M33" i="8"/>
  <c r="M34" i="8"/>
  <c r="M35" i="8"/>
  <c r="M38" i="8"/>
  <c r="E3" i="10" l="1"/>
  <c r="G3" i="10" s="1"/>
  <c r="K3" i="10" l="1"/>
  <c r="M9" i="5" l="1"/>
  <c r="M10" i="5"/>
  <c r="M11" i="5"/>
  <c r="M12" i="5"/>
  <c r="M13" i="5"/>
  <c r="M15" i="5"/>
  <c r="M18" i="5"/>
  <c r="M19" i="5"/>
  <c r="M21" i="5"/>
  <c r="M22" i="5"/>
  <c r="M24" i="5"/>
  <c r="M26" i="5"/>
  <c r="M27" i="5"/>
  <c r="M28" i="5"/>
  <c r="M30" i="5"/>
  <c r="M32" i="5"/>
  <c r="M33" i="5"/>
  <c r="M34" i="5"/>
  <c r="M35" i="5"/>
  <c r="M36" i="5"/>
  <c r="M37" i="5"/>
  <c r="M38" i="5"/>
  <c r="M39" i="5"/>
  <c r="M41" i="5"/>
  <c r="M42" i="5"/>
  <c r="M44" i="5"/>
  <c r="M45" i="5"/>
  <c r="M46" i="5"/>
  <c r="M47" i="5"/>
  <c r="M48" i="5"/>
  <c r="M49" i="5"/>
  <c r="M3" i="5"/>
  <c r="M4" i="5"/>
  <c r="M5" i="5"/>
  <c r="M6" i="5"/>
  <c r="M7" i="5"/>
  <c r="D57" i="5"/>
  <c r="G57" i="5"/>
  <c r="B9" i="10" s="1"/>
  <c r="G30" i="9" l="1"/>
  <c r="B8" i="10" s="1"/>
  <c r="D48" i="3"/>
  <c r="G48" i="3"/>
  <c r="B7" i="10" s="1"/>
  <c r="D39" i="8"/>
  <c r="G39" i="8"/>
  <c r="B6" i="10" s="1"/>
  <c r="E48" i="1"/>
  <c r="G48" i="1" l="1"/>
  <c r="B5" i="10" s="1"/>
  <c r="B11" i="10" s="1"/>
  <c r="M3" i="10" s="1"/>
  <c r="H6" i="12" l="1"/>
  <c r="J6" i="12" s="1"/>
  <c r="H10" i="12"/>
  <c r="J10" i="12" s="1"/>
  <c r="H3" i="12"/>
  <c r="J3" i="12" s="1"/>
  <c r="H7" i="12"/>
  <c r="J7" i="12" s="1"/>
  <c r="H4" i="12"/>
  <c r="J4" i="12" s="1"/>
  <c r="H8" i="12"/>
  <c r="J8" i="12" s="1"/>
  <c r="H5" i="12"/>
  <c r="J5" i="12" s="1"/>
  <c r="H9" i="12"/>
  <c r="J9" i="12" s="1"/>
  <c r="O18" i="9"/>
  <c r="O3" i="9"/>
  <c r="O11" i="3"/>
  <c r="O19" i="3"/>
  <c r="P19" i="3" s="1"/>
  <c r="R19" i="3" s="1"/>
  <c r="O31" i="3"/>
  <c r="O5" i="5"/>
  <c r="O8" i="5"/>
  <c r="O11" i="5"/>
  <c r="O13" i="5"/>
  <c r="O16" i="5"/>
  <c r="O19" i="5"/>
  <c r="O21" i="5"/>
  <c r="O24" i="5"/>
  <c r="O27" i="5"/>
  <c r="O29" i="5"/>
  <c r="P29" i="5" s="1"/>
  <c r="R29" i="5" s="1"/>
  <c r="O32" i="5"/>
  <c r="O35" i="5"/>
  <c r="O37" i="5"/>
  <c r="O40" i="5"/>
  <c r="P40" i="5" s="1"/>
  <c r="R40" i="5" s="1"/>
  <c r="O43" i="5"/>
  <c r="P43" i="5" s="1"/>
  <c r="R43" i="5" s="1"/>
  <c r="O45" i="5"/>
  <c r="O48" i="5"/>
  <c r="O51" i="5"/>
  <c r="P51" i="5" s="1"/>
  <c r="R51" i="5" s="1"/>
  <c r="O53" i="5"/>
  <c r="O56" i="5"/>
  <c r="O9" i="9"/>
  <c r="O11" i="9"/>
  <c r="O15" i="9"/>
  <c r="O21" i="9"/>
  <c r="O25" i="9"/>
  <c r="O4" i="9"/>
  <c r="P4" i="9" s="1"/>
  <c r="R4" i="9" s="1"/>
  <c r="O6" i="9"/>
  <c r="O4" i="3"/>
  <c r="O8" i="3"/>
  <c r="O12" i="3"/>
  <c r="O16" i="3"/>
  <c r="O20" i="3"/>
  <c r="O24" i="3"/>
  <c r="O28" i="3"/>
  <c r="O32" i="3"/>
  <c r="O36" i="3"/>
  <c r="O40" i="3"/>
  <c r="O44" i="3"/>
  <c r="O3" i="3"/>
  <c r="O10" i="5"/>
  <c r="O18" i="5"/>
  <c r="O26" i="5"/>
  <c r="O34" i="5"/>
  <c r="O3" i="5"/>
  <c r="O16" i="9"/>
  <c r="O19" i="9"/>
  <c r="P19" i="9" s="1"/>
  <c r="R19" i="9" s="1"/>
  <c r="O26" i="9"/>
  <c r="O7" i="9"/>
  <c r="O5" i="3"/>
  <c r="O9" i="3"/>
  <c r="P9" i="3" s="1"/>
  <c r="R9" i="3" s="1"/>
  <c r="O17" i="3"/>
  <c r="P17" i="3" s="1"/>
  <c r="R17" i="3" s="1"/>
  <c r="O25" i="3"/>
  <c r="O42" i="5"/>
  <c r="O50" i="5"/>
  <c r="P50" i="5" s="1"/>
  <c r="R50" i="5" s="1"/>
  <c r="O12" i="9"/>
  <c r="O22" i="9"/>
  <c r="O28" i="9"/>
  <c r="P28" i="9" s="1"/>
  <c r="R28" i="9" s="1"/>
  <c r="O13" i="3"/>
  <c r="P13" i="3" s="1"/>
  <c r="R13" i="3" s="1"/>
  <c r="O21" i="3"/>
  <c r="O29" i="3"/>
  <c r="O4" i="5"/>
  <c r="O7" i="5"/>
  <c r="O9" i="5"/>
  <c r="O12" i="5"/>
  <c r="O15" i="5"/>
  <c r="O17" i="5"/>
  <c r="P17" i="5" s="1"/>
  <c r="R17" i="5" s="1"/>
  <c r="O20" i="5"/>
  <c r="P20" i="5" s="1"/>
  <c r="R20" i="5" s="1"/>
  <c r="O23" i="5"/>
  <c r="O25" i="5"/>
  <c r="P25" i="5" s="1"/>
  <c r="R25" i="5" s="1"/>
  <c r="O28" i="5"/>
  <c r="O31" i="5"/>
  <c r="P31" i="5" s="1"/>
  <c r="R31" i="5" s="1"/>
  <c r="O33" i="5"/>
  <c r="O36" i="5"/>
  <c r="O39" i="5"/>
  <c r="O41" i="5"/>
  <c r="O44" i="5"/>
  <c r="O47" i="5"/>
  <c r="O49" i="5"/>
  <c r="O52" i="5"/>
  <c r="P52" i="5" s="1"/>
  <c r="R52" i="5" s="1"/>
  <c r="O55" i="5"/>
  <c r="O10" i="9"/>
  <c r="P10" i="9" s="1"/>
  <c r="R10" i="9" s="1"/>
  <c r="O13" i="9"/>
  <c r="O17" i="9"/>
  <c r="O23" i="9"/>
  <c r="O29" i="9"/>
  <c r="O5" i="9"/>
  <c r="P5" i="9" s="1"/>
  <c r="R5" i="9" s="1"/>
  <c r="O8" i="9"/>
  <c r="O6" i="3"/>
  <c r="O10" i="3"/>
  <c r="O14" i="3"/>
  <c r="O18" i="3"/>
  <c r="P18" i="3" s="1"/>
  <c r="R18" i="3" s="1"/>
  <c r="O22" i="3"/>
  <c r="O26" i="3"/>
  <c r="P26" i="3" s="1"/>
  <c r="R26" i="3" s="1"/>
  <c r="O30" i="3"/>
  <c r="O34" i="3"/>
  <c r="O38" i="3"/>
  <c r="P38" i="3" s="1"/>
  <c r="R38" i="3" s="1"/>
  <c r="O42" i="3"/>
  <c r="O46" i="3"/>
  <c r="P46" i="3" s="1"/>
  <c r="R46" i="3" s="1"/>
  <c r="O6" i="5"/>
  <c r="O14" i="5"/>
  <c r="O22" i="5"/>
  <c r="O30" i="5"/>
  <c r="O38" i="5"/>
  <c r="O46" i="5"/>
  <c r="O54" i="5"/>
  <c r="P54" i="5" s="1"/>
  <c r="R54" i="5" s="1"/>
  <c r="O14" i="9"/>
  <c r="O20" i="9"/>
  <c r="P20" i="9" s="1"/>
  <c r="R20" i="9" s="1"/>
  <c r="O24" i="9"/>
  <c r="O27" i="9"/>
  <c r="P27" i="9" s="1"/>
  <c r="R27" i="9" s="1"/>
  <c r="O7" i="3"/>
  <c r="O15" i="3"/>
  <c r="O23" i="3"/>
  <c r="O27" i="3"/>
  <c r="O37" i="3"/>
  <c r="O45" i="3"/>
  <c r="O39" i="3"/>
  <c r="O47" i="3"/>
  <c r="O35" i="3"/>
  <c r="O33" i="3"/>
  <c r="P33" i="3" s="1"/>
  <c r="R33" i="3" s="1"/>
  <c r="O41" i="3"/>
  <c r="P41" i="3" s="1"/>
  <c r="R41" i="3" s="1"/>
  <c r="O43" i="3"/>
  <c r="P43" i="3" s="1"/>
  <c r="R43" i="3" s="1"/>
  <c r="O7" i="8"/>
  <c r="O11" i="8"/>
  <c r="O15" i="8"/>
  <c r="O19" i="8"/>
  <c r="O23" i="8"/>
  <c r="O27" i="8"/>
  <c r="P27" i="8" s="1"/>
  <c r="R27" i="8" s="1"/>
  <c r="O31" i="8"/>
  <c r="O35" i="8"/>
  <c r="O3" i="8"/>
  <c r="O4" i="8"/>
  <c r="O8" i="8"/>
  <c r="P8" i="8" s="1"/>
  <c r="R8" i="8" s="1"/>
  <c r="O12" i="8"/>
  <c r="O16" i="8"/>
  <c r="O20" i="8"/>
  <c r="O24" i="8"/>
  <c r="O28" i="8"/>
  <c r="O32" i="8"/>
  <c r="O36" i="8"/>
  <c r="O5" i="8"/>
  <c r="O9" i="8"/>
  <c r="O13" i="8"/>
  <c r="O17" i="8"/>
  <c r="O21" i="8"/>
  <c r="O25" i="8"/>
  <c r="O29" i="8"/>
  <c r="O33" i="8"/>
  <c r="O37" i="8"/>
  <c r="P37" i="8" s="1"/>
  <c r="R37" i="8" s="1"/>
  <c r="O6" i="8"/>
  <c r="O10" i="8"/>
  <c r="O14" i="8"/>
  <c r="O18" i="8"/>
  <c r="P18" i="8" s="1"/>
  <c r="R18" i="8" s="1"/>
  <c r="O22" i="8"/>
  <c r="O26" i="8"/>
  <c r="O30" i="8"/>
  <c r="O34" i="8"/>
  <c r="O38" i="8"/>
  <c r="O7" i="1"/>
  <c r="P7" i="1" s="1"/>
  <c r="R7" i="1" s="1"/>
  <c r="O23" i="1"/>
  <c r="O39" i="1"/>
  <c r="O8" i="1"/>
  <c r="O24" i="1"/>
  <c r="O40" i="1"/>
  <c r="O46" i="1"/>
  <c r="O21" i="1"/>
  <c r="P21" i="1" s="1"/>
  <c r="R21" i="1" s="1"/>
  <c r="O37" i="1"/>
  <c r="O10" i="1"/>
  <c r="O26" i="1"/>
  <c r="O4" i="1"/>
  <c r="P4" i="1" s="1"/>
  <c r="R4" i="1" s="1"/>
  <c r="O27" i="1"/>
  <c r="O43" i="1"/>
  <c r="O12" i="1"/>
  <c r="O28" i="1"/>
  <c r="O44" i="1"/>
  <c r="O41" i="1"/>
  <c r="O14" i="1"/>
  <c r="O34" i="1"/>
  <c r="O33" i="1"/>
  <c r="O42" i="1"/>
  <c r="O11" i="1"/>
  <c r="O9" i="1"/>
  <c r="O30" i="1"/>
  <c r="O22" i="1"/>
  <c r="O15" i="1"/>
  <c r="O31" i="1"/>
  <c r="O47" i="1"/>
  <c r="O16" i="1"/>
  <c r="O32" i="1"/>
  <c r="O5" i="1"/>
  <c r="P5" i="1" s="1"/>
  <c r="R5" i="1" s="1"/>
  <c r="O13" i="1"/>
  <c r="O29" i="1"/>
  <c r="O45" i="1"/>
  <c r="O18" i="1"/>
  <c r="O38" i="1"/>
  <c r="O19" i="1"/>
  <c r="O35" i="1"/>
  <c r="O3" i="1"/>
  <c r="O20" i="1"/>
  <c r="O36" i="1"/>
  <c r="O17" i="1"/>
  <c r="O6" i="1"/>
  <c r="O25" i="1"/>
  <c r="H57" i="5"/>
  <c r="C20" i="7" s="1"/>
  <c r="I57" i="5"/>
  <c r="D20" i="7" s="1"/>
  <c r="J57" i="5"/>
  <c r="E20" i="7" s="1"/>
  <c r="K57" i="5"/>
  <c r="F20" i="7" s="1"/>
  <c r="I30" i="9"/>
  <c r="D19" i="7" s="1"/>
  <c r="J30" i="9"/>
  <c r="E19" i="7" s="1"/>
  <c r="K30" i="9"/>
  <c r="F19" i="7" s="1"/>
  <c r="H30" i="9"/>
  <c r="C19" i="7" s="1"/>
  <c r="I48" i="3"/>
  <c r="D18" i="7" s="1"/>
  <c r="J48" i="3"/>
  <c r="E18" i="7" s="1"/>
  <c r="K48" i="3"/>
  <c r="F18" i="7" s="1"/>
  <c r="H48" i="3"/>
  <c r="C18" i="7" s="1"/>
  <c r="J39" i="8"/>
  <c r="E17" i="7" s="1"/>
  <c r="K39" i="8"/>
  <c r="F17" i="7" s="1"/>
  <c r="I39" i="8"/>
  <c r="D17" i="7" s="1"/>
  <c r="H39" i="8"/>
  <c r="C17" i="7" s="1"/>
  <c r="K48" i="1"/>
  <c r="F16" i="7" s="1"/>
  <c r="J48" i="1"/>
  <c r="E16" i="7" s="1"/>
  <c r="I48" i="1"/>
  <c r="D16" i="7" s="1"/>
  <c r="H48" i="1"/>
  <c r="C16" i="7" s="1"/>
  <c r="J11" i="12" l="1"/>
  <c r="H11" i="12"/>
  <c r="C9" i="11" s="1"/>
  <c r="P3" i="9"/>
  <c r="R3" i="9" s="1"/>
  <c r="O30" i="9"/>
  <c r="O57" i="5"/>
  <c r="O48" i="3"/>
  <c r="O39" i="8"/>
  <c r="P3" i="8"/>
  <c r="R3" i="8" s="1"/>
  <c r="O48" i="1"/>
  <c r="G20" i="7"/>
  <c r="J20" i="7"/>
  <c r="G19" i="7"/>
  <c r="J19" i="7"/>
  <c r="J18" i="7"/>
  <c r="G18" i="7"/>
  <c r="F21" i="7"/>
  <c r="G17" i="7"/>
  <c r="J17" i="7"/>
  <c r="D21" i="7"/>
  <c r="E21" i="7"/>
  <c r="C21" i="7"/>
  <c r="G16" i="7"/>
  <c r="J16" i="7"/>
  <c r="E3" i="7"/>
  <c r="G3" i="7" s="1"/>
  <c r="E4" i="7"/>
  <c r="G4" i="7" s="1"/>
  <c r="E5" i="7"/>
  <c r="G5" i="7" s="1"/>
  <c r="E2" i="7"/>
  <c r="N4" i="7" l="1"/>
  <c r="N5" i="7"/>
  <c r="J21" i="7"/>
  <c r="G21" i="7"/>
  <c r="N3" i="7"/>
  <c r="H17" i="7"/>
  <c r="H18" i="7"/>
  <c r="G2" i="7"/>
  <c r="N2" i="7" s="1"/>
  <c r="H20" i="7"/>
  <c r="H19" i="7"/>
  <c r="H16" i="7"/>
  <c r="L8" i="8" l="1"/>
  <c r="M8" i="8" s="1"/>
  <c r="L47" i="1"/>
  <c r="L45" i="1"/>
  <c r="L44" i="1"/>
  <c r="L43" i="1"/>
  <c r="L46" i="1"/>
  <c r="I17" i="7"/>
  <c r="I20" i="7"/>
  <c r="I19" i="7"/>
  <c r="I16" i="7"/>
  <c r="I18" i="7"/>
  <c r="H21" i="7"/>
  <c r="L53" i="5"/>
  <c r="M53" i="5" s="1"/>
  <c r="L49" i="5"/>
  <c r="L45" i="5"/>
  <c r="L41" i="5"/>
  <c r="L37" i="5"/>
  <c r="L33" i="5"/>
  <c r="L29" i="5"/>
  <c r="M29" i="5" s="1"/>
  <c r="L25" i="5"/>
  <c r="M25" i="5" s="1"/>
  <c r="L21" i="5"/>
  <c r="L17" i="5"/>
  <c r="M17" i="5" s="1"/>
  <c r="L13" i="5"/>
  <c r="L9" i="5"/>
  <c r="L7" i="5"/>
  <c r="L29" i="9"/>
  <c r="L25" i="9"/>
  <c r="L21" i="9"/>
  <c r="L17" i="9"/>
  <c r="L13" i="9"/>
  <c r="L9" i="9"/>
  <c r="M9" i="9" s="1"/>
  <c r="L4" i="9"/>
  <c r="M4" i="9" s="1"/>
  <c r="L47" i="3"/>
  <c r="L43" i="3"/>
  <c r="M43" i="3" s="1"/>
  <c r="L39" i="3"/>
  <c r="L35" i="3"/>
  <c r="L31" i="3"/>
  <c r="L27" i="3"/>
  <c r="L23" i="3"/>
  <c r="L19" i="3"/>
  <c r="M19" i="3" s="1"/>
  <c r="L15" i="3"/>
  <c r="L11" i="3"/>
  <c r="L4" i="3"/>
  <c r="L3" i="3"/>
  <c r="L6" i="8"/>
  <c r="L10" i="8"/>
  <c r="L14" i="8"/>
  <c r="M14" i="8" s="1"/>
  <c r="L18" i="8"/>
  <c r="M18" i="8" s="1"/>
  <c r="L22" i="8"/>
  <c r="L26" i="8"/>
  <c r="L30" i="8"/>
  <c r="L34" i="8"/>
  <c r="L38" i="8"/>
  <c r="L10" i="3"/>
  <c r="L3" i="8"/>
  <c r="M3" i="8" s="1"/>
  <c r="L11" i="8"/>
  <c r="L15" i="8"/>
  <c r="L19" i="8"/>
  <c r="L27" i="8"/>
  <c r="M27" i="8" s="1"/>
  <c r="L31" i="8"/>
  <c r="L18" i="5"/>
  <c r="L6" i="5"/>
  <c r="L26" i="9"/>
  <c r="L18" i="9"/>
  <c r="L14" i="9"/>
  <c r="L6" i="9"/>
  <c r="L44" i="3"/>
  <c r="L36" i="3"/>
  <c r="L28" i="3"/>
  <c r="L20" i="3"/>
  <c r="L8" i="3"/>
  <c r="L13" i="8"/>
  <c r="L21" i="8"/>
  <c r="L33" i="8"/>
  <c r="L56" i="5"/>
  <c r="M56" i="5" s="1"/>
  <c r="L52" i="5"/>
  <c r="M52" i="5" s="1"/>
  <c r="L48" i="5"/>
  <c r="L44" i="5"/>
  <c r="L40" i="5"/>
  <c r="M40" i="5" s="1"/>
  <c r="L36" i="5"/>
  <c r="L32" i="5"/>
  <c r="L28" i="5"/>
  <c r="L24" i="5"/>
  <c r="L20" i="5"/>
  <c r="M20" i="5" s="1"/>
  <c r="L16" i="5"/>
  <c r="M16" i="5" s="1"/>
  <c r="L12" i="5"/>
  <c r="L4" i="5"/>
  <c r="L8" i="5"/>
  <c r="M8" i="5" s="1"/>
  <c r="L28" i="9"/>
  <c r="M28" i="9" s="1"/>
  <c r="L24" i="9"/>
  <c r="L20" i="9"/>
  <c r="M20" i="9" s="1"/>
  <c r="L16" i="9"/>
  <c r="L12" i="9"/>
  <c r="L8" i="9"/>
  <c r="L5" i="9"/>
  <c r="M5" i="9" s="1"/>
  <c r="L46" i="3"/>
  <c r="M46" i="3" s="1"/>
  <c r="L42" i="3"/>
  <c r="L38" i="3"/>
  <c r="M38" i="3" s="1"/>
  <c r="L34" i="3"/>
  <c r="L30" i="3"/>
  <c r="L26" i="3"/>
  <c r="M26" i="3" s="1"/>
  <c r="L22" i="3"/>
  <c r="L18" i="3"/>
  <c r="M18" i="3" s="1"/>
  <c r="L14" i="3"/>
  <c r="L5" i="3"/>
  <c r="L7" i="8"/>
  <c r="L23" i="8"/>
  <c r="L35" i="8"/>
  <c r="L14" i="5"/>
  <c r="M14" i="5" s="1"/>
  <c r="L22" i="9"/>
  <c r="L10" i="9"/>
  <c r="M10" i="9" s="1"/>
  <c r="L40" i="3"/>
  <c r="L24" i="3"/>
  <c r="L12" i="3"/>
  <c r="L5" i="8"/>
  <c r="L25" i="8"/>
  <c r="L37" i="8"/>
  <c r="M37" i="8" s="1"/>
  <c r="L55" i="5"/>
  <c r="M55" i="5" s="1"/>
  <c r="L51" i="5"/>
  <c r="M51" i="5" s="1"/>
  <c r="L47" i="5"/>
  <c r="L43" i="5"/>
  <c r="M43" i="5" s="1"/>
  <c r="L39" i="5"/>
  <c r="L35" i="5"/>
  <c r="L31" i="5"/>
  <c r="M31" i="5" s="1"/>
  <c r="L27" i="5"/>
  <c r="L23" i="5"/>
  <c r="M23" i="5" s="1"/>
  <c r="L19" i="5"/>
  <c r="L15" i="5"/>
  <c r="L11" i="5"/>
  <c r="L5" i="5"/>
  <c r="L3" i="5"/>
  <c r="L27" i="9"/>
  <c r="M27" i="9" s="1"/>
  <c r="L23" i="9"/>
  <c r="L19" i="9"/>
  <c r="M19" i="9" s="1"/>
  <c r="L15" i="9"/>
  <c r="L11" i="9"/>
  <c r="M11" i="9" s="1"/>
  <c r="L7" i="9"/>
  <c r="L3" i="9"/>
  <c r="M3" i="9" s="1"/>
  <c r="L45" i="3"/>
  <c r="L41" i="3"/>
  <c r="M41" i="3" s="1"/>
  <c r="L37" i="3"/>
  <c r="L33" i="3"/>
  <c r="M33" i="3" s="1"/>
  <c r="L29" i="3"/>
  <c r="L25" i="3"/>
  <c r="L21" i="3"/>
  <c r="L17" i="3"/>
  <c r="M17" i="3" s="1"/>
  <c r="L13" i="3"/>
  <c r="M13" i="3" s="1"/>
  <c r="L9" i="3"/>
  <c r="M9" i="3" s="1"/>
  <c r="L6" i="3"/>
  <c r="L4" i="8"/>
  <c r="L12" i="8"/>
  <c r="L16" i="8"/>
  <c r="L20" i="8"/>
  <c r="L24" i="8"/>
  <c r="L28" i="8"/>
  <c r="L32" i="8"/>
  <c r="L36" i="8"/>
  <c r="M36" i="8" s="1"/>
  <c r="L54" i="5"/>
  <c r="M54" i="5" s="1"/>
  <c r="L50" i="5"/>
  <c r="M50" i="5" s="1"/>
  <c r="L46" i="5"/>
  <c r="L42" i="5"/>
  <c r="L38" i="5"/>
  <c r="L34" i="5"/>
  <c r="L30" i="5"/>
  <c r="L26" i="5"/>
  <c r="L22" i="5"/>
  <c r="L10" i="5"/>
  <c r="L32" i="3"/>
  <c r="L16" i="3"/>
  <c r="L7" i="3"/>
  <c r="L9" i="8"/>
  <c r="L17" i="8"/>
  <c r="L29" i="8"/>
  <c r="L10" i="1"/>
  <c r="L14" i="1"/>
  <c r="L18" i="1"/>
  <c r="L22" i="1"/>
  <c r="L26" i="1"/>
  <c r="L30" i="1"/>
  <c r="L34" i="1"/>
  <c r="L38" i="1"/>
  <c r="L42" i="1"/>
  <c r="L6" i="1"/>
  <c r="L15" i="1"/>
  <c r="M15" i="1" s="1"/>
  <c r="L19" i="1"/>
  <c r="L23" i="1"/>
  <c r="L31" i="1"/>
  <c r="L35" i="1"/>
  <c r="M35" i="1" s="1"/>
  <c r="L39" i="1"/>
  <c r="L7" i="1"/>
  <c r="M7" i="1" s="1"/>
  <c r="L13" i="1"/>
  <c r="L17" i="1"/>
  <c r="L25" i="1"/>
  <c r="M25" i="1" s="1"/>
  <c r="L33" i="1"/>
  <c r="L5" i="1"/>
  <c r="M5" i="1" s="1"/>
  <c r="L11" i="1"/>
  <c r="L27" i="1"/>
  <c r="L9" i="1"/>
  <c r="L29" i="1"/>
  <c r="L41" i="1"/>
  <c r="L8" i="1"/>
  <c r="L12" i="1"/>
  <c r="L16" i="1"/>
  <c r="L20" i="1"/>
  <c r="L24" i="1"/>
  <c r="L28" i="1"/>
  <c r="L32" i="1"/>
  <c r="L36" i="1"/>
  <c r="L40" i="1"/>
  <c r="L4" i="1"/>
  <c r="M4" i="1" s="1"/>
  <c r="L3" i="1"/>
  <c r="L21" i="1"/>
  <c r="M21" i="1" s="1"/>
  <c r="L37" i="1"/>
  <c r="M57" i="5" l="1"/>
  <c r="D12" i="7" s="1"/>
  <c r="M30" i="9"/>
  <c r="D11" i="7" s="1"/>
  <c r="M48" i="3"/>
  <c r="D10" i="7" s="1"/>
  <c r="M39" i="8"/>
  <c r="D9" i="7" s="1"/>
  <c r="I21" i="7"/>
  <c r="M48" i="1"/>
  <c r="D8" i="7" s="1"/>
  <c r="L48" i="3"/>
  <c r="C10" i="7" s="1"/>
  <c r="L57" i="5"/>
  <c r="C12" i="7" s="1"/>
  <c r="L39" i="8"/>
  <c r="C9" i="7" s="1"/>
  <c r="L30" i="9"/>
  <c r="C11" i="7" s="1"/>
  <c r="L48" i="1"/>
  <c r="C8" i="7" s="1"/>
  <c r="E10" i="7" l="1"/>
  <c r="E12" i="7"/>
  <c r="E11" i="7"/>
  <c r="E9" i="7"/>
  <c r="E8" i="7"/>
  <c r="D13" i="7"/>
  <c r="C13" i="7"/>
  <c r="E13" i="7" l="1"/>
  <c r="N36" i="8"/>
  <c r="P36" i="8" s="1"/>
  <c r="R36" i="8" s="1"/>
  <c r="N53" i="5" l="1"/>
  <c r="P53" i="5" s="1"/>
  <c r="R53" i="5" s="1"/>
  <c r="N11" i="9"/>
  <c r="P11" i="9" s="1"/>
  <c r="R11" i="9" s="1"/>
  <c r="N28" i="5"/>
  <c r="P28" i="5" s="1"/>
  <c r="R28" i="5" s="1"/>
  <c r="N16" i="5"/>
  <c r="P16" i="5" s="1"/>
  <c r="R16" i="5" s="1"/>
  <c r="N9" i="9"/>
  <c r="P9" i="9" s="1"/>
  <c r="R9" i="9" s="1"/>
  <c r="N23" i="5"/>
  <c r="P23" i="5" s="1"/>
  <c r="R23" i="5" s="1"/>
  <c r="N14" i="5"/>
  <c r="P14" i="5" s="1"/>
  <c r="R14" i="5" s="1"/>
  <c r="N47" i="1"/>
  <c r="P47" i="1" s="1"/>
  <c r="R47" i="1" s="1"/>
  <c r="N36" i="1"/>
  <c r="P36" i="1" s="1"/>
  <c r="R36" i="1" s="1"/>
  <c r="N34" i="8"/>
  <c r="P34" i="8" s="1"/>
  <c r="R34" i="8" s="1"/>
  <c r="N40" i="1"/>
  <c r="P40" i="1" s="1"/>
  <c r="R40" i="1" s="1"/>
  <c r="N15" i="9"/>
  <c r="P15" i="9" s="1"/>
  <c r="R15" i="9" s="1"/>
  <c r="N6" i="1"/>
  <c r="P6" i="1" s="1"/>
  <c r="R6" i="1" s="1"/>
  <c r="N22" i="5"/>
  <c r="P22" i="5" s="1"/>
  <c r="R22" i="5" s="1"/>
  <c r="N27" i="1"/>
  <c r="P27" i="1" s="1"/>
  <c r="R27" i="1" s="1"/>
  <c r="N19" i="8"/>
  <c r="P19" i="8" s="1"/>
  <c r="R19" i="8" s="1"/>
  <c r="N25" i="1"/>
  <c r="P25" i="1" s="1"/>
  <c r="R25" i="1" s="1"/>
  <c r="N10" i="3"/>
  <c r="P10" i="3" s="1"/>
  <c r="R10" i="3" s="1"/>
  <c r="N8" i="5"/>
  <c r="P8" i="5" s="1"/>
  <c r="R8" i="5" s="1"/>
  <c r="N15" i="1"/>
  <c r="P15" i="1" s="1"/>
  <c r="R15" i="1" s="1"/>
  <c r="N35" i="1"/>
  <c r="P35" i="1" s="1"/>
  <c r="R35" i="1" s="1"/>
  <c r="N55" i="5"/>
  <c r="P55" i="5" s="1"/>
  <c r="R55" i="5" s="1"/>
  <c r="N56" i="5"/>
  <c r="P56" i="5" s="1"/>
  <c r="R56" i="5" s="1"/>
  <c r="N32" i="1"/>
  <c r="P32" i="1" s="1"/>
  <c r="R32" i="1" s="1"/>
  <c r="N38" i="1"/>
  <c r="P38" i="1" s="1"/>
  <c r="R38" i="1" s="1"/>
  <c r="N33" i="1"/>
  <c r="P33" i="1" s="1"/>
  <c r="R33" i="1" s="1"/>
  <c r="N33" i="8"/>
  <c r="P33" i="8" s="1"/>
  <c r="R33" i="8" s="1"/>
  <c r="N6" i="9"/>
  <c r="N35" i="5"/>
  <c r="P35" i="5" s="1"/>
  <c r="R35" i="5" s="1"/>
  <c r="N22" i="1"/>
  <c r="P22" i="1" s="1"/>
  <c r="R22" i="1" s="1"/>
  <c r="N9" i="1"/>
  <c r="P9" i="1" s="1"/>
  <c r="R9" i="1" s="1"/>
  <c r="N32" i="8"/>
  <c r="P32" i="8" s="1"/>
  <c r="R32" i="8" s="1"/>
  <c r="N38" i="5"/>
  <c r="P38" i="5" s="1"/>
  <c r="R38" i="5" s="1"/>
  <c r="N12" i="1"/>
  <c r="P12" i="1" s="1"/>
  <c r="R12" i="1" s="1"/>
  <c r="N19" i="1"/>
  <c r="P19" i="1" s="1"/>
  <c r="R19" i="1" s="1"/>
  <c r="N30" i="1"/>
  <c r="P30" i="1" s="1"/>
  <c r="R30" i="1" s="1"/>
  <c r="N16" i="1"/>
  <c r="P16" i="1" s="1"/>
  <c r="R16" i="1" s="1"/>
  <c r="N17" i="1"/>
  <c r="P17" i="1" s="1"/>
  <c r="R17" i="1" s="1"/>
  <c r="N11" i="8"/>
  <c r="P11" i="8" s="1"/>
  <c r="R11" i="8" s="1"/>
  <c r="N17" i="8"/>
  <c r="P17" i="8" s="1"/>
  <c r="R17" i="8" s="1"/>
  <c r="N22" i="9"/>
  <c r="P22" i="9" s="1"/>
  <c r="R22" i="9" s="1"/>
  <c r="N26" i="5"/>
  <c r="P26" i="5" s="1"/>
  <c r="R26" i="5" s="1"/>
  <c r="N12" i="3"/>
  <c r="P12" i="3" s="1"/>
  <c r="R12" i="3" s="1"/>
  <c r="N3" i="3"/>
  <c r="P3" i="3" s="1"/>
  <c r="R3" i="3" s="1"/>
  <c r="N14" i="3"/>
  <c r="P14" i="3" s="1"/>
  <c r="R14" i="3" s="1"/>
  <c r="N10" i="5"/>
  <c r="P10" i="5" s="1"/>
  <c r="R10" i="5" s="1"/>
  <c r="N39" i="1"/>
  <c r="P39" i="1" s="1"/>
  <c r="R39" i="1" s="1"/>
  <c r="N46" i="1"/>
  <c r="P46" i="1" s="1"/>
  <c r="R46" i="1" s="1"/>
  <c r="N14" i="1"/>
  <c r="P14" i="1" s="1"/>
  <c r="R14" i="1" s="1"/>
  <c r="N41" i="1"/>
  <c r="P41" i="1" s="1"/>
  <c r="R41" i="1" s="1"/>
  <c r="N31" i="8"/>
  <c r="P31" i="8" s="1"/>
  <c r="R31" i="8" s="1"/>
  <c r="N26" i="8"/>
  <c r="P26" i="8" s="1"/>
  <c r="R26" i="8" s="1"/>
  <c r="N16" i="8"/>
  <c r="P16" i="8" s="1"/>
  <c r="R16" i="8" s="1"/>
  <c r="N14" i="9"/>
  <c r="P14" i="9" s="1"/>
  <c r="R14" i="9" s="1"/>
  <c r="N8" i="3"/>
  <c r="P8" i="3" s="1"/>
  <c r="R8" i="3" s="1"/>
  <c r="N20" i="3"/>
  <c r="P20" i="3" s="1"/>
  <c r="R20" i="3" s="1"/>
  <c r="N30" i="5"/>
  <c r="P30" i="5" s="1"/>
  <c r="R30" i="5" s="1"/>
  <c r="N33" i="5"/>
  <c r="P33" i="5" s="1"/>
  <c r="R33" i="5" s="1"/>
  <c r="N32" i="5"/>
  <c r="P32" i="5" s="1"/>
  <c r="R32" i="5" s="1"/>
  <c r="N14" i="8"/>
  <c r="P14" i="8" s="1"/>
  <c r="R14" i="8" s="1"/>
  <c r="N44" i="1"/>
  <c r="P44" i="1" s="1"/>
  <c r="R44" i="1" s="1"/>
  <c r="N3" i="1"/>
  <c r="P3" i="1" s="1"/>
  <c r="R3" i="1" s="1"/>
  <c r="N31" i="1"/>
  <c r="P31" i="1" s="1"/>
  <c r="R31" i="1" s="1"/>
  <c r="N11" i="1"/>
  <c r="P11" i="1" s="1"/>
  <c r="R11" i="1" s="1"/>
  <c r="N42" i="1"/>
  <c r="P42" i="1" s="1"/>
  <c r="R42" i="1" s="1"/>
  <c r="N26" i="1"/>
  <c r="P26" i="1" s="1"/>
  <c r="R26" i="1" s="1"/>
  <c r="N10" i="1"/>
  <c r="P10" i="1" s="1"/>
  <c r="R10" i="1" s="1"/>
  <c r="N8" i="1"/>
  <c r="P8" i="1" s="1"/>
  <c r="R8" i="1" s="1"/>
  <c r="N37" i="1"/>
  <c r="P37" i="1" s="1"/>
  <c r="R37" i="1" s="1"/>
  <c r="N13" i="1"/>
  <c r="P13" i="1" s="1"/>
  <c r="R13" i="1" s="1"/>
  <c r="N23" i="8"/>
  <c r="P23" i="8" s="1"/>
  <c r="R23" i="8" s="1"/>
  <c r="N7" i="8"/>
  <c r="P7" i="8" s="1"/>
  <c r="R7" i="8" s="1"/>
  <c r="N10" i="8"/>
  <c r="P10" i="8" s="1"/>
  <c r="R10" i="8" s="1"/>
  <c r="N9" i="8"/>
  <c r="P9" i="8" s="1"/>
  <c r="R9" i="8" s="1"/>
  <c r="N4" i="8"/>
  <c r="P4" i="8" s="1"/>
  <c r="R4" i="8" s="1"/>
  <c r="N25" i="9"/>
  <c r="P25" i="9" s="1"/>
  <c r="R25" i="9" s="1"/>
  <c r="N6" i="3"/>
  <c r="P6" i="3" s="1"/>
  <c r="R6" i="3" s="1"/>
  <c r="N40" i="3"/>
  <c r="P40" i="3" s="1"/>
  <c r="R40" i="3" s="1"/>
  <c r="N25" i="3"/>
  <c r="P25" i="3" s="1"/>
  <c r="R25" i="3" s="1"/>
  <c r="N30" i="3"/>
  <c r="P30" i="3" s="1"/>
  <c r="R30" i="3" s="1"/>
  <c r="N44" i="3"/>
  <c r="P44" i="3" s="1"/>
  <c r="R44" i="3" s="1"/>
  <c r="N23" i="3"/>
  <c r="P23" i="3" s="1"/>
  <c r="R23" i="3" s="1"/>
  <c r="N5" i="5"/>
  <c r="P5" i="5" s="1"/>
  <c r="R5" i="5" s="1"/>
  <c r="N44" i="5"/>
  <c r="P44" i="5" s="1"/>
  <c r="R44" i="5" s="1"/>
  <c r="N36" i="5"/>
  <c r="P36" i="5" s="1"/>
  <c r="R36" i="5" s="1"/>
  <c r="N24" i="1"/>
  <c r="P24" i="1" s="1"/>
  <c r="R24" i="1" s="1"/>
  <c r="N43" i="1"/>
  <c r="P43" i="1" s="1"/>
  <c r="R43" i="1" s="1"/>
  <c r="N23" i="1"/>
  <c r="P23" i="1" s="1"/>
  <c r="R23" i="1" s="1"/>
  <c r="N20" i="1"/>
  <c r="P20" i="1" s="1"/>
  <c r="R20" i="1" s="1"/>
  <c r="N34" i="1"/>
  <c r="P34" i="1" s="1"/>
  <c r="R34" i="1" s="1"/>
  <c r="N18" i="1"/>
  <c r="P18" i="1" s="1"/>
  <c r="R18" i="1" s="1"/>
  <c r="N28" i="1"/>
  <c r="P28" i="1" s="1"/>
  <c r="R28" i="1" s="1"/>
  <c r="N45" i="1"/>
  <c r="P45" i="1" s="1"/>
  <c r="R45" i="1" s="1"/>
  <c r="N29" i="1"/>
  <c r="P29" i="1" s="1"/>
  <c r="R29" i="1" s="1"/>
  <c r="N35" i="8"/>
  <c r="P35" i="8" s="1"/>
  <c r="R35" i="8" s="1"/>
  <c r="N15" i="8"/>
  <c r="P15" i="8" s="1"/>
  <c r="R15" i="8" s="1"/>
  <c r="N30" i="8"/>
  <c r="P30" i="8" s="1"/>
  <c r="R30" i="8" s="1"/>
  <c r="N25" i="8"/>
  <c r="P25" i="8" s="1"/>
  <c r="R25" i="8" s="1"/>
  <c r="N24" i="8"/>
  <c r="P24" i="8" s="1"/>
  <c r="R24" i="8" s="1"/>
  <c r="N18" i="9"/>
  <c r="P18" i="9" s="1"/>
  <c r="R18" i="9" s="1"/>
  <c r="N21" i="9"/>
  <c r="P21" i="9" s="1"/>
  <c r="R21" i="9" s="1"/>
  <c r="N12" i="9"/>
  <c r="P12" i="9" s="1"/>
  <c r="R12" i="9" s="1"/>
  <c r="N45" i="3"/>
  <c r="P45" i="3" s="1"/>
  <c r="R45" i="3" s="1"/>
  <c r="N13" i="5"/>
  <c r="P13" i="5" s="1"/>
  <c r="R13" i="5" s="1"/>
  <c r="N48" i="5"/>
  <c r="P48" i="5" s="1"/>
  <c r="R48" i="5" s="1"/>
  <c r="N27" i="5"/>
  <c r="P27" i="5" s="1"/>
  <c r="R27" i="5" s="1"/>
  <c r="N15" i="3"/>
  <c r="P15" i="3" s="1"/>
  <c r="R15" i="3" s="1"/>
  <c r="N37" i="5"/>
  <c r="P37" i="5" s="1"/>
  <c r="R37" i="5" s="1"/>
  <c r="N29" i="3"/>
  <c r="P29" i="3" s="1"/>
  <c r="R29" i="3" s="1"/>
  <c r="N5" i="3"/>
  <c r="P5" i="3" s="1"/>
  <c r="R5" i="3" s="1"/>
  <c r="N38" i="8"/>
  <c r="P38" i="8" s="1"/>
  <c r="R38" i="8" s="1"/>
  <c r="N22" i="8"/>
  <c r="P22" i="8" s="1"/>
  <c r="R22" i="8" s="1"/>
  <c r="N29" i="8"/>
  <c r="P29" i="8" s="1"/>
  <c r="R29" i="8" s="1"/>
  <c r="N13" i="8"/>
  <c r="P13" i="8" s="1"/>
  <c r="R13" i="8" s="1"/>
  <c r="N28" i="8"/>
  <c r="P28" i="8" s="1"/>
  <c r="R28" i="8" s="1"/>
  <c r="N12" i="8"/>
  <c r="P12" i="8" s="1"/>
  <c r="R12" i="8" s="1"/>
  <c r="N29" i="9"/>
  <c r="P29" i="9" s="1"/>
  <c r="R29" i="9" s="1"/>
  <c r="N26" i="9"/>
  <c r="P26" i="9" s="1"/>
  <c r="R26" i="9" s="1"/>
  <c r="N17" i="9"/>
  <c r="P17" i="9" s="1"/>
  <c r="R17" i="9" s="1"/>
  <c r="N8" i="9"/>
  <c r="P8" i="9" s="1"/>
  <c r="R8" i="9" s="1"/>
  <c r="N36" i="3"/>
  <c r="P36" i="3" s="1"/>
  <c r="R36" i="3" s="1"/>
  <c r="N11" i="3"/>
  <c r="P11" i="3" s="1"/>
  <c r="R11" i="3" s="1"/>
  <c r="N24" i="3"/>
  <c r="P24" i="3" s="1"/>
  <c r="R24" i="3" s="1"/>
  <c r="N34" i="3"/>
  <c r="P34" i="3" s="1"/>
  <c r="R34" i="3" s="1"/>
  <c r="N42" i="5"/>
  <c r="P42" i="5" s="1"/>
  <c r="R42" i="5" s="1"/>
  <c r="N21" i="5"/>
  <c r="P21" i="5" s="1"/>
  <c r="R21" i="5" s="1"/>
  <c r="N7" i="5"/>
  <c r="P7" i="5" s="1"/>
  <c r="R7" i="5" s="1"/>
  <c r="N37" i="3"/>
  <c r="P37" i="3" s="1"/>
  <c r="R37" i="3" s="1"/>
  <c r="N28" i="3"/>
  <c r="P28" i="3" s="1"/>
  <c r="R28" i="3" s="1"/>
  <c r="N42" i="3"/>
  <c r="P42" i="3" s="1"/>
  <c r="R42" i="3" s="1"/>
  <c r="N46" i="5"/>
  <c r="P46" i="5" s="1"/>
  <c r="R46" i="5" s="1"/>
  <c r="N39" i="3"/>
  <c r="P39" i="3" s="1"/>
  <c r="R39" i="3" s="1"/>
  <c r="N19" i="5"/>
  <c r="P19" i="5" s="1"/>
  <c r="R19" i="5" s="1"/>
  <c r="N4" i="3"/>
  <c r="P4" i="3" s="1"/>
  <c r="R4" i="3" s="1"/>
  <c r="N31" i="3"/>
  <c r="P31" i="3" s="1"/>
  <c r="R31" i="3" s="1"/>
  <c r="N45" i="5"/>
  <c r="P45" i="5" s="1"/>
  <c r="R45" i="5" s="1"/>
  <c r="N6" i="8"/>
  <c r="P6" i="8" s="1"/>
  <c r="R6" i="8" s="1"/>
  <c r="N21" i="8"/>
  <c r="P21" i="8" s="1"/>
  <c r="R21" i="8" s="1"/>
  <c r="N5" i="8"/>
  <c r="P5" i="8" s="1"/>
  <c r="R5" i="8" s="1"/>
  <c r="N20" i="8"/>
  <c r="P20" i="8" s="1"/>
  <c r="R20" i="8" s="1"/>
  <c r="N7" i="9"/>
  <c r="P7" i="9" s="1"/>
  <c r="R7" i="9" s="1"/>
  <c r="N13" i="9"/>
  <c r="P13" i="9" s="1"/>
  <c r="R13" i="9" s="1"/>
  <c r="N24" i="9"/>
  <c r="P24" i="9" s="1"/>
  <c r="R24" i="9" s="1"/>
  <c r="N16" i="9"/>
  <c r="P16" i="9" s="1"/>
  <c r="R16" i="9" s="1"/>
  <c r="N23" i="9"/>
  <c r="P23" i="9" s="1"/>
  <c r="R23" i="9" s="1"/>
  <c r="N9" i="5"/>
  <c r="P9" i="5" s="1"/>
  <c r="R9" i="5" s="1"/>
  <c r="N6" i="5"/>
  <c r="P6" i="5" s="1"/>
  <c r="R6" i="5" s="1"/>
  <c r="N11" i="5"/>
  <c r="P11" i="5" s="1"/>
  <c r="R11" i="5" s="1"/>
  <c r="N35" i="3"/>
  <c r="P35" i="3" s="1"/>
  <c r="R35" i="3" s="1"/>
  <c r="N4" i="5"/>
  <c r="P4" i="5" s="1"/>
  <c r="R4" i="5" s="1"/>
  <c r="N24" i="5"/>
  <c r="P24" i="5" s="1"/>
  <c r="R24" i="5" s="1"/>
  <c r="N27" i="3"/>
  <c r="P27" i="3" s="1"/>
  <c r="R27" i="3" s="1"/>
  <c r="N41" i="5"/>
  <c r="P41" i="5" s="1"/>
  <c r="R41" i="5" s="1"/>
  <c r="N15" i="5"/>
  <c r="P15" i="5" s="1"/>
  <c r="R15" i="5" s="1"/>
  <c r="N47" i="3"/>
  <c r="P47" i="3" s="1"/>
  <c r="R47" i="3" s="1"/>
  <c r="N12" i="5"/>
  <c r="P12" i="5" s="1"/>
  <c r="R12" i="5" s="1"/>
  <c r="N32" i="3"/>
  <c r="P32" i="3" s="1"/>
  <c r="R32" i="3" s="1"/>
  <c r="N21" i="3"/>
  <c r="P21" i="3" s="1"/>
  <c r="R21" i="3" s="1"/>
  <c r="N18" i="5"/>
  <c r="P18" i="5" s="1"/>
  <c r="R18" i="5" s="1"/>
  <c r="N49" i="5"/>
  <c r="P49" i="5" s="1"/>
  <c r="R49" i="5" s="1"/>
  <c r="N7" i="3"/>
  <c r="P7" i="3" s="1"/>
  <c r="R7" i="3" s="1"/>
  <c r="N39" i="5"/>
  <c r="P39" i="5" s="1"/>
  <c r="R39" i="5" s="1"/>
  <c r="N16" i="3"/>
  <c r="P16" i="3" s="1"/>
  <c r="R16" i="3" s="1"/>
  <c r="N22" i="3"/>
  <c r="P22" i="3" s="1"/>
  <c r="R22" i="3" s="1"/>
  <c r="N34" i="5"/>
  <c r="P34" i="5" s="1"/>
  <c r="R34" i="5" s="1"/>
  <c r="N47" i="5"/>
  <c r="P47" i="5" s="1"/>
  <c r="R47" i="5" s="1"/>
  <c r="N3" i="5"/>
  <c r="P3" i="5" s="1"/>
  <c r="R3" i="5" s="1"/>
  <c r="P6" i="9"/>
  <c r="R6" i="9" s="1"/>
  <c r="R39" i="8" l="1"/>
  <c r="R30" i="9"/>
  <c r="R48" i="3"/>
  <c r="R48" i="1"/>
  <c r="R57" i="5"/>
  <c r="N48" i="1"/>
  <c r="P48" i="1"/>
  <c r="C4" i="11" s="1"/>
  <c r="P48" i="3"/>
  <c r="C6" i="11" s="1"/>
  <c r="P30" i="9"/>
  <c r="C7" i="11" s="1"/>
  <c r="P39" i="8"/>
  <c r="C5" i="11" s="1"/>
  <c r="N48" i="3"/>
  <c r="N39" i="8"/>
  <c r="N30" i="9"/>
  <c r="N57" i="5"/>
  <c r="P57" i="5"/>
  <c r="C8" i="11" s="1"/>
  <c r="C10" i="11" l="1"/>
</calcChain>
</file>

<file path=xl/sharedStrings.xml><?xml version="1.0" encoding="utf-8"?>
<sst xmlns="http://schemas.openxmlformats.org/spreadsheetml/2006/main" count="396" uniqueCount="284">
  <si>
    <t>підїзд</t>
  </si>
  <si>
    <t>поверх</t>
  </si>
  <si>
    <t>піб</t>
  </si>
  <si>
    <t>площа кв.</t>
  </si>
  <si>
    <t>Сапринюк Микола Васильович</t>
  </si>
  <si>
    <t>Кудлейчук Богдан Васильович</t>
  </si>
  <si>
    <t>Митько Ірина Андріївна</t>
  </si>
  <si>
    <t>Кошка Микола Романович</t>
  </si>
  <si>
    <t>Мізунський Володимир Ярославович</t>
  </si>
  <si>
    <t>Кривда Степан Іванович</t>
  </si>
  <si>
    <t>Онищак Тетяна Валентинівна</t>
  </si>
  <si>
    <t>Терешко Євгеній Вяеславович</t>
  </si>
  <si>
    <t>Бородайко Петро Васильович</t>
  </si>
  <si>
    <t>Дармограй Василь Стахович</t>
  </si>
  <si>
    <t>Будзик Тамара Григорівна</t>
  </si>
  <si>
    <t>Новак Вікторія Володимирівна</t>
  </si>
  <si>
    <t>Козубаш Віталій Володимирович</t>
  </si>
  <si>
    <t>Зварич Володимир Іванович</t>
  </si>
  <si>
    <t>Гасій Микола Богданович</t>
  </si>
  <si>
    <t>Поцула Богдан Степанович</t>
  </si>
  <si>
    <t>Сойма Андріана Василівна</t>
  </si>
  <si>
    <t>Федоляк Катерина Михайлівна</t>
  </si>
  <si>
    <t>Гайда Ігор Мирославович</t>
  </si>
  <si>
    <t>Михайлюк Надія Василівна</t>
  </si>
  <si>
    <t>Ковальчук Ольга Михайлівна</t>
  </si>
  <si>
    <t>Лупійчук Оксана Степанівна</t>
  </si>
  <si>
    <t>Свачій Олег Романович</t>
  </si>
  <si>
    <t>Боднар Людмила Володимирівна</t>
  </si>
  <si>
    <t>Василишин Віталій Михайлович</t>
  </si>
  <si>
    <t>Ясінська Надія Михайлівна</t>
  </si>
  <si>
    <t>Рущак Уляна Миронівна0</t>
  </si>
  <si>
    <t>Насадик Дмитро Володимирович+ Насадик Зоряна Василівна 50%*50%</t>
  </si>
  <si>
    <t>Костів Петро Петрович</t>
  </si>
  <si>
    <t>Білінський Владислав Сергійович</t>
  </si>
  <si>
    <t>Хижняк Ганна Василівна</t>
  </si>
  <si>
    <t>Костриба Роман Михайлович</t>
  </si>
  <si>
    <t>Кривко Ігор Михайлович+ Стасюк Михайло Васильович 50%*50%</t>
  </si>
  <si>
    <t>Сенюк Клавдія Іванівна</t>
  </si>
  <si>
    <t>Лугова Наталія Ярославівна</t>
  </si>
  <si>
    <t>Беспятих Микола Володимирович</t>
  </si>
  <si>
    <t>Михайлюк Петро Васильович</t>
  </si>
  <si>
    <t>М'якуш Володимир Петрович</t>
  </si>
  <si>
    <t>Пахолок Роман Петрович</t>
  </si>
  <si>
    <t>Туленінов Володимир Дмитрович</t>
  </si>
  <si>
    <t>Степаненко Тетяна Василівна</t>
  </si>
  <si>
    <t>Ткачук Ольга Мирославівна</t>
  </si>
  <si>
    <t>Циріль Галина Михайлівна</t>
  </si>
  <si>
    <t>Світлана Юріївна Свирид</t>
  </si>
  <si>
    <t>Петрів Світлана Михайлівна</t>
  </si>
  <si>
    <t>Ціпух Іванна Василівна</t>
  </si>
  <si>
    <t>Притика Микола Володимирович</t>
  </si>
  <si>
    <t>Кучма Оксана Олексіївна</t>
  </si>
  <si>
    <t>Загрійчук Світлана Михайлівна</t>
  </si>
  <si>
    <t>Івонюк Оксана Михайлівна</t>
  </si>
  <si>
    <t>Ткачик Андрій Володимирович</t>
  </si>
  <si>
    <t>Агамірзоєва Ірина Ігорівна</t>
  </si>
  <si>
    <t>Федунка Марія Дмитрівна</t>
  </si>
  <si>
    <t>Тимків Марія Василівна</t>
  </si>
  <si>
    <t>Дуда Світлана Ярославівна</t>
  </si>
  <si>
    <t>Свирид Світлана Юріївна</t>
  </si>
  <si>
    <t>Фреїв Микола Васильович</t>
  </si>
  <si>
    <t>Реміцький Михайло Ігорович</t>
  </si>
  <si>
    <t>Мовчан Володимир Степанович</t>
  </si>
  <si>
    <t>Нейлюк Наталія Іванівна</t>
  </si>
  <si>
    <t>Андрієчко Олександр Степанович</t>
  </si>
  <si>
    <t>Яківяк Василь Іванович</t>
  </si>
  <si>
    <t>Мельничук Галина Дмитрівна</t>
  </si>
  <si>
    <t>Лагойда Андрій Іванович</t>
  </si>
  <si>
    <t>Костюк Іван Михайлович</t>
  </si>
  <si>
    <t>Волошина Юлія Василівна</t>
  </si>
  <si>
    <t>Гривнак Михайло Ярославович</t>
  </si>
  <si>
    <t>Миклащук Ірина Адальбертівна</t>
  </si>
  <si>
    <t>Дадак Ольга Василівна</t>
  </si>
  <si>
    <t>Остап'юк Юрій Володимирович</t>
  </si>
  <si>
    <t>Остап'юк Василь Володимирович</t>
  </si>
  <si>
    <t>Цуприк Олег Ярославович</t>
  </si>
  <si>
    <t>Денега Марія Юріївна</t>
  </si>
  <si>
    <t>Прус Ірина Анатоліївна</t>
  </si>
  <si>
    <t>Олійник Андрій Ігорович</t>
  </si>
  <si>
    <t>Шептій Галина Михайлівна</t>
  </si>
  <si>
    <t>Великий Євген Олегович</t>
  </si>
  <si>
    <t>Під’їзд</t>
  </si>
  <si>
    <t>Поверх</t>
  </si>
  <si>
    <t>ПІБ</t>
  </si>
  <si>
    <t>Площа кв.</t>
  </si>
  <si>
    <t>Іванюк Парасковія Василівн</t>
  </si>
  <si>
    <t>Кащишин Володимир Володимирович</t>
  </si>
  <si>
    <t>Дмитрів Назар Тарасович</t>
  </si>
  <si>
    <t>Облещук Юрій Іванович</t>
  </si>
  <si>
    <t>Винник Тетяна Віталіївн</t>
  </si>
  <si>
    <t>Федорук Василь Романович</t>
  </si>
  <si>
    <t>Томків Ігор Михайлович</t>
  </si>
  <si>
    <t>Панчак Тарас Васильович</t>
  </si>
  <si>
    <t>Гупан Галина Василівна</t>
  </si>
  <si>
    <t>Конобас Андрій Володимирович</t>
  </si>
  <si>
    <t>Неудахін Андрій Валерійович</t>
  </si>
  <si>
    <t>Вволосов Денис</t>
  </si>
  <si>
    <t>Фіняк Михайло Ярославович</t>
  </si>
  <si>
    <t>Андрощук Лідія Василівна</t>
  </si>
  <si>
    <t>Бабій Віталія Петрівна</t>
  </si>
  <si>
    <t>Кіра Ярослав Андрійович</t>
  </si>
  <si>
    <t>Ковтун Ростислав</t>
  </si>
  <si>
    <t>Ярема Андрій Володимирович</t>
  </si>
  <si>
    <t>Зарицький Андрій Васильович</t>
  </si>
  <si>
    <t>Михайлович Оксана Василівна</t>
  </si>
  <si>
    <t>Панчак Іван Михайлович</t>
  </si>
  <si>
    <t>Чик Назарій Ярославович</t>
  </si>
  <si>
    <t>Герасимчук Галина Миколаївна</t>
  </si>
  <si>
    <t>Йосипів Микола Ігорович</t>
  </si>
  <si>
    <t>Дюга Галина Антонівна</t>
  </si>
  <si>
    <t>Катерняк Василь Іванович</t>
  </si>
  <si>
    <t>Артеменко Вікторія Володимирівна</t>
  </si>
  <si>
    <t>Гримайло Оксана Вікторівна</t>
  </si>
  <si>
    <t>Луцишин Юлія Сергіївна</t>
  </si>
  <si>
    <t>Липка Іван Дмитрович</t>
  </si>
  <si>
    <t>Кушнір Людмила Павлівна</t>
  </si>
  <si>
    <t>Паращук Світлана Богданівна</t>
  </si>
  <si>
    <t>Андрусяк Світлана Василівна</t>
  </si>
  <si>
    <t>Дудій Василь Васильович</t>
  </si>
  <si>
    <t>Маланій Сергій Іванович</t>
  </si>
  <si>
    <t>Залуцька Наталія Богданівна</t>
  </si>
  <si>
    <t>10
мансарда</t>
  </si>
  <si>
    <t>Мужик Ірина Мирославівна</t>
  </si>
  <si>
    <t>Барнич Анна Степанівна</t>
  </si>
  <si>
    <t>Ружанська Мирослава Василівна</t>
  </si>
  <si>
    <t>Фролова Вікторія Валеріївна</t>
  </si>
  <si>
    <t>Самочко Іван Іванович</t>
  </si>
  <si>
    <t>Мельник Михайло Васильович</t>
  </si>
  <si>
    <t>Комаровський Олег Ярославович</t>
  </si>
  <si>
    <t>Кулик Іван Іванович</t>
  </si>
  <si>
    <t>Іванюк Руслан Тарасович</t>
  </si>
  <si>
    <t>Жилавий Олег Іванович</t>
  </si>
  <si>
    <t>Терлецький Іван Іванович</t>
  </si>
  <si>
    <t>Осадчий Микола Михайлович</t>
  </si>
  <si>
    <t>Михалевич Петро Михайлович</t>
  </si>
  <si>
    <t>Найда Тарас Васильович</t>
  </si>
  <si>
    <t>Ступар Володимир Васильович</t>
  </si>
  <si>
    <t>Корнійчук Олександр Іванович</t>
  </si>
  <si>
    <t>Кенюк Надія Богданівна</t>
  </si>
  <si>
    <t>Маланчук Євген Іванович</t>
  </si>
  <si>
    <t>Замойский Роман Іванович</t>
  </si>
  <si>
    <t>Деркач Ярослава Іванівна</t>
  </si>
  <si>
    <t>Сидор Роман Васильович</t>
  </si>
  <si>
    <t>Смеричанська Діана Миколаївна</t>
  </si>
  <si>
    <t>Михайлюк Назарій Миколайович</t>
  </si>
  <si>
    <t>Процик Ольга Володимирівна</t>
  </si>
  <si>
    <t>Пасічняк Марта Юріївна</t>
  </si>
  <si>
    <t>Ярицька Наталія Юріївна</t>
  </si>
  <si>
    <t>Русич Ірина Анатоліївна</t>
  </si>
  <si>
    <t>Пицик Євген Юліанович</t>
  </si>
  <si>
    <t>Плазинська Соломія Миколаївна</t>
  </si>
  <si>
    <t>Андрущак христина ярославівна</t>
  </si>
  <si>
    <t>Дирів Ольга Романівна</t>
  </si>
  <si>
    <t>Гриньків Мирослава Василівна</t>
  </si>
  <si>
    <t>Проценко Марія Іванівна</t>
  </si>
  <si>
    <t>Пікова Раїса Іванівна</t>
  </si>
  <si>
    <t>Левицька Анастасія Володимирівна</t>
  </si>
  <si>
    <t>Лужний Ігор Степанович</t>
  </si>
  <si>
    <t>Базюк Леся Сергіївна</t>
  </si>
  <si>
    <t>Казіцький Сергій Мирославович</t>
  </si>
  <si>
    <t>Жовнір Леся Степанівна</t>
  </si>
  <si>
    <t>Поляруш Ірина Богданівна</t>
  </si>
  <si>
    <t>Винник Василь Богданович</t>
  </si>
  <si>
    <t>Третяк Ольга Василівна</t>
  </si>
  <si>
    <t>Михайлюк Любов Зіновіївна</t>
  </si>
  <si>
    <t>Феціца Ігор Михайлович</t>
  </si>
  <si>
    <t>Феціца Михайло Іванович</t>
  </si>
  <si>
    <t>Гарбуз Галина Василівна</t>
  </si>
  <si>
    <t>Бойко Світлана Зіновіївна</t>
  </si>
  <si>
    <t>Бойко Ольга Ігорівна</t>
  </si>
  <si>
    <t>Дранчук Іван Васильович</t>
  </si>
  <si>
    <t>Старик Василь Остапович</t>
  </si>
  <si>
    <t>Пізнюк Ольга Степанівна</t>
  </si>
  <si>
    <t>Гончар Василь Богданович+ Гончар Любов Михайлівна 50%*50%</t>
  </si>
  <si>
    <t>Чорній Ольга Андріївна</t>
  </si>
  <si>
    <t>Стус Світлана Миколаївна</t>
  </si>
  <si>
    <t>Романюк Галина Олександрівна</t>
  </si>
  <si>
    <t>Щербій Григорій Григорович</t>
  </si>
  <si>
    <t>Дутчак Василь Іванович</t>
  </si>
  <si>
    <t>Свачій Віктор Степанович</t>
  </si>
  <si>
    <t>Бучковський Ігор Павлович</t>
  </si>
  <si>
    <t>Вінтонюк Ольга Володимирівна</t>
  </si>
  <si>
    <t>Белей Роман Васильович</t>
  </si>
  <si>
    <t>Дуткевич Роман Мирославович</t>
  </si>
  <si>
    <t>Савчин Володимир Володимирович</t>
  </si>
  <si>
    <t>Чиляк Роксолана Василівна</t>
  </si>
  <si>
    <t>Романовський Андрій Володимирович</t>
  </si>
  <si>
    <t>Дзівульський Володимир Володимирович</t>
  </si>
  <si>
    <t>Михайлишин Мирослава Мирославівна</t>
  </si>
  <si>
    <t>Кухарик Тетяна Володимирівна</t>
  </si>
  <si>
    <t>Дмитрів Ігор Богданович</t>
  </si>
  <si>
    <t>Німий Володимир Іванович</t>
  </si>
  <si>
    <t>Савіцький Микола Васильович</t>
  </si>
  <si>
    <t>Лисова Марія Миколаївна</t>
  </si>
  <si>
    <t>Пляшевська Марія Володимирівна</t>
  </si>
  <si>
    <t>Гаврилюк Галина Мирославівна</t>
  </si>
  <si>
    <t>Оффе Марія Володимирівна</t>
  </si>
  <si>
    <t>Василинчук Роман Дмитрович</t>
  </si>
  <si>
    <t>Добровольська Ірина Дмитрівна</t>
  </si>
  <si>
    <t>Коржан Ірина Ігорівна</t>
  </si>
  <si>
    <t>Суровцева Вікторія Ігорівна</t>
  </si>
  <si>
    <t>сума</t>
  </si>
  <si>
    <t>Пінькевич Петро</t>
  </si>
  <si>
    <t>віталік</t>
  </si>
  <si>
    <t>г-подібний</t>
  </si>
  <si>
    <t>п-подібний</t>
  </si>
  <si>
    <t>овальний</t>
  </si>
  <si>
    <t>панорамне вікно</t>
  </si>
  <si>
    <t>цегла, шт</t>
  </si>
  <si>
    <t>пісок, кг</t>
  </si>
  <si>
    <t>цемент, кг</t>
  </si>
  <si>
    <t>мило,л</t>
  </si>
  <si>
    <t>робота грн/м2</t>
  </si>
  <si>
    <t>площа, м2</t>
  </si>
  <si>
    <t>ціна, грн/кг</t>
  </si>
  <si>
    <t>пісок,грн/кг</t>
  </si>
  <si>
    <t>мило,грн/л</t>
  </si>
  <si>
    <t>цегла, грн/шт</t>
  </si>
  <si>
    <t>робота кран</t>
  </si>
  <si>
    <t>балкони</t>
  </si>
  <si>
    <t>г-подібний(1-є,0-нема)</t>
  </si>
  <si>
    <t>п-подібний (1-є,0-нема)</t>
  </si>
  <si>
    <t>овальний (1-є,0-нема)</t>
  </si>
  <si>
    <t>панорамне вікно (1-є,0-нема)</t>
  </si>
  <si>
    <t>п-подібний (0-нема)</t>
  </si>
  <si>
    <t>овальний (0-нема)</t>
  </si>
  <si>
    <t>панорамне вікно (0-нема)</t>
  </si>
  <si>
    <t>г-подібний (0-нема)</t>
  </si>
  <si>
    <t>підїзди</t>
  </si>
  <si>
    <t>підїзд1</t>
  </si>
  <si>
    <t>підїзд2</t>
  </si>
  <si>
    <t>підїзд3</t>
  </si>
  <si>
    <t>підїзд4</t>
  </si>
  <si>
    <t>підїзд5</t>
  </si>
  <si>
    <t>вартість баконів</t>
  </si>
  <si>
    <t>цемент,кг</t>
  </si>
  <si>
    <t>цегла,шт</t>
  </si>
  <si>
    <t>пісок,кг</t>
  </si>
  <si>
    <t>робота</t>
  </si>
  <si>
    <t>г-подібний(0-нема)</t>
  </si>
  <si>
    <t>згодні</t>
  </si>
  <si>
    <t>площа згодних</t>
  </si>
  <si>
    <t>утеплення стелі пінопластом+ стяжка 10 см</t>
  </si>
  <si>
    <t>пінопласт 10 см грн/м2</t>
  </si>
  <si>
    <t>цемент грн/кг</t>
  </si>
  <si>
    <t>цемент кг</t>
  </si>
  <si>
    <t>пісок грн/кг</t>
  </si>
  <si>
    <t>пісок кг</t>
  </si>
  <si>
    <t>мило грн/л</t>
  </si>
  <si>
    <t>мило л</t>
  </si>
  <si>
    <t>сума грн</t>
  </si>
  <si>
    <t>всього</t>
  </si>
  <si>
    <t>вартість грн/м2</t>
  </si>
  <si>
    <t>неплатники балкони</t>
  </si>
  <si>
    <t>не платники</t>
  </si>
  <si>
    <t>% за неплатників</t>
  </si>
  <si>
    <t>сума власні балкони</t>
  </si>
  <si>
    <t>сума балкони враховуючи неплатників</t>
  </si>
  <si>
    <t>Сума стяжки враховуючи неплатників</t>
  </si>
  <si>
    <t>загальна сума</t>
  </si>
  <si>
    <t>кладовка</t>
  </si>
  <si>
    <t>кладовки</t>
  </si>
  <si>
    <t>сума стяжки враховуючи неплатників</t>
  </si>
  <si>
    <t>вартість власних балконів</t>
  </si>
  <si>
    <t>неплатники балконів</t>
  </si>
  <si>
    <t>балкони+стяжка+борг</t>
  </si>
  <si>
    <t>борг(цегла+дерево+комуналка)</t>
  </si>
  <si>
    <t>балкони+стяжка</t>
  </si>
  <si>
    <r>
      <t>Савчук Яна М</t>
    </r>
    <r>
      <rPr>
        <sz val="9"/>
        <color theme="1"/>
        <rFont val="Calibri"/>
        <family val="2"/>
        <charset val="204"/>
      </rPr>
      <t>ихайлівна</t>
    </r>
  </si>
  <si>
    <t>h</t>
  </si>
  <si>
    <t>добудова поверху 1-так, 0-ні</t>
  </si>
  <si>
    <t>комерція</t>
  </si>
  <si>
    <t>семків василь васильович</t>
  </si>
  <si>
    <t>товстий михайло В.</t>
  </si>
  <si>
    <t>пукіш оксана</t>
  </si>
  <si>
    <t>гуменяк іван степанович</t>
  </si>
  <si>
    <t>гринюк н.в.</t>
  </si>
  <si>
    <t>кривуручко артем</t>
  </si>
  <si>
    <t>герасимко Василь Васильович</t>
  </si>
  <si>
    <t>Буряк Віталій</t>
  </si>
  <si>
    <t>Проців Ігор Васильович</t>
  </si>
  <si>
    <t>оплачено</t>
  </si>
  <si>
    <t>різниця</t>
  </si>
  <si>
    <t>зібрано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</si>
</sst>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b/>
      <sz val="9"/>
      <color theme="1"/>
      <name val="Docs-Calibri"/>
    </font>
    <font>
      <b/>
      <sz val="10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1"/>
      <color theme="1"/>
      <name val="Times New Roman"/>
      <family val="1"/>
      <charset val="204"/>
    </font>
    <font>
      <sz val="9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applyAlignment="1"/>
    <xf numFmtId="0" fontId="1" fillId="0" borderId="0" xfId="0" applyFont="1" applyBorder="1" applyAlignment="1">
      <alignment wrapText="1"/>
    </xf>
    <xf numFmtId="0" fontId="4" fillId="0" borderId="1" xfId="0" applyFont="1" applyFill="1" applyBorder="1" applyAlignment="1">
      <alignment vertical="top" wrapText="1"/>
    </xf>
    <xf numFmtId="0" fontId="0" fillId="0" borderId="0" xfId="0" applyFill="1"/>
    <xf numFmtId="0" fontId="3" fillId="0" borderId="1" xfId="0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right" wrapText="1"/>
    </xf>
    <xf numFmtId="0" fontId="0" fillId="0" borderId="0" xfId="0" applyBorder="1"/>
    <xf numFmtId="0" fontId="1" fillId="0" borderId="3" xfId="0" applyFont="1" applyFill="1" applyBorder="1" applyAlignment="1">
      <alignment wrapText="1"/>
    </xf>
    <xf numFmtId="0" fontId="4" fillId="0" borderId="0" xfId="0" applyFont="1" applyFill="1" applyBorder="1" applyAlignment="1">
      <alignment vertical="top" wrapText="1"/>
    </xf>
    <xf numFmtId="0" fontId="12" fillId="0" borderId="0" xfId="0" applyFont="1" applyFill="1"/>
    <xf numFmtId="0" fontId="1" fillId="0" borderId="5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2" fillId="0" borderId="5" xfId="0" applyFont="1" applyFill="1" applyBorder="1"/>
    <xf numFmtId="0" fontId="1" fillId="0" borderId="2" xfId="0" applyFont="1" applyBorder="1" applyAlignment="1">
      <alignment wrapText="1"/>
    </xf>
    <xf numFmtId="9" fontId="0" fillId="0" borderId="0" xfId="0" applyNumberFormat="1"/>
    <xf numFmtId="0" fontId="1" fillId="0" borderId="0" xfId="0" applyFont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4" fillId="0" borderId="5" xfId="0" applyFont="1" applyFill="1" applyBorder="1" applyAlignment="1">
      <alignment vertical="top" wrapText="1"/>
    </xf>
    <xf numFmtId="0" fontId="2" fillId="0" borderId="5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9" fillId="0" borderId="5" xfId="0" applyFont="1" applyFill="1" applyBorder="1" applyAlignment="1">
      <alignment wrapText="1"/>
    </xf>
    <xf numFmtId="0" fontId="9" fillId="0" borderId="5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wrapText="1"/>
    </xf>
    <xf numFmtId="0" fontId="10" fillId="0" borderId="4" xfId="0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center" wrapText="1"/>
    </xf>
    <xf numFmtId="0" fontId="12" fillId="0" borderId="0" xfId="0" applyFont="1" applyFill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7" fillId="0" borderId="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wrapText="1"/>
    </xf>
    <xf numFmtId="0" fontId="9" fillId="0" borderId="8" xfId="0" applyFont="1" applyFill="1" applyBorder="1" applyAlignment="1">
      <alignment horizontal="center" wrapText="1"/>
    </xf>
    <xf numFmtId="0" fontId="1" fillId="0" borderId="8" xfId="0" applyFont="1" applyFill="1" applyBorder="1" applyAlignment="1">
      <alignment wrapText="1"/>
    </xf>
    <xf numFmtId="0" fontId="12" fillId="0" borderId="8" xfId="0" applyFont="1" applyFill="1" applyBorder="1"/>
    <xf numFmtId="0" fontId="0" fillId="0" borderId="8" xfId="0" applyFill="1" applyBorder="1"/>
    <xf numFmtId="0" fontId="2" fillId="0" borderId="5" xfId="0" applyFont="1" applyFill="1" applyBorder="1" applyAlignment="1">
      <alignment vertical="top" wrapText="1"/>
    </xf>
    <xf numFmtId="0" fontId="14" fillId="0" borderId="5" xfId="0" applyFont="1" applyFill="1" applyBorder="1" applyAlignment="1">
      <alignment wrapText="1"/>
    </xf>
    <xf numFmtId="0" fontId="15" fillId="0" borderId="5" xfId="0" applyFont="1" applyFill="1" applyBorder="1" applyAlignment="1"/>
    <xf numFmtId="0" fontId="16" fillId="0" borderId="5" xfId="0" applyFont="1" applyFill="1" applyBorder="1" applyAlignment="1"/>
    <xf numFmtId="0" fontId="16" fillId="0" borderId="0" xfId="0" applyFont="1" applyFill="1" applyBorder="1" applyAlignment="1"/>
    <xf numFmtId="0" fontId="17" fillId="0" borderId="5" xfId="0" applyFont="1" applyFill="1" applyBorder="1" applyAlignment="1">
      <alignment vertical="top" wrapText="1"/>
    </xf>
    <xf numFmtId="0" fontId="0" fillId="0" borderId="0" xfId="0" applyFont="1"/>
    <xf numFmtId="0" fontId="0" fillId="0" borderId="0" xfId="0" applyFont="1" applyBorder="1"/>
    <xf numFmtId="0" fontId="13" fillId="0" borderId="0" xfId="0" applyFont="1" applyFill="1" applyBorder="1" applyAlignment="1">
      <alignment wrapText="1"/>
    </xf>
    <xf numFmtId="0" fontId="13" fillId="0" borderId="5" xfId="0" applyFont="1" applyBorder="1" applyAlignment="1">
      <alignment wrapText="1"/>
    </xf>
    <xf numFmtId="0" fontId="2" fillId="0" borderId="5" xfId="0" applyFont="1" applyFill="1" applyBorder="1" applyAlignment="1">
      <alignment horizontal="right" vertical="top" wrapText="1"/>
    </xf>
    <xf numFmtId="0" fontId="13" fillId="0" borderId="5" xfId="0" applyFont="1" applyFill="1" applyBorder="1" applyAlignment="1">
      <alignment wrapText="1"/>
    </xf>
    <xf numFmtId="0" fontId="13" fillId="0" borderId="5" xfId="0" applyFont="1" applyFill="1" applyBorder="1" applyAlignment="1">
      <alignment horizontal="right" wrapText="1"/>
    </xf>
    <xf numFmtId="0" fontId="2" fillId="3" borderId="5" xfId="0" applyFont="1" applyFill="1" applyBorder="1" applyAlignment="1">
      <alignment vertical="top" wrapText="1"/>
    </xf>
    <xf numFmtId="0" fontId="2" fillId="3" borderId="5" xfId="0" applyFont="1" applyFill="1" applyBorder="1" applyAlignment="1">
      <alignment horizontal="right" vertical="top" wrapText="1"/>
    </xf>
    <xf numFmtId="0" fontId="13" fillId="3" borderId="5" xfId="0" applyFont="1" applyFill="1" applyBorder="1" applyAlignment="1">
      <alignment wrapText="1"/>
    </xf>
    <xf numFmtId="0" fontId="13" fillId="3" borderId="5" xfId="0" applyFont="1" applyFill="1" applyBorder="1" applyAlignment="1">
      <alignment horizontal="right" wrapText="1"/>
    </xf>
    <xf numFmtId="0" fontId="19" fillId="3" borderId="5" xfId="0" applyFont="1" applyFill="1" applyBorder="1" applyAlignment="1">
      <alignment vertical="top" wrapText="1"/>
    </xf>
    <xf numFmtId="0" fontId="18" fillId="3" borderId="5" xfId="0" applyFont="1" applyFill="1" applyBorder="1" applyAlignment="1">
      <alignment wrapText="1"/>
    </xf>
    <xf numFmtId="0" fontId="18" fillId="3" borderId="5" xfId="0" applyFont="1" applyFill="1" applyBorder="1" applyAlignment="1">
      <alignment horizontal="right" wrapText="1"/>
    </xf>
    <xf numFmtId="0" fontId="18" fillId="0" borderId="5" xfId="0" applyFont="1" applyFill="1" applyBorder="1" applyAlignment="1">
      <alignment wrapText="1"/>
    </xf>
    <xf numFmtId="0" fontId="18" fillId="0" borderId="5" xfId="0" applyFont="1" applyFill="1" applyBorder="1" applyAlignment="1">
      <alignment horizontal="right" wrapText="1"/>
    </xf>
    <xf numFmtId="0" fontId="19" fillId="0" borderId="5" xfId="0" applyFont="1" applyFill="1" applyBorder="1" applyAlignment="1">
      <alignment vertical="top" wrapText="1"/>
    </xf>
    <xf numFmtId="0" fontId="12" fillId="0" borderId="5" xfId="0" applyFont="1" applyFill="1" applyBorder="1" applyAlignment="1">
      <alignment horizontal="right"/>
    </xf>
    <xf numFmtId="0" fontId="20" fillId="0" borderId="5" xfId="0" applyFont="1" applyFill="1" applyBorder="1" applyAlignment="1">
      <alignment horizontal="right" wrapText="1"/>
    </xf>
    <xf numFmtId="0" fontId="0" fillId="0" borderId="5" xfId="0" applyFont="1" applyFill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2" fillId="0" borderId="5" xfId="0" applyFont="1" applyFill="1" applyBorder="1" applyAlignment="1">
      <alignment horizontal="left" vertical="top" wrapText="1"/>
    </xf>
    <xf numFmtId="0" fontId="13" fillId="0" borderId="5" xfId="0" applyFont="1" applyFill="1" applyBorder="1" applyAlignment="1">
      <alignment horizontal="left" wrapText="1"/>
    </xf>
    <xf numFmtId="0" fontId="13" fillId="0" borderId="5" xfId="0" applyFont="1" applyBorder="1" applyAlignment="1">
      <alignment horizontal="left" wrapText="1"/>
    </xf>
    <xf numFmtId="0" fontId="0" fillId="0" borderId="5" xfId="0" applyBorder="1"/>
    <xf numFmtId="0" fontId="0" fillId="0" borderId="5" xfId="0" applyBorder="1" applyAlignment="1"/>
    <xf numFmtId="0" fontId="0" fillId="0" borderId="5" xfId="0" applyFont="1" applyBorder="1"/>
    <xf numFmtId="0" fontId="4" fillId="3" borderId="5" xfId="0" applyFont="1" applyFill="1" applyBorder="1" applyAlignment="1">
      <alignment vertical="top" wrapText="1"/>
    </xf>
    <xf numFmtId="0" fontId="9" fillId="3" borderId="5" xfId="0" applyFont="1" applyFill="1" applyBorder="1" applyAlignment="1">
      <alignment wrapText="1"/>
    </xf>
    <xf numFmtId="0" fontId="9" fillId="3" borderId="5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wrapText="1"/>
    </xf>
    <xf numFmtId="0" fontId="9" fillId="3" borderId="8" xfId="0" applyFont="1" applyFill="1" applyBorder="1" applyAlignment="1">
      <alignment wrapText="1"/>
    </xf>
    <xf numFmtId="0" fontId="9" fillId="3" borderId="8" xfId="0" applyFont="1" applyFill="1" applyBorder="1" applyAlignment="1">
      <alignment horizontal="center" wrapText="1"/>
    </xf>
    <xf numFmtId="0" fontId="12" fillId="3" borderId="8" xfId="0" applyFont="1" applyFill="1" applyBorder="1"/>
    <xf numFmtId="0" fontId="0" fillId="3" borderId="8" xfId="0" applyFill="1" applyBorder="1"/>
    <xf numFmtId="0" fontId="0" fillId="0" borderId="5" xfId="0" applyFill="1" applyBorder="1"/>
    <xf numFmtId="0" fontId="1" fillId="3" borderId="5" xfId="0" applyFont="1" applyFill="1" applyBorder="1" applyAlignment="1">
      <alignment wrapText="1"/>
    </xf>
    <xf numFmtId="0" fontId="0" fillId="3" borderId="5" xfId="0" applyFill="1" applyBorder="1"/>
    <xf numFmtId="0" fontId="1" fillId="0" borderId="5" xfId="0" applyFont="1" applyFill="1" applyBorder="1" applyAlignment="1">
      <alignment horizontal="right" wrapText="1"/>
    </xf>
    <xf numFmtId="0" fontId="11" fillId="0" borderId="5" xfId="0" applyFont="1" applyFill="1" applyBorder="1" applyAlignment="1">
      <alignment wrapText="1"/>
    </xf>
    <xf numFmtId="0" fontId="11" fillId="3" borderId="5" xfId="0" applyFont="1" applyFill="1" applyBorder="1" applyAlignment="1">
      <alignment wrapText="1"/>
    </xf>
    <xf numFmtId="0" fontId="12" fillId="3" borderId="5" xfId="0" applyFont="1" applyFill="1" applyBorder="1"/>
    <xf numFmtId="0" fontId="9" fillId="0" borderId="4" xfId="0" applyFont="1" applyFill="1" applyBorder="1" applyAlignment="1">
      <alignment horizontal="right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right" vertical="top" wrapText="1"/>
    </xf>
    <xf numFmtId="0" fontId="20" fillId="3" borderId="5" xfId="0" applyFont="1" applyFill="1" applyBorder="1" applyAlignment="1">
      <alignment horizontal="right" wrapText="1"/>
    </xf>
    <xf numFmtId="0" fontId="12" fillId="3" borderId="5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left" vertical="top" wrapText="1"/>
    </xf>
    <xf numFmtId="0" fontId="0" fillId="4" borderId="5" xfId="0" applyFill="1" applyBorder="1"/>
    <xf numFmtId="0" fontId="9" fillId="4" borderId="5" xfId="0" applyFont="1" applyFill="1" applyBorder="1" applyAlignment="1">
      <alignment wrapText="1"/>
    </xf>
    <xf numFmtId="0" fontId="9" fillId="4" borderId="5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wrapText="1"/>
    </xf>
    <xf numFmtId="0" fontId="12" fillId="4" borderId="5" xfId="0" applyFont="1" applyFill="1" applyBorder="1"/>
    <xf numFmtId="0" fontId="0" fillId="4" borderId="8" xfId="0" applyFill="1" applyBorder="1"/>
    <xf numFmtId="0" fontId="17" fillId="3" borderId="5" xfId="0" applyFont="1" applyFill="1" applyBorder="1" applyAlignment="1">
      <alignment vertical="top" wrapText="1"/>
    </xf>
    <xf numFmtId="0" fontId="16" fillId="3" borderId="5" xfId="0" applyFont="1" applyFill="1" applyBorder="1" applyAlignment="1"/>
    <xf numFmtId="0" fontId="14" fillId="3" borderId="5" xfId="0" applyFont="1" applyFill="1" applyBorder="1" applyAlignment="1">
      <alignment wrapText="1"/>
    </xf>
    <xf numFmtId="0" fontId="15" fillId="3" borderId="5" xfId="0" applyFont="1" applyFill="1" applyBorder="1" applyAlignment="1"/>
    <xf numFmtId="0" fontId="4" fillId="3" borderId="5" xfId="0" applyFont="1" applyFill="1" applyBorder="1" applyAlignment="1">
      <alignment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6" xfId="0" applyFill="1" applyBorder="1"/>
    <xf numFmtId="0" fontId="2" fillId="3" borderId="5" xfId="0" applyFont="1" applyFill="1" applyBorder="1" applyAlignment="1">
      <alignment horizontal="left" wrapText="1"/>
    </xf>
    <xf numFmtId="0" fontId="0" fillId="3" borderId="5" xfId="0" applyFont="1" applyFill="1" applyBorder="1"/>
    <xf numFmtId="2" fontId="0" fillId="0" borderId="0" xfId="0" applyNumberFormat="1"/>
    <xf numFmtId="2" fontId="0" fillId="0" borderId="0" xfId="0" applyNumberFormat="1" applyFont="1"/>
    <xf numFmtId="2" fontId="0" fillId="0" borderId="5" xfId="0" applyNumberFormat="1" applyBorder="1"/>
    <xf numFmtId="2" fontId="0" fillId="3" borderId="5" xfId="0" applyNumberFormat="1" applyFill="1" applyBorder="1"/>
    <xf numFmtId="0" fontId="0" fillId="0" borderId="5" xfId="0" applyBorder="1" applyAlignment="1">
      <alignment wrapText="1"/>
    </xf>
    <xf numFmtId="0" fontId="2" fillId="2" borderId="7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0" fontId="13" fillId="0" borderId="10" xfId="0" applyFont="1" applyBorder="1" applyAlignment="1">
      <alignment wrapText="1"/>
    </xf>
    <xf numFmtId="0" fontId="2" fillId="0" borderId="10" xfId="0" applyFont="1" applyFill="1" applyBorder="1" applyAlignment="1">
      <alignment horizontal="right" vertical="top" wrapText="1"/>
    </xf>
    <xf numFmtId="0" fontId="2" fillId="3" borderId="10" xfId="0" applyFont="1" applyFill="1" applyBorder="1" applyAlignment="1">
      <alignment horizontal="right" vertical="top" wrapText="1"/>
    </xf>
    <xf numFmtId="0" fontId="19" fillId="3" borderId="10" xfId="0" applyFont="1" applyFill="1" applyBorder="1" applyAlignment="1">
      <alignment horizontal="right" vertical="top" wrapText="1"/>
    </xf>
    <xf numFmtId="0" fontId="19" fillId="0" borderId="10" xfId="0" applyFont="1" applyFill="1" applyBorder="1" applyAlignment="1">
      <alignment horizontal="right" vertical="top" wrapText="1"/>
    </xf>
    <xf numFmtId="0" fontId="13" fillId="0" borderId="11" xfId="0" applyFont="1" applyFill="1" applyBorder="1" applyAlignment="1">
      <alignment wrapText="1"/>
    </xf>
    <xf numFmtId="0" fontId="0" fillId="0" borderId="11" xfId="0" applyBorder="1"/>
    <xf numFmtId="0" fontId="0" fillId="3" borderId="11" xfId="0" applyFill="1" applyBorder="1"/>
    <xf numFmtId="0" fontId="9" fillId="0" borderId="5" xfId="0" applyFont="1" applyBorder="1" applyAlignment="1">
      <alignment horizontal="center" wrapText="1"/>
    </xf>
    <xf numFmtId="0" fontId="13" fillId="0" borderId="6" xfId="0" applyFont="1" applyFill="1" applyBorder="1" applyAlignment="1">
      <alignment horizontal="left" wrapText="1"/>
    </xf>
    <xf numFmtId="0" fontId="0" fillId="0" borderId="0" xfId="0" applyNumberFormat="1"/>
    <xf numFmtId="0" fontId="1" fillId="0" borderId="5" xfId="0" applyNumberFormat="1" applyFont="1" applyBorder="1" applyAlignment="1">
      <alignment wrapText="1"/>
    </xf>
    <xf numFmtId="0" fontId="1" fillId="0" borderId="10" xfId="0" applyNumberFormat="1" applyFont="1" applyBorder="1" applyAlignment="1">
      <alignment wrapText="1"/>
    </xf>
    <xf numFmtId="0" fontId="1" fillId="0" borderId="5" xfId="0" applyNumberFormat="1" applyFont="1" applyFill="1" applyBorder="1" applyAlignment="1">
      <alignment wrapText="1"/>
    </xf>
    <xf numFmtId="0" fontId="13" fillId="0" borderId="5" xfId="0" applyNumberFormat="1" applyFont="1" applyFill="1" applyBorder="1" applyAlignment="1">
      <alignment wrapText="1"/>
    </xf>
    <xf numFmtId="0" fontId="0" fillId="0" borderId="5" xfId="0" applyNumberFormat="1" applyBorder="1" applyAlignment="1">
      <alignment wrapText="1"/>
    </xf>
    <xf numFmtId="0" fontId="13" fillId="0" borderId="5" xfId="0" applyNumberFormat="1" applyFont="1" applyBorder="1" applyAlignment="1">
      <alignment wrapText="1"/>
    </xf>
    <xf numFmtId="0" fontId="4" fillId="3" borderId="5" xfId="0" applyNumberFormat="1" applyFont="1" applyFill="1" applyBorder="1" applyAlignment="1">
      <alignment vertical="top" wrapText="1"/>
    </xf>
    <xf numFmtId="0" fontId="3" fillId="3" borderId="10" xfId="0" applyNumberFormat="1" applyFont="1" applyFill="1" applyBorder="1" applyAlignment="1">
      <alignment horizontal="right" vertical="top" wrapText="1"/>
    </xf>
    <xf numFmtId="0" fontId="0" fillId="3" borderId="5" xfId="0" applyNumberFormat="1" applyFill="1" applyBorder="1"/>
    <xf numFmtId="0" fontId="1" fillId="3" borderId="5" xfId="0" applyNumberFormat="1" applyFont="1" applyFill="1" applyBorder="1" applyAlignment="1">
      <alignment wrapText="1"/>
    </xf>
    <xf numFmtId="0" fontId="1" fillId="3" borderId="5" xfId="0" applyNumberFormat="1" applyFont="1" applyFill="1" applyBorder="1" applyAlignment="1">
      <alignment horizontal="right" wrapText="1"/>
    </xf>
    <xf numFmtId="0" fontId="4" fillId="0" borderId="5" xfId="0" applyNumberFormat="1" applyFont="1" applyFill="1" applyBorder="1" applyAlignment="1">
      <alignment vertical="top" wrapText="1"/>
    </xf>
    <xf numFmtId="0" fontId="3" fillId="0" borderId="10" xfId="0" applyNumberFormat="1" applyFont="1" applyFill="1" applyBorder="1" applyAlignment="1">
      <alignment horizontal="right" vertical="top" wrapText="1"/>
    </xf>
    <xf numFmtId="0" fontId="0" fillId="0" borderId="5" xfId="0" applyNumberFormat="1" applyFill="1" applyBorder="1"/>
    <xf numFmtId="0" fontId="0" fillId="0" borderId="5" xfId="0" applyNumberFormat="1" applyBorder="1"/>
    <xf numFmtId="0" fontId="1" fillId="0" borderId="5" xfId="0" applyNumberFormat="1" applyFont="1" applyFill="1" applyBorder="1" applyAlignment="1">
      <alignment horizontal="right" wrapText="1"/>
    </xf>
    <xf numFmtId="0" fontId="11" fillId="0" borderId="5" xfId="0" applyNumberFormat="1" applyFont="1" applyFill="1" applyBorder="1" applyAlignment="1">
      <alignment wrapText="1"/>
    </xf>
    <xf numFmtId="0" fontId="11" fillId="0" borderId="5" xfId="0" applyNumberFormat="1" applyFont="1" applyFill="1" applyBorder="1" applyAlignment="1">
      <alignment horizontal="right" wrapText="1"/>
    </xf>
    <xf numFmtId="0" fontId="11" fillId="3" borderId="5" xfId="0" applyNumberFormat="1" applyFont="1" applyFill="1" applyBorder="1" applyAlignment="1">
      <alignment wrapText="1"/>
    </xf>
    <xf numFmtId="0" fontId="11" fillId="3" borderId="5" xfId="0" applyNumberFormat="1" applyFont="1" applyFill="1" applyBorder="1" applyAlignment="1">
      <alignment horizontal="right" wrapText="1"/>
    </xf>
    <xf numFmtId="0" fontId="0" fillId="0" borderId="6" xfId="0" applyNumberFormat="1" applyFill="1" applyBorder="1"/>
    <xf numFmtId="2" fontId="0" fillId="0" borderId="5" xfId="0" applyNumberFormat="1" applyFont="1" applyFill="1" applyBorder="1"/>
    <xf numFmtId="2" fontId="0" fillId="0" borderId="0" xfId="0" applyNumberFormat="1" applyFill="1" applyBorder="1"/>
    <xf numFmtId="2" fontId="0" fillId="3" borderId="5" xfId="0" applyNumberFormat="1" applyFont="1" applyFill="1" applyBorder="1"/>
    <xf numFmtId="2" fontId="0" fillId="0" borderId="5" xfId="0" applyNumberFormat="1" applyBorder="1" applyAlignment="1"/>
    <xf numFmtId="9" fontId="0" fillId="0" borderId="0" xfId="0" applyNumberFormat="1" applyFill="1" applyBorder="1"/>
    <xf numFmtId="0" fontId="12" fillId="3" borderId="5" xfId="0" applyNumberFormat="1" applyFont="1" applyFill="1" applyBorder="1"/>
    <xf numFmtId="0" fontId="0" fillId="0" borderId="11" xfId="0" applyFill="1" applyBorder="1"/>
    <xf numFmtId="0" fontId="0" fillId="0" borderId="5" xfId="0" applyFont="1" applyFill="1" applyBorder="1"/>
    <xf numFmtId="2" fontId="0" fillId="0" borderId="5" xfId="0" applyNumberFormat="1" applyFill="1" applyBorder="1"/>
    <xf numFmtId="0" fontId="2" fillId="0" borderId="5" xfId="0" applyNumberFormat="1" applyFont="1" applyFill="1" applyBorder="1" applyAlignment="1">
      <alignment wrapText="1"/>
    </xf>
    <xf numFmtId="0" fontId="2" fillId="5" borderId="5" xfId="0" applyFont="1" applyFill="1" applyBorder="1" applyAlignment="1">
      <alignment vertical="top" wrapText="1"/>
    </xf>
    <xf numFmtId="0" fontId="2" fillId="5" borderId="10" xfId="0" applyFont="1" applyFill="1" applyBorder="1" applyAlignment="1">
      <alignment horizontal="right" vertical="top" wrapText="1"/>
    </xf>
    <xf numFmtId="0" fontId="1" fillId="5" borderId="5" xfId="0" applyFont="1" applyFill="1" applyBorder="1" applyAlignment="1">
      <alignment wrapText="1"/>
    </xf>
    <xf numFmtId="0" fontId="0" fillId="5" borderId="11" xfId="0" applyFill="1" applyBorder="1"/>
    <xf numFmtId="0" fontId="0" fillId="5" borderId="5" xfId="0" applyFill="1" applyBorder="1"/>
    <xf numFmtId="0" fontId="13" fillId="5" borderId="5" xfId="0" applyFont="1" applyFill="1" applyBorder="1" applyAlignment="1">
      <alignment wrapText="1"/>
    </xf>
    <xf numFmtId="0" fontId="13" fillId="5" borderId="5" xfId="0" applyFont="1" applyFill="1" applyBorder="1" applyAlignment="1">
      <alignment horizontal="right" wrapText="1"/>
    </xf>
    <xf numFmtId="0" fontId="0" fillId="5" borderId="5" xfId="0" applyFont="1" applyFill="1" applyBorder="1"/>
    <xf numFmtId="2" fontId="0" fillId="5" borderId="5" xfId="0" applyNumberFormat="1" applyFill="1" applyBorder="1"/>
    <xf numFmtId="0" fontId="4" fillId="4" borderId="5" xfId="0" applyNumberFormat="1" applyFont="1" applyFill="1" applyBorder="1" applyAlignment="1">
      <alignment vertical="top" wrapText="1"/>
    </xf>
    <xf numFmtId="0" fontId="3" fillId="4" borderId="10" xfId="0" applyNumberFormat="1" applyFont="1" applyFill="1" applyBorder="1" applyAlignment="1">
      <alignment horizontal="right" vertical="top" wrapText="1"/>
    </xf>
    <xf numFmtId="0" fontId="0" fillId="4" borderId="5" xfId="0" applyNumberFormat="1" applyFill="1" applyBorder="1"/>
    <xf numFmtId="0" fontId="1" fillId="4" borderId="5" xfId="0" applyNumberFormat="1" applyFont="1" applyFill="1" applyBorder="1" applyAlignment="1">
      <alignment wrapText="1"/>
    </xf>
    <xf numFmtId="0" fontId="1" fillId="4" borderId="5" xfId="0" applyNumberFormat="1" applyFont="1" applyFill="1" applyBorder="1" applyAlignment="1">
      <alignment horizontal="right" wrapText="1"/>
    </xf>
    <xf numFmtId="2" fontId="0" fillId="4" borderId="5" xfId="0" applyNumberFormat="1" applyFill="1" applyBorder="1"/>
    <xf numFmtId="0" fontId="4" fillId="4" borderId="5" xfId="0" applyFont="1" applyFill="1" applyBorder="1" applyAlignment="1">
      <alignment vertical="top" wrapText="1"/>
    </xf>
    <xf numFmtId="0" fontId="17" fillId="4" borderId="5" xfId="0" applyFont="1" applyFill="1" applyBorder="1" applyAlignment="1">
      <alignment vertical="top" wrapText="1"/>
    </xf>
    <xf numFmtId="0" fontId="16" fillId="4" borderId="5" xfId="0" applyFont="1" applyFill="1" applyBorder="1" applyAlignment="1"/>
    <xf numFmtId="2" fontId="0" fillId="4" borderId="5" xfId="0" applyNumberFormat="1" applyFont="1" applyFill="1" applyBorder="1"/>
    <xf numFmtId="0" fontId="11" fillId="4" borderId="5" xfId="0" applyNumberFormat="1" applyFont="1" applyFill="1" applyBorder="1" applyAlignment="1">
      <alignment wrapText="1"/>
    </xf>
    <xf numFmtId="0" fontId="11" fillId="4" borderId="5" xfId="0" applyNumberFormat="1" applyFont="1" applyFill="1" applyBorder="1" applyAlignment="1">
      <alignment horizontal="right" wrapText="1"/>
    </xf>
    <xf numFmtId="0" fontId="14" fillId="4" borderId="5" xfId="0" applyFont="1" applyFill="1" applyBorder="1" applyAlignment="1">
      <alignment wrapText="1"/>
    </xf>
    <xf numFmtId="0" fontId="15" fillId="4" borderId="5" xfId="0" applyFont="1" applyFill="1" applyBorder="1" applyAlignment="1"/>
    <xf numFmtId="0" fontId="2" fillId="4" borderId="10" xfId="0" applyFont="1" applyFill="1" applyBorder="1" applyAlignment="1">
      <alignment horizontal="right" vertical="top" wrapText="1"/>
    </xf>
    <xf numFmtId="0" fontId="0" fillId="4" borderId="11" xfId="0" applyFill="1" applyBorder="1"/>
    <xf numFmtId="0" fontId="13" fillId="4" borderId="5" xfId="0" applyFont="1" applyFill="1" applyBorder="1" applyAlignment="1">
      <alignment wrapText="1"/>
    </xf>
    <xf numFmtId="0" fontId="13" fillId="4" borderId="5" xfId="0" applyFont="1" applyFill="1" applyBorder="1" applyAlignment="1">
      <alignment horizontal="right" wrapText="1"/>
    </xf>
    <xf numFmtId="0" fontId="0" fillId="4" borderId="5" xfId="0" applyFont="1" applyFill="1" applyBorder="1"/>
    <xf numFmtId="0" fontId="18" fillId="5" borderId="5" xfId="0" applyFont="1" applyFill="1" applyBorder="1" applyAlignment="1">
      <alignment wrapText="1"/>
    </xf>
    <xf numFmtId="0" fontId="18" fillId="5" borderId="5" xfId="0" applyFont="1" applyFill="1" applyBorder="1" applyAlignment="1">
      <alignment horizontal="right" wrapText="1"/>
    </xf>
    <xf numFmtId="0" fontId="4" fillId="5" borderId="5" xfId="0" applyFont="1" applyFill="1" applyBorder="1" applyAlignment="1">
      <alignment vertical="top" wrapText="1"/>
    </xf>
    <xf numFmtId="0" fontId="17" fillId="5" borderId="5" xfId="0" applyFont="1" applyFill="1" applyBorder="1" applyAlignment="1">
      <alignment vertical="top" wrapText="1"/>
    </xf>
    <xf numFmtId="0" fontId="16" fillId="5" borderId="5" xfId="0" applyFont="1" applyFill="1" applyBorder="1" applyAlignment="1"/>
    <xf numFmtId="2" fontId="0" fillId="5" borderId="5" xfId="0" applyNumberFormat="1" applyFont="1" applyFill="1" applyBorder="1"/>
    <xf numFmtId="0" fontId="2" fillId="5" borderId="5" xfId="0" applyFont="1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right" vertical="top" wrapText="1"/>
    </xf>
    <xf numFmtId="0" fontId="20" fillId="5" borderId="5" xfId="0" applyFont="1" applyFill="1" applyBorder="1" applyAlignment="1">
      <alignment horizontal="right" wrapText="1"/>
    </xf>
    <xf numFmtId="0" fontId="12" fillId="5" borderId="5" xfId="0" applyFont="1" applyFill="1" applyBorder="1" applyAlignment="1">
      <alignment horizontal="right"/>
    </xf>
    <xf numFmtId="0" fontId="0" fillId="5" borderId="5" xfId="0" applyFont="1" applyFill="1" applyBorder="1" applyAlignment="1">
      <alignment horizontal="right"/>
    </xf>
    <xf numFmtId="0" fontId="9" fillId="5" borderId="8" xfId="0" applyFont="1" applyFill="1" applyBorder="1" applyAlignment="1">
      <alignment wrapText="1"/>
    </xf>
    <xf numFmtId="0" fontId="9" fillId="5" borderId="8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2" fillId="5" borderId="8" xfId="0" applyFont="1" applyFill="1" applyBorder="1"/>
    <xf numFmtId="0" fontId="0" fillId="5" borderId="8" xfId="0" applyFill="1" applyBorder="1"/>
    <xf numFmtId="0" fontId="1" fillId="5" borderId="5" xfId="0" applyFont="1" applyFill="1" applyBorder="1" applyAlignment="1">
      <alignment horizontal="right" wrapText="1"/>
    </xf>
    <xf numFmtId="0" fontId="4" fillId="5" borderId="5" xfId="0" applyNumberFormat="1" applyFont="1" applyFill="1" applyBorder="1" applyAlignment="1">
      <alignment vertical="top" wrapText="1"/>
    </xf>
    <xf numFmtId="0" fontId="3" fillId="5" borderId="10" xfId="0" applyNumberFormat="1" applyFont="1" applyFill="1" applyBorder="1" applyAlignment="1">
      <alignment horizontal="right" vertical="top" wrapText="1"/>
    </xf>
    <xf numFmtId="0" fontId="0" fillId="5" borderId="5" xfId="0" applyNumberFormat="1" applyFill="1" applyBorder="1"/>
    <xf numFmtId="0" fontId="1" fillId="5" borderId="5" xfId="0" applyNumberFormat="1" applyFont="1" applyFill="1" applyBorder="1" applyAlignment="1">
      <alignment wrapText="1"/>
    </xf>
    <xf numFmtId="0" fontId="1" fillId="5" borderId="5" xfId="0" applyNumberFormat="1" applyFont="1" applyFill="1" applyBorder="1" applyAlignment="1">
      <alignment horizontal="right" wrapText="1"/>
    </xf>
    <xf numFmtId="0" fontId="9" fillId="5" borderId="5" xfId="0" applyFont="1" applyFill="1" applyBorder="1" applyAlignment="1">
      <alignment wrapText="1"/>
    </xf>
    <xf numFmtId="0" fontId="9" fillId="5" borderId="5" xfId="0" applyFont="1" applyFill="1" applyBorder="1" applyAlignment="1">
      <alignment horizontal="center" wrapText="1"/>
    </xf>
    <xf numFmtId="0" fontId="12" fillId="5" borderId="5" xfId="0" applyFont="1" applyFill="1" applyBorder="1"/>
    <xf numFmtId="0" fontId="2" fillId="4" borderId="7" xfId="0" applyFont="1" applyFill="1" applyBorder="1" applyAlignment="1">
      <alignment vertical="center" wrapText="1"/>
    </xf>
    <xf numFmtId="0" fontId="18" fillId="4" borderId="5" xfId="0" applyFont="1" applyFill="1" applyBorder="1" applyAlignment="1">
      <alignment wrapText="1"/>
    </xf>
    <xf numFmtId="0" fontId="18" fillId="4" borderId="5" xfId="0" applyFont="1" applyFill="1" applyBorder="1" applyAlignment="1">
      <alignment horizontal="right" wrapText="1"/>
    </xf>
    <xf numFmtId="0" fontId="2" fillId="4" borderId="8" xfId="0" applyFont="1" applyFill="1" applyBorder="1" applyAlignment="1">
      <alignment vertical="center" wrapText="1"/>
    </xf>
    <xf numFmtId="0" fontId="14" fillId="5" borderId="5" xfId="0" applyFont="1" applyFill="1" applyBorder="1" applyAlignment="1">
      <alignment wrapText="1"/>
    </xf>
    <xf numFmtId="0" fontId="15" fillId="5" borderId="5" xfId="0" applyFont="1" applyFill="1" applyBorder="1" applyAlignment="1"/>
    <xf numFmtId="9" fontId="0" fillId="3" borderId="5" xfId="0" applyNumberFormat="1" applyFill="1" applyBorder="1"/>
    <xf numFmtId="0" fontId="13" fillId="0" borderId="0" xfId="0" applyNumberFormat="1" applyFont="1" applyFill="1" applyBorder="1" applyAlignment="1">
      <alignment wrapText="1"/>
    </xf>
    <xf numFmtId="0" fontId="17" fillId="0" borderId="0" xfId="0" applyFont="1" applyFill="1" applyBorder="1" applyAlignment="1">
      <alignment vertical="top" wrapText="1"/>
    </xf>
    <xf numFmtId="2" fontId="0" fillId="0" borderId="0" xfId="0" applyNumberFormat="1" applyFont="1" applyFill="1" applyBorder="1"/>
    <xf numFmtId="0" fontId="2" fillId="5" borderId="5" xfId="0" applyFont="1" applyFill="1" applyBorder="1" applyAlignment="1">
      <alignment horizontal="left" wrapText="1"/>
    </xf>
    <xf numFmtId="0" fontId="11" fillId="5" borderId="5" xfId="0" applyNumberFormat="1" applyFont="1" applyFill="1" applyBorder="1" applyAlignment="1">
      <alignment wrapText="1"/>
    </xf>
    <xf numFmtId="0" fontId="11" fillId="5" borderId="5" xfId="0" applyNumberFormat="1" applyFont="1" applyFill="1" applyBorder="1" applyAlignment="1">
      <alignment horizontal="right" wrapText="1"/>
    </xf>
    <xf numFmtId="0" fontId="0" fillId="0" borderId="1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3" fillId="2" borderId="7" xfId="0" applyNumberFormat="1" applyFont="1" applyFill="1" applyBorder="1" applyAlignment="1">
      <alignment horizontal="right" vertical="center" wrapText="1"/>
    </xf>
    <xf numFmtId="0" fontId="3" fillId="2" borderId="6" xfId="0" applyNumberFormat="1" applyFont="1" applyFill="1" applyBorder="1" applyAlignment="1">
      <alignment horizontal="right" vertical="center" wrapText="1"/>
    </xf>
    <xf numFmtId="0" fontId="3" fillId="2" borderId="8" xfId="0" applyNumberFormat="1" applyFont="1" applyFill="1" applyBorder="1" applyAlignment="1">
      <alignment horizontal="right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right" vertical="center" wrapText="1"/>
    </xf>
    <xf numFmtId="0" fontId="2" fillId="0" borderId="8" xfId="0" applyFont="1" applyFill="1" applyBorder="1" applyAlignment="1">
      <alignment horizontal="right" vertical="center" wrapText="1"/>
    </xf>
    <xf numFmtId="0" fontId="2" fillId="0" borderId="5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right" vertical="center"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topLeftCell="A28" zoomScale="80" zoomScaleNormal="80" workbookViewId="0">
      <selection activeCell="K48" sqref="K48"/>
    </sheetView>
  </sheetViews>
  <sheetFormatPr defaultRowHeight="15"/>
  <cols>
    <col min="2" max="2" width="9.140625" customWidth="1"/>
    <col min="3" max="3" width="39.28515625" customWidth="1"/>
    <col min="4" max="4" width="11.42578125" customWidth="1"/>
    <col min="5" max="5" width="10.42578125" customWidth="1"/>
    <col min="6" max="6" width="7.28515625" customWidth="1"/>
    <col min="7" max="7" width="8.85546875" customWidth="1"/>
    <col min="8" max="8" width="10" bestFit="1" customWidth="1"/>
    <col min="9" max="9" width="10.28515625" customWidth="1"/>
    <col min="10" max="10" width="11.140625" customWidth="1"/>
    <col min="11" max="11" width="13.28515625" customWidth="1"/>
    <col min="12" max="12" width="9.5703125" customWidth="1"/>
    <col min="13" max="14" width="13.140625" customWidth="1"/>
    <col min="15" max="15" width="14.28515625" customWidth="1"/>
    <col min="16" max="16" width="10.5703125" bestFit="1" customWidth="1"/>
    <col min="17" max="17" width="10.7109375" customWidth="1"/>
    <col min="18" max="18" width="12.140625" customWidth="1"/>
  </cols>
  <sheetData>
    <row r="1" spans="1:18">
      <c r="B1" s="238" t="s">
        <v>267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40"/>
    </row>
    <row r="2" spans="1:18" ht="57.75">
      <c r="A2" s="55" t="s">
        <v>0</v>
      </c>
      <c r="B2" s="55" t="s">
        <v>1</v>
      </c>
      <c r="C2" s="55" t="s">
        <v>2</v>
      </c>
      <c r="D2" s="130" t="s">
        <v>3</v>
      </c>
      <c r="E2" s="57" t="s">
        <v>260</v>
      </c>
      <c r="F2" s="135" t="s">
        <v>240</v>
      </c>
      <c r="G2" s="123" t="s">
        <v>241</v>
      </c>
      <c r="H2" s="55" t="s">
        <v>239</v>
      </c>
      <c r="I2" s="55" t="s">
        <v>224</v>
      </c>
      <c r="J2" s="55" t="s">
        <v>225</v>
      </c>
      <c r="K2" s="55" t="s">
        <v>226</v>
      </c>
      <c r="L2" s="55" t="s">
        <v>256</v>
      </c>
      <c r="M2" s="57" t="s">
        <v>253</v>
      </c>
      <c r="N2" s="57" t="s">
        <v>257</v>
      </c>
      <c r="O2" s="57" t="s">
        <v>258</v>
      </c>
      <c r="P2" s="57" t="s">
        <v>259</v>
      </c>
      <c r="Q2" s="57" t="s">
        <v>281</v>
      </c>
      <c r="R2" s="77" t="s">
        <v>282</v>
      </c>
    </row>
    <row r="3" spans="1:18">
      <c r="A3" s="113">
        <v>1</v>
      </c>
      <c r="B3" s="124">
        <v>2</v>
      </c>
      <c r="C3" s="172" t="s">
        <v>4</v>
      </c>
      <c r="D3" s="173">
        <v>58.27</v>
      </c>
      <c r="E3" s="174"/>
      <c r="F3" s="175">
        <v>1</v>
      </c>
      <c r="G3" s="176">
        <f>(D3+E3)*F3</f>
        <v>58.27</v>
      </c>
      <c r="H3" s="177">
        <v>1</v>
      </c>
      <c r="I3" s="178">
        <v>0</v>
      </c>
      <c r="J3" s="178">
        <v>0</v>
      </c>
      <c r="K3" s="177">
        <v>0</v>
      </c>
      <c r="L3" s="177">
        <f>$H$3*'розрахунок балконів'!$N$2+I3*'розрахунок балконів'!$N$3+J3*'розрахунок балконів'!$N$4+K3*'розрахунок балконів'!$N$5</f>
        <v>1254</v>
      </c>
      <c r="M3" s="179">
        <f>IF(F3,0,L3)</f>
        <v>0</v>
      </c>
      <c r="N3" s="180">
        <f>IF(F3,L3*'розрахунок балконів'!$E$13,0)</f>
        <v>1602.8917382639204</v>
      </c>
      <c r="O3" s="180">
        <f>G3*'розрахунок квадрату стяжки'!$M$3</f>
        <v>2236.7002953674632</v>
      </c>
      <c r="P3" s="180">
        <f>N3+O3</f>
        <v>3839.5920336313839</v>
      </c>
      <c r="Q3" s="176">
        <v>4000</v>
      </c>
      <c r="R3" s="180">
        <f t="shared" ref="R3:R47" si="0">Q3-P3</f>
        <v>160.40796636861614</v>
      </c>
    </row>
    <row r="4" spans="1:18">
      <c r="A4" s="114"/>
      <c r="B4" s="125"/>
      <c r="C4" s="59" t="s">
        <v>5</v>
      </c>
      <c r="D4" s="132">
        <v>37.36</v>
      </c>
      <c r="E4" s="89"/>
      <c r="F4" s="137">
        <v>0</v>
      </c>
      <c r="G4" s="90">
        <f t="shared" ref="G4:G47" si="1">(D4+E4)*F4</f>
        <v>0</v>
      </c>
      <c r="H4" s="61">
        <v>1</v>
      </c>
      <c r="I4" s="62">
        <v>0</v>
      </c>
      <c r="J4" s="62">
        <v>0</v>
      </c>
      <c r="K4" s="61">
        <v>0</v>
      </c>
      <c r="L4" s="61">
        <f>$H$3*'розрахунок балконів'!$N$2+I4*'розрахунок балконів'!$N$3+J4*'розрахунок балконів'!$N$4+K4*'розрахунок балконів'!$N$5</f>
        <v>1254</v>
      </c>
      <c r="M4" s="118">
        <f t="shared" ref="M4:M47" si="2">IF(F4,0,L4)</f>
        <v>1254</v>
      </c>
      <c r="N4" s="122">
        <f>IF(F4,L4*'розрахунок балконів'!$E$13,0)</f>
        <v>0</v>
      </c>
      <c r="O4" s="122">
        <f>G4*'розрахунок квадрату стяжки'!$M$3</f>
        <v>0</v>
      </c>
      <c r="P4" s="122">
        <f t="shared" ref="P4:P42" si="3">N4+O4</f>
        <v>0</v>
      </c>
      <c r="Q4" s="90"/>
      <c r="R4" s="122">
        <f t="shared" si="0"/>
        <v>0</v>
      </c>
    </row>
    <row r="5" spans="1:18">
      <c r="A5" s="114"/>
      <c r="B5" s="125"/>
      <c r="C5" s="63" t="s">
        <v>6</v>
      </c>
      <c r="D5" s="133">
        <v>36.57</v>
      </c>
      <c r="E5" s="93"/>
      <c r="F5" s="137">
        <v>0</v>
      </c>
      <c r="G5" s="90">
        <f t="shared" si="1"/>
        <v>0</v>
      </c>
      <c r="H5" s="64">
        <v>1</v>
      </c>
      <c r="I5" s="65">
        <v>0</v>
      </c>
      <c r="J5" s="65">
        <v>0</v>
      </c>
      <c r="K5" s="64">
        <v>0</v>
      </c>
      <c r="L5" s="61">
        <f>$H$3*'розрахунок балконів'!$N$2+I5*'розрахунок балконів'!$N$3+J5*'розрахунок балконів'!$N$4+K5*'розрахунок балконів'!$N$5</f>
        <v>1254</v>
      </c>
      <c r="M5" s="118">
        <f t="shared" si="2"/>
        <v>1254</v>
      </c>
      <c r="N5" s="122">
        <f>IF(F5,L5*'розрахунок балконів'!$E$13,0)</f>
        <v>0</v>
      </c>
      <c r="O5" s="122">
        <f>G5*'розрахунок квадрату стяжки'!$M$3</f>
        <v>0</v>
      </c>
      <c r="P5" s="122">
        <f t="shared" si="3"/>
        <v>0</v>
      </c>
      <c r="Q5" s="90"/>
      <c r="R5" s="122">
        <f t="shared" si="0"/>
        <v>0</v>
      </c>
    </row>
    <row r="6" spans="1:18">
      <c r="A6" s="114"/>
      <c r="B6" s="125"/>
      <c r="C6" s="172" t="s">
        <v>7</v>
      </c>
      <c r="D6" s="173">
        <v>65.040000000000006</v>
      </c>
      <c r="E6" s="174"/>
      <c r="F6" s="175">
        <v>1</v>
      </c>
      <c r="G6" s="176">
        <f t="shared" si="1"/>
        <v>65.040000000000006</v>
      </c>
      <c r="H6" s="177">
        <v>1</v>
      </c>
      <c r="I6" s="178">
        <v>0</v>
      </c>
      <c r="J6" s="178">
        <v>0</v>
      </c>
      <c r="K6" s="177">
        <v>1</v>
      </c>
      <c r="L6" s="177">
        <f>$H$3*'розрахунок балконів'!$N$2+I6*'розрахунок балконів'!$N$3+J6*'розрахунок балконів'!$N$4+K6*'розрахунок балконів'!$N$5</f>
        <v>2231.5</v>
      </c>
      <c r="M6" s="179">
        <f t="shared" si="2"/>
        <v>0</v>
      </c>
      <c r="N6" s="180">
        <f>IF(F6,L6*'розрахунок балконів'!$E$13,0)</f>
        <v>2852.3547958021836</v>
      </c>
      <c r="O6" s="180">
        <f>G6*'розрахунок квадрату стяжки'!$M$3</f>
        <v>2496.5674825930978</v>
      </c>
      <c r="P6" s="180">
        <f t="shared" si="3"/>
        <v>5348.922278395281</v>
      </c>
      <c r="Q6" s="176">
        <v>5537</v>
      </c>
      <c r="R6" s="180">
        <f>Q6-P6</f>
        <v>188.07772160471904</v>
      </c>
    </row>
    <row r="7" spans="1:18" ht="14.25" customHeight="1">
      <c r="A7" s="114"/>
      <c r="B7" s="126"/>
      <c r="C7" s="59" t="s">
        <v>8</v>
      </c>
      <c r="D7" s="132">
        <v>79.11</v>
      </c>
      <c r="E7" s="89"/>
      <c r="F7" s="137">
        <v>0</v>
      </c>
      <c r="G7" s="90">
        <f t="shared" si="1"/>
        <v>0</v>
      </c>
      <c r="H7" s="61">
        <v>1</v>
      </c>
      <c r="I7" s="62">
        <v>0</v>
      </c>
      <c r="J7" s="62">
        <v>0</v>
      </c>
      <c r="K7" s="61">
        <v>0</v>
      </c>
      <c r="L7" s="61">
        <f>$H$3*'розрахунок балконів'!$N$2+I7*'розрахунок балконів'!$N$3+J7*'розрахунок балконів'!$N$4+K7*'розрахунок балконів'!$N$5</f>
        <v>1254</v>
      </c>
      <c r="M7" s="118">
        <f t="shared" si="2"/>
        <v>1254</v>
      </c>
      <c r="N7" s="122">
        <f>IF(F7,L7*'розрахунок балконів'!$E$13,0)</f>
        <v>0</v>
      </c>
      <c r="O7" s="122">
        <f>G7*'розрахунок квадрату стяжки'!$M$3</f>
        <v>0</v>
      </c>
      <c r="P7" s="122">
        <f t="shared" si="3"/>
        <v>0</v>
      </c>
      <c r="Q7" s="90"/>
      <c r="R7" s="122">
        <f t="shared" si="0"/>
        <v>0</v>
      </c>
    </row>
    <row r="8" spans="1:18">
      <c r="A8" s="114"/>
      <c r="B8" s="124">
        <v>3</v>
      </c>
      <c r="C8" s="172" t="s">
        <v>9</v>
      </c>
      <c r="D8" s="173">
        <v>58.27</v>
      </c>
      <c r="E8" s="174"/>
      <c r="F8" s="175">
        <v>1</v>
      </c>
      <c r="G8" s="176">
        <f t="shared" si="1"/>
        <v>58.27</v>
      </c>
      <c r="H8" s="177">
        <v>1</v>
      </c>
      <c r="I8" s="178">
        <v>0</v>
      </c>
      <c r="J8" s="178">
        <v>0</v>
      </c>
      <c r="K8" s="177">
        <v>0</v>
      </c>
      <c r="L8" s="177">
        <f>$H$3*'розрахунок балконів'!$N$2+I8*'розрахунок балконів'!$N$3+J8*'розрахунок балконів'!$N$4+K8*'розрахунок балконів'!$N$5</f>
        <v>1254</v>
      </c>
      <c r="M8" s="179">
        <f t="shared" si="2"/>
        <v>0</v>
      </c>
      <c r="N8" s="180">
        <f>IF(F8,L8*'розрахунок балконів'!$E$13,0)</f>
        <v>1602.8917382639204</v>
      </c>
      <c r="O8" s="180">
        <f>G8*'розрахунок квадрату стяжки'!$M$3</f>
        <v>2236.7002953674632</v>
      </c>
      <c r="P8" s="180">
        <f t="shared" si="3"/>
        <v>3839.5920336313839</v>
      </c>
      <c r="Q8" s="176">
        <v>3905</v>
      </c>
      <c r="R8" s="180">
        <f t="shared" si="0"/>
        <v>65.407966368616144</v>
      </c>
    </row>
    <row r="9" spans="1:18">
      <c r="A9" s="114"/>
      <c r="B9" s="125"/>
      <c r="C9" s="172" t="s">
        <v>202</v>
      </c>
      <c r="D9" s="173">
        <v>37.36</v>
      </c>
      <c r="E9" s="174"/>
      <c r="F9" s="175">
        <v>1</v>
      </c>
      <c r="G9" s="176">
        <f t="shared" si="1"/>
        <v>37.36</v>
      </c>
      <c r="H9" s="177">
        <v>1</v>
      </c>
      <c r="I9" s="178">
        <v>0</v>
      </c>
      <c r="J9" s="178">
        <v>0</v>
      </c>
      <c r="K9" s="177">
        <v>0</v>
      </c>
      <c r="L9" s="177">
        <f>$H$3*'розрахунок балконів'!$N$2+I9*'розрахунок балконів'!$N$3+J9*'розрахунок балконів'!$N$4+K9*'розрахунок балконів'!$N$5</f>
        <v>1254</v>
      </c>
      <c r="M9" s="179">
        <f t="shared" si="2"/>
        <v>0</v>
      </c>
      <c r="N9" s="180">
        <f>IF(F9,L9*'розрахунок балконів'!$E$13,0)</f>
        <v>1602.8917382639204</v>
      </c>
      <c r="O9" s="180">
        <f>G9*'розрахунок квадрату стяжки'!$M$3</f>
        <v>1434.0676683529846</v>
      </c>
      <c r="P9" s="180">
        <f t="shared" si="3"/>
        <v>3036.9594066169047</v>
      </c>
      <c r="Q9" s="176">
        <v>3130</v>
      </c>
      <c r="R9" s="180">
        <f t="shared" si="0"/>
        <v>93.040593383095256</v>
      </c>
    </row>
    <row r="10" spans="1:18">
      <c r="A10" s="114"/>
      <c r="B10" s="125"/>
      <c r="C10" s="46" t="s">
        <v>10</v>
      </c>
      <c r="D10" s="131">
        <v>36.57</v>
      </c>
      <c r="E10" s="29"/>
      <c r="F10" s="136">
        <v>1</v>
      </c>
      <c r="G10" s="77">
        <f t="shared" si="1"/>
        <v>36.57</v>
      </c>
      <c r="H10" s="66">
        <v>1</v>
      </c>
      <c r="I10" s="67">
        <v>0</v>
      </c>
      <c r="J10" s="67">
        <v>0</v>
      </c>
      <c r="K10" s="66">
        <v>0</v>
      </c>
      <c r="L10" s="57">
        <f>$H$3*'розрахунок балконів'!$N$2+I10*'розрахунок балконів'!$N$3+J10*'розрахунок балконів'!$N$4+K10*'розрахунок балконів'!$N$5</f>
        <v>1254</v>
      </c>
      <c r="M10" s="79">
        <f t="shared" si="2"/>
        <v>0</v>
      </c>
      <c r="N10" s="121">
        <f>IF(F10,L10*'розрахунок балконів'!$E$13,0)</f>
        <v>1602.8917382639204</v>
      </c>
      <c r="O10" s="121">
        <f>G10*'розрахунок квадрату стяжки'!$M$3</f>
        <v>1403.743432325178</v>
      </c>
      <c r="P10" s="121">
        <f t="shared" si="3"/>
        <v>3006.6351705890984</v>
      </c>
      <c r="Q10" s="77"/>
      <c r="R10" s="121">
        <f t="shared" si="0"/>
        <v>-3006.6351705890984</v>
      </c>
    </row>
    <row r="11" spans="1:18">
      <c r="A11" s="114"/>
      <c r="B11" s="125"/>
      <c r="C11" s="68" t="s">
        <v>11</v>
      </c>
      <c r="D11" s="134">
        <v>65.040000000000006</v>
      </c>
      <c r="E11" s="92"/>
      <c r="F11" s="136">
        <v>1</v>
      </c>
      <c r="G11" s="77">
        <f t="shared" si="1"/>
        <v>65.040000000000006</v>
      </c>
      <c r="H11" s="57">
        <v>1</v>
      </c>
      <c r="I11" s="58">
        <v>0</v>
      </c>
      <c r="J11" s="58">
        <v>0</v>
      </c>
      <c r="K11" s="57">
        <v>1</v>
      </c>
      <c r="L11" s="57">
        <f>$H$3*'розрахунок балконів'!$N$2+I11*'розрахунок балконів'!$N$3+J11*'розрахунок балконів'!$N$4+K11*'розрахунок балконів'!$N$5</f>
        <v>2231.5</v>
      </c>
      <c r="M11" s="79">
        <f t="shared" si="2"/>
        <v>0</v>
      </c>
      <c r="N11" s="121">
        <f>IF(F11,L11*'розрахунок балконів'!$E$13,0)</f>
        <v>2852.3547958021836</v>
      </c>
      <c r="O11" s="121">
        <f>G11*'розрахунок квадрату стяжки'!$M$3</f>
        <v>2496.5674825930978</v>
      </c>
      <c r="P11" s="121">
        <f t="shared" si="3"/>
        <v>5348.922278395281</v>
      </c>
      <c r="Q11" s="77"/>
      <c r="R11" s="121">
        <f t="shared" si="0"/>
        <v>-5348.922278395281</v>
      </c>
    </row>
    <row r="12" spans="1:18">
      <c r="A12" s="114"/>
      <c r="B12" s="126"/>
      <c r="C12" s="172" t="s">
        <v>12</v>
      </c>
      <c r="D12" s="173">
        <v>79.11</v>
      </c>
      <c r="E12" s="216">
        <v>2.5</v>
      </c>
      <c r="F12" s="175">
        <v>1</v>
      </c>
      <c r="G12" s="176">
        <f t="shared" si="1"/>
        <v>81.61</v>
      </c>
      <c r="H12" s="177">
        <v>1</v>
      </c>
      <c r="I12" s="178">
        <v>0</v>
      </c>
      <c r="J12" s="178">
        <v>0</v>
      </c>
      <c r="K12" s="177">
        <v>0</v>
      </c>
      <c r="L12" s="177">
        <f>$H$3*'розрахунок балконів'!$N$2+I12*'розрахунок балконів'!$N$3+J12*'розрахунок балконів'!$N$4+K12*'розрахунок балконів'!$N$5</f>
        <v>1254</v>
      </c>
      <c r="M12" s="179">
        <f t="shared" si="2"/>
        <v>0</v>
      </c>
      <c r="N12" s="180">
        <f>IF(F12,L12*'розрахунок балконів'!$E$13,0)</f>
        <v>1602.8917382639204</v>
      </c>
      <c r="O12" s="180">
        <f>G12*'розрахунок квадрату стяжки'!$M$3</f>
        <v>3132.6087369991187</v>
      </c>
      <c r="P12" s="180">
        <f t="shared" si="3"/>
        <v>4735.5004752630393</v>
      </c>
      <c r="Q12" s="176">
        <v>4884</v>
      </c>
      <c r="R12" s="180">
        <f t="shared" si="0"/>
        <v>148.49952473696067</v>
      </c>
    </row>
    <row r="13" spans="1:18">
      <c r="A13" s="114"/>
      <c r="B13" s="127">
        <v>4</v>
      </c>
      <c r="C13" s="28" t="s">
        <v>13</v>
      </c>
      <c r="D13" s="131">
        <v>58.27</v>
      </c>
      <c r="E13" s="29"/>
      <c r="F13" s="136">
        <v>1</v>
      </c>
      <c r="G13" s="77">
        <f t="shared" si="1"/>
        <v>58.27</v>
      </c>
      <c r="H13" s="57">
        <v>1</v>
      </c>
      <c r="I13" s="58">
        <v>0</v>
      </c>
      <c r="J13" s="58">
        <v>0</v>
      </c>
      <c r="K13" s="57">
        <v>0</v>
      </c>
      <c r="L13" s="57">
        <f>$H$3*'розрахунок балконів'!$N$2+I13*'розрахунок балконів'!$N$3+J13*'розрахунок балконів'!$N$4+K13*'розрахунок балконів'!$N$5</f>
        <v>1254</v>
      </c>
      <c r="M13" s="79">
        <f t="shared" si="2"/>
        <v>0</v>
      </c>
      <c r="N13" s="121">
        <f>IF(F13,L13*'розрахунок балконів'!$E$13,0)</f>
        <v>1602.8917382639204</v>
      </c>
      <c r="O13" s="121">
        <f>G13*'розрахунок квадрату стяжки'!$M$3</f>
        <v>2236.7002953674632</v>
      </c>
      <c r="P13" s="121">
        <f t="shared" si="3"/>
        <v>3839.5920336313839</v>
      </c>
      <c r="Q13" s="77"/>
      <c r="R13" s="121">
        <f t="shared" si="0"/>
        <v>-3839.5920336313839</v>
      </c>
    </row>
    <row r="14" spans="1:18">
      <c r="A14" s="114"/>
      <c r="B14" s="128"/>
      <c r="C14" s="28" t="s">
        <v>14</v>
      </c>
      <c r="D14" s="131">
        <v>37.36</v>
      </c>
      <c r="E14" s="29"/>
      <c r="F14" s="136">
        <v>1</v>
      </c>
      <c r="G14" s="77">
        <f t="shared" si="1"/>
        <v>37.36</v>
      </c>
      <c r="H14" s="57">
        <v>1</v>
      </c>
      <c r="I14" s="58">
        <v>0</v>
      </c>
      <c r="J14" s="58">
        <v>0</v>
      </c>
      <c r="K14" s="57">
        <v>0</v>
      </c>
      <c r="L14" s="57">
        <f>$H$3*'розрахунок балконів'!$N$2+I14*'розрахунок балконів'!$N$3+J14*'розрахунок балконів'!$N$4+K14*'розрахунок балконів'!$N$5</f>
        <v>1254</v>
      </c>
      <c r="M14" s="79">
        <f t="shared" si="2"/>
        <v>0</v>
      </c>
      <c r="N14" s="121">
        <f>IF(F14,L14*'розрахунок балконів'!$E$13,0)</f>
        <v>1602.8917382639204</v>
      </c>
      <c r="O14" s="121">
        <f>G14*'розрахунок квадрату стяжки'!$M$3</f>
        <v>1434.0676683529846</v>
      </c>
      <c r="P14" s="121">
        <f t="shared" si="3"/>
        <v>3036.9594066169047</v>
      </c>
      <c r="Q14" s="77"/>
      <c r="R14" s="121">
        <f t="shared" si="0"/>
        <v>-3036.9594066169047</v>
      </c>
    </row>
    <row r="15" spans="1:18">
      <c r="A15" s="114"/>
      <c r="B15" s="128"/>
      <c r="C15" s="63" t="s">
        <v>15</v>
      </c>
      <c r="D15" s="132">
        <v>36.57</v>
      </c>
      <c r="E15" s="89"/>
      <c r="F15" s="137">
        <v>0</v>
      </c>
      <c r="G15" s="90">
        <f t="shared" si="1"/>
        <v>0</v>
      </c>
      <c r="H15" s="64">
        <v>1</v>
      </c>
      <c r="I15" s="65">
        <v>0</v>
      </c>
      <c r="J15" s="65">
        <v>0</v>
      </c>
      <c r="K15" s="64">
        <v>0</v>
      </c>
      <c r="L15" s="61">
        <f>$H$3*'розрахунок балконів'!$N$2+I15*'розрахунок балконів'!$N$3+J15*'розрахунок балконів'!$N$4+K15*'розрахунок балконів'!$N$5</f>
        <v>1254</v>
      </c>
      <c r="M15" s="118">
        <f t="shared" si="2"/>
        <v>1254</v>
      </c>
      <c r="N15" s="122">
        <f>IF(F15,L15*'розрахунок балконів'!$E$13,0)</f>
        <v>0</v>
      </c>
      <c r="O15" s="122">
        <f>G15*'розрахунок квадрату стяжки'!$M$3</f>
        <v>0</v>
      </c>
      <c r="P15" s="122">
        <f t="shared" si="3"/>
        <v>0</v>
      </c>
      <c r="Q15" s="90"/>
      <c r="R15" s="122">
        <f t="shared" si="0"/>
        <v>0</v>
      </c>
    </row>
    <row r="16" spans="1:18">
      <c r="A16" s="114"/>
      <c r="B16" s="128"/>
      <c r="C16" s="172" t="s">
        <v>16</v>
      </c>
      <c r="D16" s="173">
        <v>65.040000000000006</v>
      </c>
      <c r="E16" s="216">
        <v>2.5</v>
      </c>
      <c r="F16" s="175">
        <v>1</v>
      </c>
      <c r="G16" s="176">
        <f t="shared" si="1"/>
        <v>67.540000000000006</v>
      </c>
      <c r="H16" s="177">
        <v>1</v>
      </c>
      <c r="I16" s="178">
        <v>0</v>
      </c>
      <c r="J16" s="178">
        <v>0</v>
      </c>
      <c r="K16" s="177">
        <v>1</v>
      </c>
      <c r="L16" s="177">
        <f>$H$3*'розрахунок балконів'!$N$2+I16*'розрахунок балконів'!$N$3+J16*'розрахунок балконів'!$N$4+K16*'розрахунок балконів'!$N$5</f>
        <v>2231.5</v>
      </c>
      <c r="M16" s="179">
        <f t="shared" si="2"/>
        <v>0</v>
      </c>
      <c r="N16" s="180">
        <f>IF(F16,L16*'розрахунок балконів'!$E$13,0)</f>
        <v>2852.3547958021836</v>
      </c>
      <c r="O16" s="180">
        <f>G16*'розрахунок квадрату стяжки'!$M$3</f>
        <v>2592.5302548329923</v>
      </c>
      <c r="P16" s="180">
        <f t="shared" si="3"/>
        <v>5444.8850506351755</v>
      </c>
      <c r="Q16" s="176">
        <v>5650</v>
      </c>
      <c r="R16" s="180">
        <f t="shared" si="0"/>
        <v>205.1149493648245</v>
      </c>
    </row>
    <row r="17" spans="1:18">
      <c r="A17" s="114"/>
      <c r="B17" s="129"/>
      <c r="C17" s="46" t="s">
        <v>17</v>
      </c>
      <c r="D17" s="131">
        <v>79.11</v>
      </c>
      <c r="E17" s="91">
        <v>2.5</v>
      </c>
      <c r="F17" s="136">
        <v>1</v>
      </c>
      <c r="G17" s="77">
        <f t="shared" si="1"/>
        <v>81.61</v>
      </c>
      <c r="H17" s="57">
        <v>1</v>
      </c>
      <c r="I17" s="58">
        <v>0</v>
      </c>
      <c r="J17" s="58">
        <v>0</v>
      </c>
      <c r="K17" s="57">
        <v>0</v>
      </c>
      <c r="L17" s="57">
        <f>$H$3*'розрахунок балконів'!$N$2+I17*'розрахунок балконів'!$N$3+J17*'розрахунок балконів'!$N$4+K17*'розрахунок балконів'!$N$5</f>
        <v>1254</v>
      </c>
      <c r="M17" s="79">
        <f t="shared" si="2"/>
        <v>0</v>
      </c>
      <c r="N17" s="121">
        <f>IF(F17,L17*'розрахунок балконів'!$E$13,0)</f>
        <v>1602.8917382639204</v>
      </c>
      <c r="O17" s="121">
        <f>G17*'розрахунок квадрату стяжки'!$M$3</f>
        <v>3132.6087369991187</v>
      </c>
      <c r="P17" s="121">
        <f t="shared" si="3"/>
        <v>4735.5004752630393</v>
      </c>
      <c r="Q17" s="77"/>
      <c r="R17" s="121">
        <f t="shared" si="0"/>
        <v>-4735.5004752630393</v>
      </c>
    </row>
    <row r="18" spans="1:18">
      <c r="A18" s="114"/>
      <c r="B18" s="127">
        <v>5</v>
      </c>
      <c r="C18" s="172" t="s">
        <v>18</v>
      </c>
      <c r="D18" s="173">
        <v>58.27</v>
      </c>
      <c r="E18" s="174"/>
      <c r="F18" s="175">
        <v>1</v>
      </c>
      <c r="G18" s="176">
        <f t="shared" si="1"/>
        <v>58.27</v>
      </c>
      <c r="H18" s="177">
        <v>1</v>
      </c>
      <c r="I18" s="178">
        <v>0</v>
      </c>
      <c r="J18" s="178">
        <v>0</v>
      </c>
      <c r="K18" s="177">
        <v>0</v>
      </c>
      <c r="L18" s="177">
        <f>$H$3*'розрахунок балконів'!$N$2+I18*'розрахунок балконів'!$N$3+J18*'розрахунок балконів'!$N$4+K18*'розрахунок балконів'!$N$5</f>
        <v>1254</v>
      </c>
      <c r="M18" s="179">
        <f t="shared" si="2"/>
        <v>0</v>
      </c>
      <c r="N18" s="180">
        <f>IF(F18,L18*'розрахунок балконів'!$E$13,0)</f>
        <v>1602.8917382639204</v>
      </c>
      <c r="O18" s="180">
        <f>G18*'розрахунок квадрату стяжки'!$M$3</f>
        <v>2236.7002953674632</v>
      </c>
      <c r="P18" s="180">
        <f t="shared" si="3"/>
        <v>3839.5920336313839</v>
      </c>
      <c r="Q18" s="176">
        <f>1550+2428</f>
        <v>3978</v>
      </c>
      <c r="R18" s="180">
        <f t="shared" si="0"/>
        <v>138.40796636861614</v>
      </c>
    </row>
    <row r="19" spans="1:18">
      <c r="A19" s="114"/>
      <c r="B19" s="128"/>
      <c r="C19" s="46" t="s">
        <v>10</v>
      </c>
      <c r="D19" s="131">
        <v>37.36</v>
      </c>
      <c r="E19" s="29"/>
      <c r="F19" s="136">
        <v>1</v>
      </c>
      <c r="G19" s="77">
        <f t="shared" si="1"/>
        <v>37.36</v>
      </c>
      <c r="H19" s="57">
        <v>1</v>
      </c>
      <c r="I19" s="58">
        <v>0</v>
      </c>
      <c r="J19" s="58">
        <v>0</v>
      </c>
      <c r="K19" s="57">
        <v>0</v>
      </c>
      <c r="L19" s="57">
        <f>$H$3*'розрахунок балконів'!$N$2+I19*'розрахунок балконів'!$N$3+J19*'розрахунок балконів'!$N$4+K19*'розрахунок балконів'!$N$5</f>
        <v>1254</v>
      </c>
      <c r="M19" s="79">
        <f t="shared" si="2"/>
        <v>0</v>
      </c>
      <c r="N19" s="121">
        <f>IF(F19,L19*'розрахунок балконів'!$E$13,0)</f>
        <v>1602.8917382639204</v>
      </c>
      <c r="O19" s="121">
        <f>G19*'розрахунок квадрату стяжки'!$M$3</f>
        <v>1434.0676683529846</v>
      </c>
      <c r="P19" s="121">
        <f t="shared" si="3"/>
        <v>3036.9594066169047</v>
      </c>
      <c r="Q19" s="77"/>
      <c r="R19" s="121">
        <f t="shared" si="0"/>
        <v>-3036.9594066169047</v>
      </c>
    </row>
    <row r="20" spans="1:18">
      <c r="A20" s="114"/>
      <c r="B20" s="128"/>
      <c r="C20" s="172" t="s">
        <v>19</v>
      </c>
      <c r="D20" s="173">
        <v>36.57</v>
      </c>
      <c r="E20" s="174"/>
      <c r="F20" s="175">
        <v>1</v>
      </c>
      <c r="G20" s="176">
        <f t="shared" si="1"/>
        <v>36.57</v>
      </c>
      <c r="H20" s="200">
        <v>1</v>
      </c>
      <c r="I20" s="201">
        <v>0</v>
      </c>
      <c r="J20" s="201">
        <v>0</v>
      </c>
      <c r="K20" s="200">
        <v>0</v>
      </c>
      <c r="L20" s="177">
        <f>$H$3*'розрахунок балконів'!$N$2+I20*'розрахунок балконів'!$N$3+J20*'розрахунок балконів'!$N$4+K20*'розрахунок балконів'!$N$5</f>
        <v>1254</v>
      </c>
      <c r="M20" s="179">
        <f t="shared" si="2"/>
        <v>0</v>
      </c>
      <c r="N20" s="180">
        <f>IF(F20,L20*'розрахунок балконів'!$E$13,0)</f>
        <v>1602.8917382639204</v>
      </c>
      <c r="O20" s="180">
        <f>G20*'розрахунок квадрату стяжки'!$M$3</f>
        <v>1403.743432325178</v>
      </c>
      <c r="P20" s="180">
        <f t="shared" si="3"/>
        <v>3006.6351705890984</v>
      </c>
      <c r="Q20" s="176">
        <v>3114</v>
      </c>
      <c r="R20" s="180">
        <f t="shared" si="0"/>
        <v>107.36482941090162</v>
      </c>
    </row>
    <row r="21" spans="1:18">
      <c r="A21" s="114"/>
      <c r="B21" s="128"/>
      <c r="C21" s="59" t="s">
        <v>20</v>
      </c>
      <c r="D21" s="132">
        <v>65.040000000000006</v>
      </c>
      <c r="E21" s="89"/>
      <c r="F21" s="137">
        <v>0</v>
      </c>
      <c r="G21" s="90">
        <f t="shared" si="1"/>
        <v>0</v>
      </c>
      <c r="H21" s="61">
        <v>1</v>
      </c>
      <c r="I21" s="62">
        <v>0</v>
      </c>
      <c r="J21" s="62">
        <v>0</v>
      </c>
      <c r="K21" s="61">
        <v>1</v>
      </c>
      <c r="L21" s="61">
        <f>$H$3*'розрахунок балконів'!$N$2+I21*'розрахунок балконів'!$N$3+J21*'розрахунок балконів'!$N$4+K21*'розрахунок балконів'!$N$5</f>
        <v>2231.5</v>
      </c>
      <c r="M21" s="118">
        <f t="shared" si="2"/>
        <v>2231.5</v>
      </c>
      <c r="N21" s="122">
        <f>IF(F21,L21*'розрахунок балконів'!$E$13,0)</f>
        <v>0</v>
      </c>
      <c r="O21" s="122">
        <f>G21*'розрахунок квадрату стяжки'!$M$3</f>
        <v>0</v>
      </c>
      <c r="P21" s="122">
        <f t="shared" si="3"/>
        <v>0</v>
      </c>
      <c r="Q21" s="90"/>
      <c r="R21" s="122">
        <f t="shared" si="0"/>
        <v>0</v>
      </c>
    </row>
    <row r="22" spans="1:18">
      <c r="A22" s="114"/>
      <c r="B22" s="129"/>
      <c r="C22" s="46" t="s">
        <v>21</v>
      </c>
      <c r="D22" s="131">
        <v>79.11</v>
      </c>
      <c r="E22" s="29"/>
      <c r="F22" s="136">
        <v>1</v>
      </c>
      <c r="G22" s="77">
        <f t="shared" si="1"/>
        <v>79.11</v>
      </c>
      <c r="H22" s="57">
        <v>1</v>
      </c>
      <c r="I22" s="58">
        <v>0</v>
      </c>
      <c r="J22" s="58">
        <v>0</v>
      </c>
      <c r="K22" s="57">
        <v>0</v>
      </c>
      <c r="L22" s="57">
        <f>$H$3*'розрахунок балконів'!$N$2+I22*'розрахунок балконів'!$N$3+J22*'розрахунок балконів'!$N$4+K22*'розрахунок балконів'!$N$5</f>
        <v>1254</v>
      </c>
      <c r="M22" s="79">
        <f t="shared" si="2"/>
        <v>0</v>
      </c>
      <c r="N22" s="121">
        <f>IF(F22,L22*'розрахунок балконів'!$E$13,0)</f>
        <v>1602.8917382639204</v>
      </c>
      <c r="O22" s="121">
        <f>G22*'розрахунок квадрату стяжки'!$M$3</f>
        <v>3036.6459647592242</v>
      </c>
      <c r="P22" s="121">
        <f t="shared" si="3"/>
        <v>4639.5377030231448</v>
      </c>
      <c r="Q22" s="77"/>
      <c r="R22" s="121">
        <f t="shared" si="0"/>
        <v>-4639.5377030231448</v>
      </c>
    </row>
    <row r="23" spans="1:18">
      <c r="A23" s="114"/>
      <c r="B23" s="127">
        <v>6</v>
      </c>
      <c r="C23" s="172" t="s">
        <v>22</v>
      </c>
      <c r="D23" s="173">
        <v>64.510000000000005</v>
      </c>
      <c r="E23" s="216">
        <v>2.5</v>
      </c>
      <c r="F23" s="175">
        <v>1</v>
      </c>
      <c r="G23" s="176">
        <f t="shared" si="1"/>
        <v>67.010000000000005</v>
      </c>
      <c r="H23" s="177">
        <v>1</v>
      </c>
      <c r="I23" s="178">
        <v>1</v>
      </c>
      <c r="J23" s="178">
        <v>0</v>
      </c>
      <c r="K23" s="177">
        <v>0</v>
      </c>
      <c r="L23" s="177">
        <f>$H$3*'розрахунок балконів'!$N$2+I23*'розрахунок балконів'!$N$3+J23*'розрахунок балконів'!$N$4+K23*'розрахунок балконів'!$N$5</f>
        <v>2731.5</v>
      </c>
      <c r="M23" s="179">
        <f t="shared" si="2"/>
        <v>0</v>
      </c>
      <c r="N23" s="180">
        <f>IF(F23,L23*'розрахунок балконів'!$E$13,0)</f>
        <v>3491.4663341849268</v>
      </c>
      <c r="O23" s="180">
        <f>G23*'розрахунок квадрату стяжки'!$M$3</f>
        <v>2572.1861471181346</v>
      </c>
      <c r="P23" s="180">
        <f t="shared" si="3"/>
        <v>6063.652481303061</v>
      </c>
      <c r="Q23" s="176">
        <v>6451</v>
      </c>
      <c r="R23" s="180">
        <f t="shared" si="0"/>
        <v>387.34751869693901</v>
      </c>
    </row>
    <row r="24" spans="1:18">
      <c r="A24" s="114"/>
      <c r="B24" s="128"/>
      <c r="C24" s="46" t="s">
        <v>23</v>
      </c>
      <c r="D24" s="131">
        <v>37.36</v>
      </c>
      <c r="E24" s="29"/>
      <c r="F24" s="136">
        <v>1</v>
      </c>
      <c r="G24" s="77">
        <f t="shared" si="1"/>
        <v>37.36</v>
      </c>
      <c r="H24" s="57">
        <v>1</v>
      </c>
      <c r="I24" s="58">
        <v>0</v>
      </c>
      <c r="J24" s="58">
        <v>0</v>
      </c>
      <c r="K24" s="57">
        <v>0</v>
      </c>
      <c r="L24" s="57">
        <f>$H$3*'розрахунок балконів'!$N$2+I24*'розрахунок балконів'!$N$3+J24*'розрахунок балконів'!$N$4+K24*'розрахунок балконів'!$N$5</f>
        <v>1254</v>
      </c>
      <c r="M24" s="79">
        <f t="shared" si="2"/>
        <v>0</v>
      </c>
      <c r="N24" s="121">
        <f>IF(F24,L24*'розрахунок балконів'!$E$13,0)</f>
        <v>1602.8917382639204</v>
      </c>
      <c r="O24" s="121">
        <f>G24*'розрахунок квадрату стяжки'!$M$3</f>
        <v>1434.0676683529846</v>
      </c>
      <c r="P24" s="121">
        <f t="shared" si="3"/>
        <v>3036.9594066169047</v>
      </c>
      <c r="Q24" s="77"/>
      <c r="R24" s="121">
        <f t="shared" si="0"/>
        <v>-3036.9594066169047</v>
      </c>
    </row>
    <row r="25" spans="1:18">
      <c r="A25" s="114"/>
      <c r="B25" s="128"/>
      <c r="C25" s="172" t="s">
        <v>24</v>
      </c>
      <c r="D25" s="173">
        <v>36.57</v>
      </c>
      <c r="E25" s="174"/>
      <c r="F25" s="175">
        <v>1</v>
      </c>
      <c r="G25" s="176">
        <f t="shared" si="1"/>
        <v>36.57</v>
      </c>
      <c r="H25" s="200">
        <v>1</v>
      </c>
      <c r="I25" s="201">
        <v>0</v>
      </c>
      <c r="J25" s="201">
        <v>0</v>
      </c>
      <c r="K25" s="200">
        <v>0</v>
      </c>
      <c r="L25" s="177">
        <f>$H$3*'розрахунок балконів'!$N$2+I25*'розрахунок балконів'!$N$3+J25*'розрахунок балконів'!$N$4+K25*'розрахунок балконів'!$N$5</f>
        <v>1254</v>
      </c>
      <c r="M25" s="179">
        <f t="shared" si="2"/>
        <v>0</v>
      </c>
      <c r="N25" s="180">
        <f>IF(F25,L25*'розрахунок балконів'!$E$13,0)</f>
        <v>1602.8917382639204</v>
      </c>
      <c r="O25" s="180">
        <f>G25*'розрахунок квадрату стяжки'!$M$3</f>
        <v>1403.743432325178</v>
      </c>
      <c r="P25" s="180">
        <f t="shared" si="3"/>
        <v>3006.6351705890984</v>
      </c>
      <c r="Q25" s="176">
        <v>3112</v>
      </c>
      <c r="R25" s="180">
        <f t="shared" si="0"/>
        <v>105.36482941090162</v>
      </c>
    </row>
    <row r="26" spans="1:18">
      <c r="A26" s="114"/>
      <c r="B26" s="128"/>
      <c r="C26" s="46" t="s">
        <v>25</v>
      </c>
      <c r="D26" s="131">
        <v>65.040000000000006</v>
      </c>
      <c r="E26" s="29"/>
      <c r="F26" s="136">
        <v>1</v>
      </c>
      <c r="G26" s="77">
        <f t="shared" si="1"/>
        <v>65.040000000000006</v>
      </c>
      <c r="H26" s="57">
        <v>1</v>
      </c>
      <c r="I26" s="58">
        <v>0</v>
      </c>
      <c r="J26" s="58">
        <v>0</v>
      </c>
      <c r="K26" s="57">
        <v>1</v>
      </c>
      <c r="L26" s="57">
        <f>$H$3*'розрахунок балконів'!$N$2+I26*'розрахунок балконів'!$N$3+J26*'розрахунок балконів'!$N$4+K26*'розрахунок балконів'!$N$5</f>
        <v>2231.5</v>
      </c>
      <c r="M26" s="79">
        <f t="shared" si="2"/>
        <v>0</v>
      </c>
      <c r="N26" s="121">
        <f>IF(F26,L26*'розрахунок балконів'!$E$13,0)</f>
        <v>2852.3547958021836</v>
      </c>
      <c r="O26" s="121">
        <f>G26*'розрахунок квадрату стяжки'!$M$3</f>
        <v>2496.5674825930978</v>
      </c>
      <c r="P26" s="121">
        <f t="shared" si="3"/>
        <v>5348.922278395281</v>
      </c>
      <c r="Q26" s="77"/>
      <c r="R26" s="121">
        <f t="shared" si="0"/>
        <v>-5348.922278395281</v>
      </c>
    </row>
    <row r="27" spans="1:18">
      <c r="A27" s="114"/>
      <c r="B27" s="129"/>
      <c r="C27" s="46" t="s">
        <v>26</v>
      </c>
      <c r="D27" s="131">
        <v>79.11</v>
      </c>
      <c r="E27" s="91">
        <v>2.5</v>
      </c>
      <c r="F27" s="136">
        <v>1</v>
      </c>
      <c r="G27" s="77">
        <f t="shared" si="1"/>
        <v>81.61</v>
      </c>
      <c r="H27" s="57">
        <v>1</v>
      </c>
      <c r="I27" s="58">
        <v>0</v>
      </c>
      <c r="J27" s="58">
        <v>0</v>
      </c>
      <c r="K27" s="57">
        <v>0</v>
      </c>
      <c r="L27" s="57">
        <f>$H$3*'розрахунок балконів'!$N$2+I27*'розрахунок балконів'!$N$3+J27*'розрахунок балконів'!$N$4+K27*'розрахунок балконів'!$N$5</f>
        <v>1254</v>
      </c>
      <c r="M27" s="79">
        <f t="shared" si="2"/>
        <v>0</v>
      </c>
      <c r="N27" s="121">
        <f>IF(F27,L27*'розрахунок балконів'!$E$13,0)</f>
        <v>1602.8917382639204</v>
      </c>
      <c r="O27" s="121">
        <f>G27*'розрахунок квадрату стяжки'!$M$3</f>
        <v>3132.6087369991187</v>
      </c>
      <c r="P27" s="121">
        <f t="shared" si="3"/>
        <v>4735.5004752630393</v>
      </c>
      <c r="Q27" s="77"/>
      <c r="R27" s="121">
        <f t="shared" si="0"/>
        <v>-4735.5004752630393</v>
      </c>
    </row>
    <row r="28" spans="1:18">
      <c r="A28" s="114"/>
      <c r="B28" s="127">
        <v>7</v>
      </c>
      <c r="C28" s="46" t="s">
        <v>27</v>
      </c>
      <c r="D28" s="131">
        <v>64.510000000000005</v>
      </c>
      <c r="E28" s="29"/>
      <c r="F28" s="136">
        <v>1</v>
      </c>
      <c r="G28" s="77">
        <f t="shared" si="1"/>
        <v>64.510000000000005</v>
      </c>
      <c r="H28" s="57">
        <v>1</v>
      </c>
      <c r="I28" s="58">
        <v>1</v>
      </c>
      <c r="J28" s="58">
        <v>0</v>
      </c>
      <c r="K28" s="57">
        <v>0</v>
      </c>
      <c r="L28" s="57">
        <f>$H$3*'розрахунок балконів'!$N$2+I28*'розрахунок балконів'!$N$3+J28*'розрахунок балконів'!$N$4+K28*'розрахунок балконів'!$N$5</f>
        <v>2731.5</v>
      </c>
      <c r="M28" s="79">
        <f t="shared" si="2"/>
        <v>0</v>
      </c>
      <c r="N28" s="121">
        <f>IF(F28,L28*'розрахунок балконів'!$E$13,0)</f>
        <v>3491.4663341849268</v>
      </c>
      <c r="O28" s="121">
        <f>G28*'розрахунок квадрату стяжки'!$M$3</f>
        <v>2476.2233748782401</v>
      </c>
      <c r="P28" s="121">
        <f t="shared" si="3"/>
        <v>5967.6897090631664</v>
      </c>
      <c r="Q28" s="77"/>
      <c r="R28" s="121">
        <f t="shared" si="0"/>
        <v>-5967.6897090631664</v>
      </c>
    </row>
    <row r="29" spans="1:18">
      <c r="A29" s="114"/>
      <c r="B29" s="128"/>
      <c r="C29" s="172" t="s">
        <v>28</v>
      </c>
      <c r="D29" s="173">
        <v>37.36</v>
      </c>
      <c r="E29" s="174"/>
      <c r="F29" s="175">
        <v>1</v>
      </c>
      <c r="G29" s="176">
        <f t="shared" si="1"/>
        <v>37.36</v>
      </c>
      <c r="H29" s="177">
        <v>1</v>
      </c>
      <c r="I29" s="178">
        <v>0</v>
      </c>
      <c r="J29" s="178">
        <v>0</v>
      </c>
      <c r="K29" s="177">
        <v>0</v>
      </c>
      <c r="L29" s="177">
        <f>$H$3*'розрахунок балконів'!$N$2+I29*'розрахунок балконів'!$N$3+J29*'розрахунок балконів'!$N$4+K29*'розрахунок балконів'!$N$5</f>
        <v>1254</v>
      </c>
      <c r="M29" s="179">
        <f t="shared" si="2"/>
        <v>0</v>
      </c>
      <c r="N29" s="180">
        <f>IF(F29,L29*'розрахунок балконів'!$E$13,0)</f>
        <v>1602.8917382639204</v>
      </c>
      <c r="O29" s="180">
        <f>G29*'розрахунок квадрату стяжки'!$M$3</f>
        <v>1434.0676683529846</v>
      </c>
      <c r="P29" s="180">
        <f t="shared" si="3"/>
        <v>3036.9594066169047</v>
      </c>
      <c r="Q29" s="176">
        <v>3055</v>
      </c>
      <c r="R29" s="180">
        <f t="shared" si="0"/>
        <v>18.040593383095256</v>
      </c>
    </row>
    <row r="30" spans="1:18">
      <c r="A30" s="114"/>
      <c r="B30" s="128"/>
      <c r="C30" s="46" t="s">
        <v>29</v>
      </c>
      <c r="D30" s="131">
        <v>36.57</v>
      </c>
      <c r="E30" s="29"/>
      <c r="F30" s="136">
        <v>1</v>
      </c>
      <c r="G30" s="77">
        <f t="shared" si="1"/>
        <v>36.57</v>
      </c>
      <c r="H30" s="66">
        <v>1</v>
      </c>
      <c r="I30" s="67">
        <v>0</v>
      </c>
      <c r="J30" s="67">
        <v>0</v>
      </c>
      <c r="K30" s="66">
        <v>0</v>
      </c>
      <c r="L30" s="57">
        <f>$H$3*'розрахунок балконів'!$N$2+I30*'розрахунок балконів'!$N$3+J30*'розрахунок балконів'!$N$4+K30*'розрахунок балконів'!$N$5</f>
        <v>1254</v>
      </c>
      <c r="M30" s="79">
        <f t="shared" si="2"/>
        <v>0</v>
      </c>
      <c r="N30" s="121">
        <f>IF(F30,L30*'розрахунок балконів'!$E$13,0)</f>
        <v>1602.8917382639204</v>
      </c>
      <c r="O30" s="121">
        <f>G30*'розрахунок квадрату стяжки'!$M$3</f>
        <v>1403.743432325178</v>
      </c>
      <c r="P30" s="121">
        <f t="shared" si="3"/>
        <v>3006.6351705890984</v>
      </c>
      <c r="Q30" s="77"/>
      <c r="R30" s="121">
        <f t="shared" si="0"/>
        <v>-3006.6351705890984</v>
      </c>
    </row>
    <row r="31" spans="1:18">
      <c r="A31" s="114"/>
      <c r="B31" s="128"/>
      <c r="C31" s="46" t="s">
        <v>30</v>
      </c>
      <c r="D31" s="131">
        <v>65.040000000000006</v>
      </c>
      <c r="E31" s="29"/>
      <c r="F31" s="136">
        <v>1</v>
      </c>
      <c r="G31" s="77">
        <f t="shared" si="1"/>
        <v>65.040000000000006</v>
      </c>
      <c r="H31" s="57">
        <v>1</v>
      </c>
      <c r="I31" s="58">
        <v>0</v>
      </c>
      <c r="J31" s="58">
        <v>0</v>
      </c>
      <c r="K31" s="57">
        <v>1</v>
      </c>
      <c r="L31" s="57">
        <f>$H$3*'розрахунок балконів'!$N$2+I31*'розрахунок балконів'!$N$3+J31*'розрахунок балконів'!$N$4+K31*'розрахунок балконів'!$N$5</f>
        <v>2231.5</v>
      </c>
      <c r="M31" s="79">
        <f t="shared" si="2"/>
        <v>0</v>
      </c>
      <c r="N31" s="121">
        <f>IF(F31,L31*'розрахунок балконів'!$E$13,0)</f>
        <v>2852.3547958021836</v>
      </c>
      <c r="O31" s="121">
        <f>G31*'розрахунок квадрату стяжки'!$M$3</f>
        <v>2496.5674825930978</v>
      </c>
      <c r="P31" s="121">
        <f t="shared" si="3"/>
        <v>5348.922278395281</v>
      </c>
      <c r="Q31" s="77"/>
      <c r="R31" s="121">
        <f t="shared" si="0"/>
        <v>-5348.922278395281</v>
      </c>
    </row>
    <row r="32" spans="1:18" ht="30">
      <c r="A32" s="114"/>
      <c r="B32" s="129"/>
      <c r="C32" s="172" t="s">
        <v>31</v>
      </c>
      <c r="D32" s="173">
        <v>79.11</v>
      </c>
      <c r="E32" s="216">
        <v>2.5</v>
      </c>
      <c r="F32" s="175">
        <v>1</v>
      </c>
      <c r="G32" s="176">
        <f t="shared" si="1"/>
        <v>81.61</v>
      </c>
      <c r="H32" s="177">
        <v>1</v>
      </c>
      <c r="I32" s="178">
        <v>0</v>
      </c>
      <c r="J32" s="178">
        <v>0</v>
      </c>
      <c r="K32" s="177">
        <v>0</v>
      </c>
      <c r="L32" s="177">
        <f>$H$3*'розрахунок балконів'!$N$2+I32*'розрахунок балконів'!$N$3+J32*'розрахунок балконів'!$N$4+K32*'розрахунок балконів'!$N$5</f>
        <v>1254</v>
      </c>
      <c r="M32" s="179">
        <f t="shared" si="2"/>
        <v>0</v>
      </c>
      <c r="N32" s="180">
        <f>IF(F32,L32*'розрахунок балконів'!$E$13,0)</f>
        <v>1602.8917382639204</v>
      </c>
      <c r="O32" s="180">
        <f>G32*'розрахунок квадрату стяжки'!$M$3</f>
        <v>3132.6087369991187</v>
      </c>
      <c r="P32" s="180">
        <f t="shared" si="3"/>
        <v>4735.5004752630393</v>
      </c>
      <c r="Q32" s="176">
        <v>4900</v>
      </c>
      <c r="R32" s="180">
        <f t="shared" si="0"/>
        <v>164.49952473696067</v>
      </c>
    </row>
    <row r="33" spans="1:19">
      <c r="A33" s="114"/>
      <c r="B33" s="127">
        <v>8</v>
      </c>
      <c r="C33" s="46" t="s">
        <v>32</v>
      </c>
      <c r="D33" s="131">
        <v>64.510000000000005</v>
      </c>
      <c r="E33" s="29"/>
      <c r="F33" s="168">
        <v>1</v>
      </c>
      <c r="G33" s="88">
        <f t="shared" si="1"/>
        <v>64.510000000000005</v>
      </c>
      <c r="H33" s="57">
        <v>1</v>
      </c>
      <c r="I33" s="58">
        <v>1</v>
      </c>
      <c r="J33" s="58">
        <v>0</v>
      </c>
      <c r="K33" s="57">
        <v>0</v>
      </c>
      <c r="L33" s="57">
        <f>$H$3*'розрахунок балконів'!$N$2+I33*'розрахунок балконів'!$N$3+J33*'розрахунок балконів'!$N$4+K33*'розрахунок балконів'!$N$5</f>
        <v>2731.5</v>
      </c>
      <c r="M33" s="169">
        <f t="shared" si="2"/>
        <v>0</v>
      </c>
      <c r="N33" s="170">
        <f>IF(F33,L33*'розрахунок балконів'!$E$13,0)</f>
        <v>3491.4663341849268</v>
      </c>
      <c r="O33" s="170">
        <f>G33*'розрахунок квадрату стяжки'!$M$3</f>
        <v>2476.2233748782401</v>
      </c>
      <c r="P33" s="170">
        <f t="shared" si="3"/>
        <v>5967.6897090631664</v>
      </c>
      <c r="Q33" s="77"/>
      <c r="R33" s="121">
        <f t="shared" si="0"/>
        <v>-5967.6897090631664</v>
      </c>
    </row>
    <row r="34" spans="1:19">
      <c r="A34" s="114"/>
      <c r="B34" s="128"/>
      <c r="C34" s="172" t="s">
        <v>33</v>
      </c>
      <c r="D34" s="173">
        <v>37.36</v>
      </c>
      <c r="E34" s="174"/>
      <c r="F34" s="175">
        <v>1</v>
      </c>
      <c r="G34" s="176">
        <f t="shared" si="1"/>
        <v>37.36</v>
      </c>
      <c r="H34" s="177">
        <v>1</v>
      </c>
      <c r="I34" s="178">
        <v>0</v>
      </c>
      <c r="J34" s="178">
        <v>0</v>
      </c>
      <c r="K34" s="177">
        <v>0</v>
      </c>
      <c r="L34" s="177">
        <f>$H$3*'розрахунок балконів'!$N$2+I34*'розрахунок балконів'!$N$3+J34*'розрахунок балконів'!$N$4+K34*'розрахунок балконів'!$N$5</f>
        <v>1254</v>
      </c>
      <c r="M34" s="179">
        <f t="shared" si="2"/>
        <v>0</v>
      </c>
      <c r="N34" s="180">
        <f>IF(F34,L34*'розрахунок балконів'!$E$13,0)</f>
        <v>1602.8917382639204</v>
      </c>
      <c r="O34" s="180">
        <f>G34*'розрахунок квадрату стяжки'!$M$3</f>
        <v>1434.0676683529846</v>
      </c>
      <c r="P34" s="180">
        <f t="shared" si="3"/>
        <v>3036.9594066169047</v>
      </c>
      <c r="Q34" s="176">
        <v>3150</v>
      </c>
      <c r="R34" s="180">
        <f t="shared" si="0"/>
        <v>113.04059338309526</v>
      </c>
    </row>
    <row r="35" spans="1:19">
      <c r="A35" s="114"/>
      <c r="B35" s="128"/>
      <c r="C35" s="59" t="s">
        <v>15</v>
      </c>
      <c r="D35" s="132">
        <v>36.57</v>
      </c>
      <c r="E35" s="89"/>
      <c r="F35" s="137">
        <v>0</v>
      </c>
      <c r="G35" s="90">
        <f t="shared" si="1"/>
        <v>0</v>
      </c>
      <c r="H35" s="64">
        <v>1</v>
      </c>
      <c r="I35" s="65">
        <v>0</v>
      </c>
      <c r="J35" s="65">
        <v>0</v>
      </c>
      <c r="K35" s="64">
        <v>0</v>
      </c>
      <c r="L35" s="61">
        <f>$H$3*'розрахунок балконів'!$N$2+I35*'розрахунок балконів'!$N$3+J35*'розрахунок балконів'!$N$4+K35*'розрахунок балконів'!$N$5</f>
        <v>1254</v>
      </c>
      <c r="M35" s="118">
        <f t="shared" si="2"/>
        <v>1254</v>
      </c>
      <c r="N35" s="122">
        <f>IF(F35,L35*'розрахунок балконів'!$E$13,0)</f>
        <v>0</v>
      </c>
      <c r="O35" s="122">
        <f>G35*'розрахунок квадрату стяжки'!$M$3</f>
        <v>0</v>
      </c>
      <c r="P35" s="122">
        <f t="shared" si="3"/>
        <v>0</v>
      </c>
      <c r="Q35" s="90"/>
      <c r="R35" s="122">
        <f t="shared" si="0"/>
        <v>0</v>
      </c>
    </row>
    <row r="36" spans="1:19">
      <c r="A36" s="114"/>
      <c r="B36" s="128"/>
      <c r="C36" s="172" t="s">
        <v>34</v>
      </c>
      <c r="D36" s="173">
        <v>65.040000000000006</v>
      </c>
      <c r="E36" s="174"/>
      <c r="F36" s="175">
        <v>1</v>
      </c>
      <c r="G36" s="176">
        <f t="shared" si="1"/>
        <v>65.040000000000006</v>
      </c>
      <c r="H36" s="177">
        <v>1</v>
      </c>
      <c r="I36" s="178">
        <v>0</v>
      </c>
      <c r="J36" s="178">
        <v>0</v>
      </c>
      <c r="K36" s="177">
        <v>1</v>
      </c>
      <c r="L36" s="177">
        <f>$H$3*'розрахунок балконів'!$N$2+I36*'розрахунок балконів'!$N$3+J36*'розрахунок балконів'!$N$4+K36*'розрахунок балконів'!$N$5</f>
        <v>2231.5</v>
      </c>
      <c r="M36" s="179">
        <f t="shared" si="2"/>
        <v>0</v>
      </c>
      <c r="N36" s="180">
        <f>IF(F36,L36*'розрахунок балконів'!$E$13,0)</f>
        <v>2852.3547958021836</v>
      </c>
      <c r="O36" s="180">
        <f>G36*'розрахунок квадрату стяжки'!$M$3</f>
        <v>2496.5674825930978</v>
      </c>
      <c r="P36" s="180">
        <f t="shared" si="3"/>
        <v>5348.922278395281</v>
      </c>
      <c r="Q36" s="176">
        <v>5550</v>
      </c>
      <c r="R36" s="180">
        <f t="shared" si="0"/>
        <v>201.07772160471904</v>
      </c>
    </row>
    <row r="37" spans="1:19">
      <c r="A37" s="114"/>
      <c r="B37" s="129"/>
      <c r="C37" s="172" t="s">
        <v>35</v>
      </c>
      <c r="D37" s="173">
        <v>79.11</v>
      </c>
      <c r="E37" s="174"/>
      <c r="F37" s="175">
        <v>1</v>
      </c>
      <c r="G37" s="176">
        <f t="shared" si="1"/>
        <v>79.11</v>
      </c>
      <c r="H37" s="177">
        <v>1</v>
      </c>
      <c r="I37" s="178">
        <v>0</v>
      </c>
      <c r="J37" s="178">
        <v>0</v>
      </c>
      <c r="K37" s="177">
        <v>0</v>
      </c>
      <c r="L37" s="177">
        <f>$H$3*'розрахунок балконів'!$N$2+I37*'розрахунок балконів'!$N$3+J37*'розрахунок балконів'!$N$4+K37*'розрахунок балконів'!$N$5</f>
        <v>1254</v>
      </c>
      <c r="M37" s="179">
        <f t="shared" si="2"/>
        <v>0</v>
      </c>
      <c r="N37" s="180">
        <f>IF(F37,L37*'розрахунок балконів'!$E$13,0)</f>
        <v>1602.8917382639204</v>
      </c>
      <c r="O37" s="180">
        <f>G37*'розрахунок квадрату стяжки'!$M$3</f>
        <v>3036.6459647592242</v>
      </c>
      <c r="P37" s="180">
        <f t="shared" si="3"/>
        <v>4639.5377030231448</v>
      </c>
      <c r="Q37" s="176">
        <v>4811</v>
      </c>
      <c r="R37" s="180">
        <f t="shared" si="0"/>
        <v>171.46229697685521</v>
      </c>
    </row>
    <row r="38" spans="1:19" ht="30">
      <c r="A38" s="114"/>
      <c r="B38" s="127">
        <v>9</v>
      </c>
      <c r="C38" s="46" t="s">
        <v>36</v>
      </c>
      <c r="D38" s="131">
        <v>64.510000000000005</v>
      </c>
      <c r="E38" s="29"/>
      <c r="F38" s="136">
        <v>1</v>
      </c>
      <c r="G38" s="77">
        <f t="shared" si="1"/>
        <v>64.510000000000005</v>
      </c>
      <c r="H38" s="57">
        <v>1</v>
      </c>
      <c r="I38" s="58">
        <v>1</v>
      </c>
      <c r="J38" s="58">
        <v>0</v>
      </c>
      <c r="K38" s="57">
        <v>0</v>
      </c>
      <c r="L38" s="57">
        <f>$H$3*'розрахунок балконів'!$N$2+I38*'розрахунок балконів'!$N$3+J38*'розрахунок балконів'!$N$4+K38*'розрахунок балконів'!$N$5</f>
        <v>2731.5</v>
      </c>
      <c r="M38" s="79">
        <f t="shared" si="2"/>
        <v>0</v>
      </c>
      <c r="N38" s="121">
        <f>IF(F38,L38*'розрахунок балконів'!$E$13,0)</f>
        <v>3491.4663341849268</v>
      </c>
      <c r="O38" s="121">
        <f>G38*'розрахунок квадрату стяжки'!$M$3</f>
        <v>2476.2233748782401</v>
      </c>
      <c r="P38" s="121">
        <f t="shared" si="3"/>
        <v>5967.6897090631664</v>
      </c>
      <c r="Q38" s="77"/>
      <c r="R38" s="121">
        <f t="shared" si="0"/>
        <v>-5967.6897090631664</v>
      </c>
    </row>
    <row r="39" spans="1:19">
      <c r="A39" s="114"/>
      <c r="B39" s="128"/>
      <c r="C39" s="46" t="s">
        <v>37</v>
      </c>
      <c r="D39" s="131">
        <v>37.36</v>
      </c>
      <c r="E39" s="29"/>
      <c r="F39" s="136">
        <v>1</v>
      </c>
      <c r="G39" s="77">
        <f t="shared" si="1"/>
        <v>37.36</v>
      </c>
      <c r="H39" s="57">
        <v>1</v>
      </c>
      <c r="I39" s="58">
        <v>0</v>
      </c>
      <c r="J39" s="58">
        <v>0</v>
      </c>
      <c r="K39" s="57">
        <v>0</v>
      </c>
      <c r="L39" s="57">
        <f>$H$3*'розрахунок балконів'!$N$2+I39*'розрахунок балконів'!$N$3+J39*'розрахунок балконів'!$N$4+K39*'розрахунок балконів'!$N$5</f>
        <v>1254</v>
      </c>
      <c r="M39" s="79">
        <f t="shared" si="2"/>
        <v>0</v>
      </c>
      <c r="N39" s="121">
        <f>IF(F39,L39*'розрахунок балконів'!$E$13,0)</f>
        <v>1602.8917382639204</v>
      </c>
      <c r="O39" s="121">
        <f>G39*'розрахунок квадрату стяжки'!$M$3</f>
        <v>1434.0676683529846</v>
      </c>
      <c r="P39" s="121">
        <f t="shared" si="3"/>
        <v>3036.9594066169047</v>
      </c>
      <c r="Q39" s="77"/>
      <c r="R39" s="121">
        <f t="shared" si="0"/>
        <v>-3036.9594066169047</v>
      </c>
    </row>
    <row r="40" spans="1:19">
      <c r="A40" s="114"/>
      <c r="B40" s="128"/>
      <c r="C40" s="46" t="s">
        <v>38</v>
      </c>
      <c r="D40" s="131">
        <v>36.57</v>
      </c>
      <c r="E40" s="29"/>
      <c r="F40" s="136">
        <v>1</v>
      </c>
      <c r="G40" s="77">
        <f t="shared" si="1"/>
        <v>36.57</v>
      </c>
      <c r="H40" s="66">
        <v>1</v>
      </c>
      <c r="I40" s="67">
        <v>0</v>
      </c>
      <c r="J40" s="67">
        <v>0</v>
      </c>
      <c r="K40" s="66">
        <v>0</v>
      </c>
      <c r="L40" s="57">
        <f>$H$3*'розрахунок балконів'!$N$2+I40*'розрахунок балконів'!$N$3+J40*'розрахунок балконів'!$N$4+K40*'розрахунок балконів'!$N$5</f>
        <v>1254</v>
      </c>
      <c r="M40" s="79">
        <f t="shared" si="2"/>
        <v>0</v>
      </c>
      <c r="N40" s="121">
        <f>IF(F40,L40*'розрахунок балконів'!$E$13,0)</f>
        <v>1602.8917382639204</v>
      </c>
      <c r="O40" s="121">
        <f>G40*'розрахунок квадрату стяжки'!$M$3</f>
        <v>1403.743432325178</v>
      </c>
      <c r="P40" s="121">
        <f t="shared" si="3"/>
        <v>3006.6351705890984</v>
      </c>
      <c r="Q40" s="77"/>
      <c r="R40" s="121">
        <f t="shared" si="0"/>
        <v>-3006.6351705890984</v>
      </c>
    </row>
    <row r="41" spans="1:19">
      <c r="A41" s="114"/>
      <c r="B41" s="128"/>
      <c r="C41" s="28" t="s">
        <v>39</v>
      </c>
      <c r="D41" s="131">
        <v>65.040000000000006</v>
      </c>
      <c r="E41" s="91">
        <v>2.5</v>
      </c>
      <c r="F41" s="136">
        <v>1</v>
      </c>
      <c r="G41" s="77">
        <f t="shared" si="1"/>
        <v>67.540000000000006</v>
      </c>
      <c r="H41" s="57">
        <v>1</v>
      </c>
      <c r="I41" s="58">
        <v>0</v>
      </c>
      <c r="J41" s="58">
        <v>0</v>
      </c>
      <c r="K41" s="57">
        <v>1</v>
      </c>
      <c r="L41" s="57">
        <f>$H$3*'розрахунок балконів'!$N$2+I41*'розрахунок балконів'!$N$3+J41*'розрахунок балконів'!$N$4+K41*'розрахунок балконів'!$N$5</f>
        <v>2231.5</v>
      </c>
      <c r="M41" s="79">
        <f t="shared" si="2"/>
        <v>0</v>
      </c>
      <c r="N41" s="121">
        <f>IF(F41,L41*'розрахунок балконів'!$E$13,0)</f>
        <v>2852.3547958021836</v>
      </c>
      <c r="O41" s="121">
        <f>G41*'розрахунок квадрату стяжки'!$M$3</f>
        <v>2592.5302548329923</v>
      </c>
      <c r="P41" s="121">
        <f t="shared" si="3"/>
        <v>5444.8850506351755</v>
      </c>
      <c r="Q41" s="77"/>
      <c r="R41" s="121">
        <f t="shared" si="0"/>
        <v>-5444.8850506351755</v>
      </c>
    </row>
    <row r="42" spans="1:19">
      <c r="A42" s="114"/>
      <c r="B42" s="129"/>
      <c r="C42" s="46" t="s">
        <v>40</v>
      </c>
      <c r="D42" s="131">
        <v>79.11</v>
      </c>
      <c r="E42" s="91">
        <v>2.5</v>
      </c>
      <c r="F42" s="136">
        <v>1</v>
      </c>
      <c r="G42" s="77">
        <f t="shared" si="1"/>
        <v>81.61</v>
      </c>
      <c r="H42" s="57">
        <v>1</v>
      </c>
      <c r="I42" s="58">
        <v>0</v>
      </c>
      <c r="J42" s="58">
        <v>0</v>
      </c>
      <c r="K42" s="57">
        <v>0</v>
      </c>
      <c r="L42" s="57">
        <f>$H$3*'розрахунок балконів'!$N$2+I42*'розрахунок балконів'!$N$3+J42*'розрахунок балконів'!$N$4+K42*'розрахунок балконів'!$N$5</f>
        <v>1254</v>
      </c>
      <c r="M42" s="79">
        <f t="shared" si="2"/>
        <v>0</v>
      </c>
      <c r="N42" s="121">
        <f>IF(F42,L42*'розрахунок балконів'!$E$13,0)</f>
        <v>1602.8917382639204</v>
      </c>
      <c r="O42" s="121">
        <f>G42*'розрахунок квадрату стяжки'!$M$3</f>
        <v>3132.6087369991187</v>
      </c>
      <c r="P42" s="121">
        <f t="shared" si="3"/>
        <v>4735.5004752630393</v>
      </c>
      <c r="Q42" s="77"/>
      <c r="R42" s="121">
        <f t="shared" si="0"/>
        <v>-4735.5004752630393</v>
      </c>
    </row>
    <row r="43" spans="1:19">
      <c r="A43" s="114"/>
      <c r="B43" s="127">
        <v>10</v>
      </c>
      <c r="C43" s="46" t="s">
        <v>41</v>
      </c>
      <c r="D43" s="131">
        <v>64.510000000000005</v>
      </c>
      <c r="E43" s="29"/>
      <c r="F43" s="136">
        <v>1</v>
      </c>
      <c r="G43" s="77">
        <f t="shared" si="1"/>
        <v>64.510000000000005</v>
      </c>
      <c r="H43" s="57">
        <v>1</v>
      </c>
      <c r="I43" s="58">
        <v>1</v>
      </c>
      <c r="J43" s="58">
        <v>0</v>
      </c>
      <c r="K43" s="57">
        <v>0</v>
      </c>
      <c r="L43" s="57">
        <f>($H$3*'розрахунок балконів'!$N$2+I43*'розрахунок балконів'!$N$3+J43*'розрахунок балконів'!$N$4+K43*'розрахунок балконів'!$N$5)</f>
        <v>2731.5</v>
      </c>
      <c r="M43" s="79">
        <f t="shared" si="2"/>
        <v>0</v>
      </c>
      <c r="N43" s="121">
        <f>IF(F43,L43*'розрахунок балконів'!$E$13,0)</f>
        <v>3491.4663341849268</v>
      </c>
      <c r="O43" s="121">
        <f>G43*'розрахунок квадрату стяжки'!$M$3</f>
        <v>2476.2233748782401</v>
      </c>
      <c r="P43" s="121">
        <f>(N43+O43)*0.7</f>
        <v>4177.3827963442163</v>
      </c>
      <c r="Q43" s="77"/>
      <c r="R43" s="121">
        <f t="shared" si="0"/>
        <v>-4177.3827963442163</v>
      </c>
      <c r="S43" s="18">
        <v>0.7</v>
      </c>
    </row>
    <row r="44" spans="1:19">
      <c r="A44" s="114"/>
      <c r="B44" s="128"/>
      <c r="C44" s="46" t="s">
        <v>41</v>
      </c>
      <c r="D44" s="131">
        <v>37.36</v>
      </c>
      <c r="E44" s="29"/>
      <c r="F44" s="136">
        <v>1</v>
      </c>
      <c r="G44" s="77">
        <f t="shared" si="1"/>
        <v>37.36</v>
      </c>
      <c r="H44" s="57">
        <v>1</v>
      </c>
      <c r="I44" s="58">
        <v>0</v>
      </c>
      <c r="J44" s="58">
        <v>0</v>
      </c>
      <c r="K44" s="57">
        <v>0</v>
      </c>
      <c r="L44" s="57">
        <f>($H$3*'розрахунок балконів'!$N$2+I44*'розрахунок балконів'!$N$3+J44*'розрахунок балконів'!$N$4+K44*'розрахунок балконів'!$N$5)</f>
        <v>1254</v>
      </c>
      <c r="M44" s="79">
        <f t="shared" si="2"/>
        <v>0</v>
      </c>
      <c r="N44" s="121">
        <f>IF(F44,L44*'розрахунок балконів'!$E$13,0)</f>
        <v>1602.8917382639204</v>
      </c>
      <c r="O44" s="121">
        <f>G44*'розрахунок квадрату стяжки'!$M$3</f>
        <v>1434.0676683529846</v>
      </c>
      <c r="P44" s="121">
        <f t="shared" ref="P44:P47" si="4">(N44+O44)*0.7</f>
        <v>2125.8715846318332</v>
      </c>
      <c r="Q44" s="77"/>
      <c r="R44" s="121">
        <f t="shared" si="0"/>
        <v>-2125.8715846318332</v>
      </c>
      <c r="S44" s="18">
        <v>0.7</v>
      </c>
    </row>
    <row r="45" spans="1:19">
      <c r="A45" s="114"/>
      <c r="B45" s="128"/>
      <c r="C45" s="225" t="s">
        <v>42</v>
      </c>
      <c r="D45" s="195">
        <v>36.57</v>
      </c>
      <c r="E45" s="105"/>
      <c r="F45" s="196">
        <v>1</v>
      </c>
      <c r="G45" s="102">
        <f t="shared" si="1"/>
        <v>36.57</v>
      </c>
      <c r="H45" s="226">
        <v>1</v>
      </c>
      <c r="I45" s="227">
        <v>0</v>
      </c>
      <c r="J45" s="227">
        <v>0</v>
      </c>
      <c r="K45" s="226">
        <v>0</v>
      </c>
      <c r="L45" s="197">
        <f>($H$3*'розрахунок балконів'!$N$2+I45*'розрахунок балконів'!$N$3+J45*'розрахунок балконів'!$N$4+K45*'розрахунок балконів'!$N$5)</f>
        <v>1254</v>
      </c>
      <c r="M45" s="199">
        <f t="shared" si="2"/>
        <v>0</v>
      </c>
      <c r="N45" s="186">
        <f>IF(F45,L45*'розрахунок балконів'!$E$13,0)</f>
        <v>1602.8917382639204</v>
      </c>
      <c r="O45" s="186">
        <f>G45*'розрахунок квадрату стяжки'!$M$3</f>
        <v>1403.743432325178</v>
      </c>
      <c r="P45" s="186">
        <f t="shared" si="4"/>
        <v>2104.6446194123687</v>
      </c>
      <c r="Q45" s="102">
        <v>1550</v>
      </c>
      <c r="R45" s="186">
        <f t="shared" si="0"/>
        <v>-554.64461941236868</v>
      </c>
      <c r="S45" s="18">
        <v>0.7</v>
      </c>
    </row>
    <row r="46" spans="1:19" ht="20.25" customHeight="1">
      <c r="A46" s="114"/>
      <c r="B46" s="128"/>
      <c r="C46" s="228"/>
      <c r="D46" s="195">
        <v>65.040000000000006</v>
      </c>
      <c r="E46" s="105"/>
      <c r="F46" s="196">
        <v>1</v>
      </c>
      <c r="G46" s="102">
        <f t="shared" si="1"/>
        <v>65.040000000000006</v>
      </c>
      <c r="H46" s="197">
        <v>1</v>
      </c>
      <c r="I46" s="198">
        <v>0</v>
      </c>
      <c r="J46" s="198">
        <v>0</v>
      </c>
      <c r="K46" s="197">
        <v>1</v>
      </c>
      <c r="L46" s="197">
        <f>($H$3*'розрахунок балконів'!$N$2+I46*'розрахунок балконів'!$N$3+J46*'розрахунок балконів'!$N$4+K46*'розрахунок балконів'!$N$5)</f>
        <v>2231.5</v>
      </c>
      <c r="M46" s="199">
        <f t="shared" si="2"/>
        <v>0</v>
      </c>
      <c r="N46" s="186">
        <f>IF(F46,L46*'розрахунок балконів'!$E$13,0)</f>
        <v>2852.3547958021836</v>
      </c>
      <c r="O46" s="186">
        <f>G46*'розрахунок квадрату стяжки'!$M$3</f>
        <v>2496.5674825930978</v>
      </c>
      <c r="P46" s="186">
        <f t="shared" si="4"/>
        <v>3744.2455948766965</v>
      </c>
      <c r="Q46" s="102">
        <v>3267</v>
      </c>
      <c r="R46" s="186">
        <f t="shared" si="0"/>
        <v>-477.24559487669649</v>
      </c>
      <c r="S46" s="18">
        <v>0.7</v>
      </c>
    </row>
    <row r="47" spans="1:19" ht="18.75" customHeight="1">
      <c r="A47" s="115"/>
      <c r="B47" s="129"/>
      <c r="C47" s="46" t="s">
        <v>43</v>
      </c>
      <c r="D47" s="131">
        <v>79.11</v>
      </c>
      <c r="E47" s="29"/>
      <c r="F47" s="136">
        <v>1</v>
      </c>
      <c r="G47" s="77">
        <f t="shared" si="1"/>
        <v>79.11</v>
      </c>
      <c r="H47" s="57">
        <v>1</v>
      </c>
      <c r="I47" s="58">
        <v>0</v>
      </c>
      <c r="J47" s="58">
        <v>0</v>
      </c>
      <c r="K47" s="57">
        <v>0</v>
      </c>
      <c r="L47" s="57">
        <f>($H$3*'розрахунок балконів'!$N$2+I47*'розрахунок балконів'!$N$3+J47*'розрахунок балконів'!$N$4+K47*'розрахунок балконів'!$N$5)</f>
        <v>1254</v>
      </c>
      <c r="M47" s="79">
        <f t="shared" si="2"/>
        <v>0</v>
      </c>
      <c r="N47" s="121">
        <f>IF(F47,L47*'розрахунок балконів'!$E$13,0)</f>
        <v>1602.8917382639204</v>
      </c>
      <c r="O47" s="121">
        <f>G47*'розрахунок квадрату стяжки'!$M$3</f>
        <v>3036.6459647592242</v>
      </c>
      <c r="P47" s="121">
        <f t="shared" si="4"/>
        <v>3247.676392116201</v>
      </c>
      <c r="Q47" s="77"/>
      <c r="R47" s="121">
        <f t="shared" si="0"/>
        <v>-3247.676392116201</v>
      </c>
      <c r="S47" s="18">
        <v>0.7</v>
      </c>
    </row>
    <row r="48" spans="1:19" ht="24.75" customHeight="1">
      <c r="B48" s="53"/>
      <c r="C48" s="53"/>
      <c r="D48" s="39"/>
      <c r="E48" s="39">
        <f>SUM(D3:D47)</f>
        <v>2518.35</v>
      </c>
      <c r="G48" s="116">
        <f t="shared" ref="G48:L48" si="5">SUM(G3:G47)</f>
        <v>2247.1299999999997</v>
      </c>
      <c r="H48" s="39">
        <f t="shared" si="5"/>
        <v>45</v>
      </c>
      <c r="I48" s="39">
        <f t="shared" si="5"/>
        <v>5</v>
      </c>
      <c r="J48" s="39">
        <f t="shared" si="5"/>
        <v>0</v>
      </c>
      <c r="K48" s="54">
        <f t="shared" si="5"/>
        <v>9</v>
      </c>
      <c r="L48" s="39">
        <f t="shared" si="5"/>
        <v>72615</v>
      </c>
      <c r="M48" s="52">
        <f>SUM(M4:M47)</f>
        <v>8501.5</v>
      </c>
      <c r="N48" s="120">
        <f>SUM(N3:N47)</f>
        <v>81951.355232204005</v>
      </c>
      <c r="O48" s="120">
        <f>SUM(O3:O47)</f>
        <v>86256.32975337375</v>
      </c>
      <c r="P48" s="119">
        <f>SUM(P3:P47)</f>
        <v>161607.76170527149</v>
      </c>
      <c r="Q48" s="119">
        <f>SUM(Q3:Q47)</f>
        <v>70044</v>
      </c>
      <c r="R48" s="119">
        <f>SUM(R3:R47)</f>
        <v>-91563.761705271507</v>
      </c>
    </row>
    <row r="49" spans="2:15" ht="31.5" customHeight="1">
      <c r="B49" s="10"/>
      <c r="C49" s="4"/>
      <c r="D49" s="20"/>
      <c r="E49" s="20"/>
      <c r="F49" s="20"/>
      <c r="G49" s="20"/>
      <c r="H49" s="20"/>
      <c r="I49" s="20"/>
      <c r="J49" s="20"/>
    </row>
    <row r="50" spans="2:15">
      <c r="B50" s="10"/>
      <c r="C50" s="4"/>
      <c r="D50" s="26"/>
      <c r="E50" s="23"/>
      <c r="F50" s="20"/>
      <c r="G50" s="23"/>
      <c r="H50" s="23"/>
      <c r="I50" s="20"/>
      <c r="J50" s="20"/>
    </row>
    <row r="51" spans="2:15">
      <c r="B51" s="10"/>
      <c r="C51" s="4"/>
      <c r="D51" s="20"/>
      <c r="E51" s="23"/>
      <c r="F51" s="20"/>
      <c r="G51" s="23"/>
      <c r="H51" s="23"/>
      <c r="I51" s="20"/>
      <c r="J51" s="20"/>
      <c r="M51" s="18"/>
      <c r="N51" s="18"/>
      <c r="O51" s="18"/>
    </row>
    <row r="52" spans="2:15">
      <c r="B52" s="10"/>
      <c r="C52" s="4"/>
      <c r="D52" s="20"/>
      <c r="E52" s="23"/>
      <c r="F52" s="20"/>
      <c r="G52" s="20"/>
      <c r="H52" s="23"/>
      <c r="I52" s="23"/>
      <c r="J52" s="20"/>
    </row>
    <row r="53" spans="2:15">
      <c r="B53" s="10"/>
      <c r="C53" s="4"/>
      <c r="D53" s="20"/>
      <c r="E53" s="20"/>
      <c r="F53" s="20"/>
      <c r="G53" s="20"/>
      <c r="H53" s="20"/>
      <c r="I53" s="23"/>
      <c r="J53" s="23"/>
    </row>
    <row r="54" spans="2:15">
      <c r="C54" s="6"/>
      <c r="D54" s="21"/>
      <c r="E54" s="21"/>
      <c r="F54" s="21"/>
      <c r="G54" s="10"/>
      <c r="H54" s="10"/>
      <c r="I54" s="10"/>
    </row>
    <row r="55" spans="2:15">
      <c r="C55" s="6"/>
      <c r="D55" s="21"/>
      <c r="E55" s="21"/>
      <c r="F55" s="21"/>
      <c r="G55" s="10"/>
      <c r="H55" s="10"/>
      <c r="I55" s="10"/>
    </row>
    <row r="56" spans="2:15">
      <c r="B56" s="6"/>
      <c r="C56" s="6"/>
      <c r="D56" s="12"/>
      <c r="E56" s="22"/>
      <c r="F56" s="20"/>
      <c r="G56" s="19"/>
      <c r="H56" s="19"/>
      <c r="I56" s="4"/>
    </row>
    <row r="57" spans="2:15">
      <c r="C57" s="6"/>
      <c r="D57" s="12"/>
      <c r="E57" s="22"/>
      <c r="F57" s="23"/>
      <c r="G57" s="19"/>
      <c r="H57" s="19"/>
      <c r="I57" s="4"/>
    </row>
    <row r="58" spans="2:15">
      <c r="C58" s="6"/>
      <c r="D58" s="12"/>
      <c r="E58" s="22"/>
      <c r="F58" s="20"/>
      <c r="G58" s="19"/>
      <c r="H58" s="19"/>
      <c r="I58" s="4"/>
    </row>
    <row r="59" spans="2:15">
      <c r="C59" s="6"/>
      <c r="D59" s="12"/>
      <c r="E59" s="22"/>
      <c r="F59" s="20"/>
      <c r="G59" s="19"/>
      <c r="H59" s="19"/>
      <c r="I59" s="4"/>
    </row>
    <row r="60" spans="2:15">
      <c r="C60" s="6"/>
      <c r="D60" s="12"/>
      <c r="E60" s="22"/>
      <c r="F60" s="20"/>
      <c r="G60" s="19"/>
      <c r="H60" s="19"/>
      <c r="I60" s="4"/>
    </row>
    <row r="61" spans="2:15">
      <c r="C61" s="6"/>
      <c r="D61" s="21"/>
      <c r="E61" s="21"/>
      <c r="F61" s="21"/>
      <c r="G61" s="10"/>
      <c r="H61" s="10"/>
      <c r="I61" s="20"/>
    </row>
    <row r="62" spans="2:15">
      <c r="C62" s="6"/>
      <c r="D62" s="12"/>
      <c r="E62" s="22"/>
      <c r="F62" s="20"/>
      <c r="G62" s="19"/>
      <c r="H62" s="19"/>
      <c r="I62" s="4"/>
    </row>
    <row r="63" spans="2:15">
      <c r="C63" s="6"/>
      <c r="D63" s="12"/>
      <c r="E63" s="22"/>
      <c r="F63" s="20"/>
      <c r="G63" s="19"/>
      <c r="H63" s="19"/>
      <c r="I63" s="4"/>
    </row>
    <row r="64" spans="2:15">
      <c r="C64" s="6"/>
      <c r="D64" s="24"/>
      <c r="E64" s="22"/>
      <c r="F64" s="23"/>
      <c r="G64" s="19"/>
      <c r="H64" s="19"/>
      <c r="I64" s="4"/>
    </row>
    <row r="65" spans="3:11">
      <c r="C65" s="6"/>
      <c r="D65" s="6"/>
      <c r="E65" s="6"/>
      <c r="F65" s="6"/>
    </row>
    <row r="66" spans="3:11" ht="15.75" thickBot="1">
      <c r="C66" s="6"/>
      <c r="D66" s="6"/>
      <c r="E66" s="6"/>
      <c r="F66" s="6"/>
    </row>
    <row r="67" spans="3:11" ht="15.75" thickBot="1">
      <c r="C67" s="6"/>
      <c r="D67" s="5"/>
      <c r="E67" s="7"/>
      <c r="F67" s="8"/>
      <c r="G67" s="2"/>
      <c r="H67" s="2"/>
      <c r="I67" s="1"/>
    </row>
    <row r="68" spans="3:11" ht="15.75" thickBot="1">
      <c r="C68" s="6"/>
      <c r="I68" s="11"/>
    </row>
    <row r="69" spans="3:11" ht="15.75" thickBot="1">
      <c r="C69" s="6"/>
      <c r="D69" s="5"/>
      <c r="E69" s="7"/>
      <c r="F69" s="8"/>
      <c r="G69" s="9"/>
      <c r="H69" s="9"/>
      <c r="I69" s="11"/>
    </row>
    <row r="71" spans="3:11">
      <c r="I71" s="10"/>
      <c r="J71" s="10"/>
      <c r="K71" s="10"/>
    </row>
    <row r="72" spans="3:11">
      <c r="I72" s="10"/>
      <c r="J72" s="4"/>
      <c r="K72" s="10"/>
    </row>
    <row r="73" spans="3:11">
      <c r="I73" s="10"/>
      <c r="J73" s="4"/>
      <c r="K73" s="10"/>
    </row>
    <row r="74" spans="3:11">
      <c r="I74" s="10"/>
      <c r="J74" s="4"/>
      <c r="K74" s="10"/>
    </row>
    <row r="75" spans="3:11">
      <c r="I75" s="4"/>
      <c r="J75" s="4"/>
      <c r="K75" s="10"/>
    </row>
    <row r="76" spans="3:11">
      <c r="I76" s="10"/>
      <c r="J76" s="10"/>
      <c r="K76" s="10"/>
    </row>
  </sheetData>
  <mergeCells count="1">
    <mergeCell ref="B1:P1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"/>
  <sheetViews>
    <sheetView workbookViewId="0">
      <selection activeCell="E8" sqref="E8"/>
    </sheetView>
  </sheetViews>
  <sheetFormatPr defaultRowHeight="15"/>
  <sheetData>
    <row r="2" spans="2:18">
      <c r="B2" s="20"/>
      <c r="C2" s="20"/>
      <c r="D2" s="20"/>
      <c r="E2" s="20"/>
      <c r="F2" s="54"/>
      <c r="G2" s="21"/>
      <c r="H2" s="20"/>
      <c r="I2" s="20"/>
      <c r="J2" s="20"/>
      <c r="K2" s="20"/>
      <c r="L2" s="20"/>
      <c r="M2" s="232"/>
      <c r="N2" s="232"/>
      <c r="O2" s="232"/>
      <c r="P2" s="232"/>
      <c r="Q2" s="232"/>
      <c r="R2" s="232"/>
    </row>
    <row r="3" spans="2:18" ht="15.75">
      <c r="B3" s="21"/>
      <c r="C3" s="12"/>
      <c r="D3" s="233"/>
      <c r="E3" s="21"/>
      <c r="F3" s="21"/>
      <c r="G3" s="21"/>
      <c r="H3" s="50"/>
      <c r="I3" s="50"/>
      <c r="J3" s="50"/>
      <c r="K3" s="50"/>
      <c r="L3" s="50"/>
      <c r="M3" s="21"/>
      <c r="N3" s="234"/>
      <c r="O3" s="234"/>
      <c r="P3" s="234"/>
      <c r="Q3" s="21"/>
      <c r="R3" s="16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zoomScale="90" zoomScaleNormal="90" workbookViewId="0">
      <selection activeCell="Q22" sqref="Q22"/>
    </sheetView>
  </sheetViews>
  <sheetFormatPr defaultRowHeight="15"/>
  <cols>
    <col min="3" max="3" width="24" customWidth="1"/>
    <col min="6" max="6" width="6.7109375" bestFit="1" customWidth="1"/>
    <col min="7" max="7" width="8.85546875" customWidth="1"/>
    <col min="10" max="10" width="10.85546875" customWidth="1"/>
    <col min="13" max="13" width="12" customWidth="1"/>
    <col min="14" max="14" width="12.5703125" customWidth="1"/>
    <col min="15" max="15" width="12.7109375" customWidth="1"/>
    <col min="16" max="16" width="10.85546875" customWidth="1"/>
    <col min="17" max="17" width="10.5703125" customWidth="1"/>
    <col min="18" max="18" width="12.28515625" customWidth="1"/>
  </cols>
  <sheetData>
    <row r="1" spans="1:18">
      <c r="A1" s="241" t="s">
        <v>219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3"/>
    </row>
    <row r="2" spans="1:18" ht="57.75">
      <c r="A2" s="141" t="s">
        <v>0</v>
      </c>
      <c r="B2" s="141" t="s">
        <v>1</v>
      </c>
      <c r="C2" s="141" t="s">
        <v>2</v>
      </c>
      <c r="D2" s="142" t="s">
        <v>3</v>
      </c>
      <c r="E2" s="143" t="s">
        <v>260</v>
      </c>
      <c r="F2" s="144" t="s">
        <v>240</v>
      </c>
      <c r="G2" s="145" t="s">
        <v>241</v>
      </c>
      <c r="H2" s="141" t="s">
        <v>220</v>
      </c>
      <c r="I2" s="141" t="s">
        <v>221</v>
      </c>
      <c r="J2" s="141" t="s">
        <v>222</v>
      </c>
      <c r="K2" s="141" t="s">
        <v>223</v>
      </c>
      <c r="L2" s="146" t="s">
        <v>263</v>
      </c>
      <c r="M2" s="144" t="s">
        <v>264</v>
      </c>
      <c r="N2" s="144" t="s">
        <v>257</v>
      </c>
      <c r="O2" s="144" t="s">
        <v>262</v>
      </c>
      <c r="P2" s="144" t="s">
        <v>259</v>
      </c>
      <c r="Q2" s="57" t="s">
        <v>281</v>
      </c>
      <c r="R2" s="77" t="s">
        <v>282</v>
      </c>
    </row>
    <row r="3" spans="1:18">
      <c r="A3" s="247">
        <v>2</v>
      </c>
      <c r="B3" s="244">
        <v>2</v>
      </c>
      <c r="C3" s="147" t="s">
        <v>55</v>
      </c>
      <c r="D3" s="148">
        <v>73.83</v>
      </c>
      <c r="E3" s="149"/>
      <c r="F3" s="149">
        <v>0</v>
      </c>
      <c r="G3" s="149">
        <f>(D3+E3)*F3</f>
        <v>0</v>
      </c>
      <c r="H3" s="150">
        <v>2</v>
      </c>
      <c r="I3" s="151">
        <v>0</v>
      </c>
      <c r="J3" s="151">
        <v>1</v>
      </c>
      <c r="K3" s="150">
        <v>0</v>
      </c>
      <c r="L3" s="150">
        <f>H3*'розрахунок балконів'!$N$2+I3*'розрахунок балконів'!$N$3+J3*'розрахунок балконів'!$N$4+K3*'розрахунок балконів'!$N$5</f>
        <v>3047.6</v>
      </c>
      <c r="M3" s="149">
        <f>IF(F3,0,L3)</f>
        <v>3047.6</v>
      </c>
      <c r="N3" s="149">
        <f>IF(F3,L3*'розрахунок балконів'!$E$13,0)</f>
        <v>0</v>
      </c>
      <c r="O3" s="149">
        <f>G3*'розрахунок квадрату стяжки'!$M$3</f>
        <v>0</v>
      </c>
      <c r="P3" s="149">
        <f>N3+O3</f>
        <v>0</v>
      </c>
      <c r="Q3" s="90">
        <v>0</v>
      </c>
      <c r="R3" s="122">
        <f t="shared" ref="R3:R38" si="0">Q3-P3</f>
        <v>0</v>
      </c>
    </row>
    <row r="4" spans="1:18">
      <c r="A4" s="248"/>
      <c r="B4" s="245"/>
      <c r="C4" s="217" t="s">
        <v>45</v>
      </c>
      <c r="D4" s="218">
        <v>58.4</v>
      </c>
      <c r="E4" s="219"/>
      <c r="F4" s="219">
        <v>1</v>
      </c>
      <c r="G4" s="219">
        <f t="shared" ref="G4:G38" si="1">(D4+E4)*F4</f>
        <v>58.4</v>
      </c>
      <c r="H4" s="220">
        <v>1</v>
      </c>
      <c r="I4" s="221">
        <v>0</v>
      </c>
      <c r="J4" s="221">
        <v>1</v>
      </c>
      <c r="K4" s="220">
        <v>0</v>
      </c>
      <c r="L4" s="220">
        <f>H4*'розрахунок балконів'!$N$2+I4*'розрахунок балконів'!$N$3+J4*'розрахунок балконів'!$N$4+K4*'розрахунок балконів'!$N$5</f>
        <v>1793.6</v>
      </c>
      <c r="M4" s="219">
        <f t="shared" ref="M4:M38" si="2">IF(F4,0,L4)</f>
        <v>0</v>
      </c>
      <c r="N4" s="180">
        <f>IF(F4,L4*'розрахунок балконів'!$E$13,0)</f>
        <v>2292.620910486577</v>
      </c>
      <c r="O4" s="180">
        <f>G4*'розрахунок квадрату стяжки'!$M$3</f>
        <v>2241.6903595239373</v>
      </c>
      <c r="P4" s="180">
        <f t="shared" ref="P4:P34" si="3">N4+O4</f>
        <v>4534.3112700105139</v>
      </c>
      <c r="Q4" s="176">
        <v>5025</v>
      </c>
      <c r="R4" s="180">
        <f t="shared" si="0"/>
        <v>490.68872998948609</v>
      </c>
    </row>
    <row r="5" spans="1:18">
      <c r="A5" s="248"/>
      <c r="B5" s="245"/>
      <c r="C5" s="152" t="s">
        <v>56</v>
      </c>
      <c r="D5" s="153">
        <v>58.4</v>
      </c>
      <c r="E5" s="154">
        <v>2.5</v>
      </c>
      <c r="F5" s="155">
        <v>1</v>
      </c>
      <c r="G5" s="154">
        <f t="shared" si="1"/>
        <v>60.9</v>
      </c>
      <c r="H5" s="157">
        <v>1</v>
      </c>
      <c r="I5" s="158">
        <v>0</v>
      </c>
      <c r="J5" s="158">
        <v>1</v>
      </c>
      <c r="K5" s="157">
        <v>0</v>
      </c>
      <c r="L5" s="143">
        <f>H5*'розрахунок балконів'!$N$2+I5*'розрахунок балконів'!$N$3+J5*'розрахунок балконів'!$N$4+K5*'розрахунок балконів'!$N$5</f>
        <v>1793.6</v>
      </c>
      <c r="M5" s="154">
        <f t="shared" si="2"/>
        <v>0</v>
      </c>
      <c r="N5" s="121">
        <f>IF(F5,L5*'розрахунок балконів'!$E$13,0)</f>
        <v>2292.620910486577</v>
      </c>
      <c r="O5" s="121">
        <f>G5*'розрахунок квадрату стяжки'!$M$3</f>
        <v>2337.6531317638319</v>
      </c>
      <c r="P5" s="121">
        <f t="shared" si="3"/>
        <v>4630.2740422504085</v>
      </c>
      <c r="Q5" s="77">
        <v>0</v>
      </c>
      <c r="R5" s="121">
        <f t="shared" si="0"/>
        <v>-4630.2740422504085</v>
      </c>
    </row>
    <row r="6" spans="1:18">
      <c r="A6" s="248"/>
      <c r="B6" s="246"/>
      <c r="C6" s="152" t="s">
        <v>57</v>
      </c>
      <c r="D6" s="153">
        <v>73.83</v>
      </c>
      <c r="E6" s="154"/>
      <c r="F6" s="155">
        <v>1</v>
      </c>
      <c r="G6" s="154">
        <f t="shared" si="1"/>
        <v>73.83</v>
      </c>
      <c r="H6" s="143">
        <v>2</v>
      </c>
      <c r="I6" s="156">
        <v>0</v>
      </c>
      <c r="J6" s="156">
        <v>1</v>
      </c>
      <c r="K6" s="143">
        <v>0</v>
      </c>
      <c r="L6" s="143">
        <f>H6*'розрахунок балконів'!$N$2+I6*'розрахунок балконів'!$N$3+J6*'розрахунок балконів'!$N$4+K6*'розрахунок балконів'!$N$5</f>
        <v>3047.6</v>
      </c>
      <c r="M6" s="154">
        <f t="shared" si="2"/>
        <v>0</v>
      </c>
      <c r="N6" s="121">
        <f>IF(F6,L6*'розрахунок балконів'!$E$13,0)</f>
        <v>3895.5126487504972</v>
      </c>
      <c r="O6" s="121">
        <f>G6*'розрахунок квадрату стяжки'!$M$3</f>
        <v>2833.9725897885669</v>
      </c>
      <c r="P6" s="121">
        <f t="shared" si="3"/>
        <v>6729.4852385390641</v>
      </c>
      <c r="Q6" s="77">
        <v>0</v>
      </c>
      <c r="R6" s="121">
        <f t="shared" si="0"/>
        <v>-6729.4852385390641</v>
      </c>
    </row>
    <row r="7" spans="1:18">
      <c r="A7" s="248"/>
      <c r="B7" s="244">
        <v>3</v>
      </c>
      <c r="C7" s="152" t="s">
        <v>46</v>
      </c>
      <c r="D7" s="153">
        <v>73.83</v>
      </c>
      <c r="E7" s="154"/>
      <c r="F7" s="155">
        <v>1</v>
      </c>
      <c r="G7" s="154">
        <f t="shared" si="1"/>
        <v>73.83</v>
      </c>
      <c r="H7" s="143">
        <v>2</v>
      </c>
      <c r="I7" s="156">
        <v>0</v>
      </c>
      <c r="J7" s="156">
        <v>1</v>
      </c>
      <c r="K7" s="143">
        <v>0</v>
      </c>
      <c r="L7" s="143">
        <f>H7*'розрахунок балконів'!$N$2+I7*'розрахунок балконів'!$N$3+J7*'розрахунок балконів'!$N$4+K7*'розрахунок балконів'!$N$5</f>
        <v>3047.6</v>
      </c>
      <c r="M7" s="154">
        <f t="shared" si="2"/>
        <v>0</v>
      </c>
      <c r="N7" s="121">
        <f>IF(F7,L7*'розрахунок балконів'!$E$13,0)</f>
        <v>3895.5126487504972</v>
      </c>
      <c r="O7" s="121">
        <f>G7*'розрахунок квадрату стяжки'!$M$3</f>
        <v>2833.9725897885669</v>
      </c>
      <c r="P7" s="121">
        <f t="shared" si="3"/>
        <v>6729.4852385390641</v>
      </c>
      <c r="Q7" s="77">
        <v>0</v>
      </c>
      <c r="R7" s="121">
        <f t="shared" si="0"/>
        <v>-6729.4852385390641</v>
      </c>
    </row>
    <row r="8" spans="1:18">
      <c r="A8" s="248"/>
      <c r="B8" s="245"/>
      <c r="C8" s="147" t="s">
        <v>48</v>
      </c>
      <c r="D8" s="148">
        <v>58.4</v>
      </c>
      <c r="E8" s="149"/>
      <c r="F8" s="149">
        <v>0</v>
      </c>
      <c r="G8" s="149">
        <f t="shared" si="1"/>
        <v>0</v>
      </c>
      <c r="H8" s="150">
        <v>1</v>
      </c>
      <c r="I8" s="151">
        <v>0</v>
      </c>
      <c r="J8" s="151">
        <v>1</v>
      </c>
      <c r="K8" s="150">
        <v>0</v>
      </c>
      <c r="L8" s="150">
        <f>H8*'розрахунок балконів'!$N$2+I8*'розрахунок балконів'!$N$3+J8*'розрахунок балконів'!$N$4+K8*'розрахунок балконів'!$N$5</f>
        <v>1793.6</v>
      </c>
      <c r="M8" s="149">
        <f t="shared" si="2"/>
        <v>1793.6</v>
      </c>
      <c r="N8" s="122">
        <f>IF(F8,L8*'розрахунок балконів'!$E$13,0)</f>
        <v>0</v>
      </c>
      <c r="O8" s="122">
        <f>G8*'розрахунок квадрату стяжки'!$M$3</f>
        <v>0</v>
      </c>
      <c r="P8" s="122">
        <f t="shared" si="3"/>
        <v>0</v>
      </c>
      <c r="Q8" s="90">
        <v>0</v>
      </c>
      <c r="R8" s="122">
        <f t="shared" si="0"/>
        <v>0</v>
      </c>
    </row>
    <row r="9" spans="1:18">
      <c r="A9" s="248"/>
      <c r="B9" s="245"/>
      <c r="C9" s="217" t="s">
        <v>58</v>
      </c>
      <c r="D9" s="218">
        <v>58.4</v>
      </c>
      <c r="E9" s="219"/>
      <c r="F9" s="219">
        <v>1</v>
      </c>
      <c r="G9" s="219">
        <f t="shared" si="1"/>
        <v>58.4</v>
      </c>
      <c r="H9" s="236">
        <v>1</v>
      </c>
      <c r="I9" s="237">
        <v>0</v>
      </c>
      <c r="J9" s="237">
        <v>1</v>
      </c>
      <c r="K9" s="236">
        <v>0</v>
      </c>
      <c r="L9" s="220">
        <f>H9*'розрахунок балконів'!$N$2+I9*'розрахунок балконів'!$N$3+J9*'розрахунок балконів'!$N$4+K9*'розрахунок балконів'!$N$5</f>
        <v>1793.6</v>
      </c>
      <c r="M9" s="219">
        <f t="shared" si="2"/>
        <v>0</v>
      </c>
      <c r="N9" s="180">
        <f>IF(F9,L9*'розрахунок балконів'!$E$13,0)</f>
        <v>2292.620910486577</v>
      </c>
      <c r="O9" s="180">
        <f>G9*'розрахунок квадрату стяжки'!$M$3</f>
        <v>2241.6903595239373</v>
      </c>
      <c r="P9" s="180">
        <f t="shared" si="3"/>
        <v>4534.3112700105139</v>
      </c>
      <c r="Q9" s="176">
        <v>4644</v>
      </c>
      <c r="R9" s="180">
        <f t="shared" si="0"/>
        <v>109.68872998948609</v>
      </c>
    </row>
    <row r="10" spans="1:18">
      <c r="A10" s="248"/>
      <c r="B10" s="246"/>
      <c r="C10" s="152" t="s">
        <v>59</v>
      </c>
      <c r="D10" s="153">
        <v>73.83</v>
      </c>
      <c r="E10" s="154">
        <v>2.5</v>
      </c>
      <c r="F10" s="155">
        <v>1</v>
      </c>
      <c r="G10" s="154">
        <f t="shared" si="1"/>
        <v>76.33</v>
      </c>
      <c r="H10" s="143">
        <v>2</v>
      </c>
      <c r="I10" s="156">
        <v>0</v>
      </c>
      <c r="J10" s="156">
        <v>1</v>
      </c>
      <c r="K10" s="143">
        <v>0</v>
      </c>
      <c r="L10" s="143">
        <f>H10*'розрахунок балконів'!$N$2+I10*'розрахунок балконів'!$N$3+J10*'розрахунок балконів'!$N$4+K10*'розрахунок балконів'!$N$5</f>
        <v>3047.6</v>
      </c>
      <c r="M10" s="154">
        <f t="shared" si="2"/>
        <v>0</v>
      </c>
      <c r="N10" s="121">
        <f>IF(F10,L10*'розрахунок балконів'!$E$13,0)</f>
        <v>3895.5126487504972</v>
      </c>
      <c r="O10" s="121">
        <f>G10*'розрахунок квадрату стяжки'!$M$3</f>
        <v>2929.9353620284614</v>
      </c>
      <c r="P10" s="121">
        <f t="shared" si="3"/>
        <v>6825.4480107789586</v>
      </c>
      <c r="Q10" s="77">
        <v>0</v>
      </c>
      <c r="R10" s="121">
        <f t="shared" si="0"/>
        <v>-6825.4480107789586</v>
      </c>
    </row>
    <row r="11" spans="1:18">
      <c r="A11" s="248"/>
      <c r="B11" s="244">
        <v>4</v>
      </c>
      <c r="C11" s="217" t="s">
        <v>60</v>
      </c>
      <c r="D11" s="218">
        <v>73.83</v>
      </c>
      <c r="E11" s="219"/>
      <c r="F11" s="219">
        <v>1</v>
      </c>
      <c r="G11" s="219">
        <f t="shared" si="1"/>
        <v>73.83</v>
      </c>
      <c r="H11" s="220">
        <v>2</v>
      </c>
      <c r="I11" s="221">
        <v>0</v>
      </c>
      <c r="J11" s="221">
        <v>1</v>
      </c>
      <c r="K11" s="220">
        <v>0</v>
      </c>
      <c r="L11" s="220">
        <f>H11*'розрахунок балконів'!$N$2+I11*'розрахунок балконів'!$N$3+J11*'розрахунок балконів'!$N$4+K11*'розрахунок балконів'!$N$5</f>
        <v>3047.6</v>
      </c>
      <c r="M11" s="219">
        <f t="shared" si="2"/>
        <v>0</v>
      </c>
      <c r="N11" s="180">
        <f>IF(F11,L11*'розрахунок балконів'!$E$13,0)</f>
        <v>3895.5126487504972</v>
      </c>
      <c r="O11" s="180">
        <f>G11*'розрахунок квадрату стяжки'!$M$3</f>
        <v>2833.9725897885669</v>
      </c>
      <c r="P11" s="180">
        <f t="shared" si="3"/>
        <v>6729.4852385390641</v>
      </c>
      <c r="Q11" s="176">
        <v>6770</v>
      </c>
      <c r="R11" s="180">
        <f t="shared" si="0"/>
        <v>40.514761460935915</v>
      </c>
    </row>
    <row r="12" spans="1:18">
      <c r="A12" s="248"/>
      <c r="B12" s="245"/>
      <c r="C12" s="152" t="s">
        <v>61</v>
      </c>
      <c r="D12" s="153">
        <v>58.4</v>
      </c>
      <c r="E12" s="154"/>
      <c r="F12" s="155">
        <v>1</v>
      </c>
      <c r="G12" s="154">
        <f t="shared" si="1"/>
        <v>58.4</v>
      </c>
      <c r="H12" s="143">
        <v>1</v>
      </c>
      <c r="I12" s="156">
        <v>0</v>
      </c>
      <c r="J12" s="156">
        <v>1</v>
      </c>
      <c r="K12" s="143">
        <v>0</v>
      </c>
      <c r="L12" s="143">
        <f>H12*'розрахунок балконів'!$N$2+I12*'розрахунок балконів'!$N$3+J12*'розрахунок балконів'!$N$4+K12*'розрахунок балконів'!$N$5</f>
        <v>1793.6</v>
      </c>
      <c r="M12" s="154">
        <f t="shared" si="2"/>
        <v>0</v>
      </c>
      <c r="N12" s="121">
        <f>IF(F12,L12*'розрахунок балконів'!$E$13,0)</f>
        <v>2292.620910486577</v>
      </c>
      <c r="O12" s="121">
        <f>G12*'розрахунок квадрату стяжки'!$M$3</f>
        <v>2241.6903595239373</v>
      </c>
      <c r="P12" s="121">
        <f t="shared" si="3"/>
        <v>4534.3112700105139</v>
      </c>
      <c r="Q12" s="77">
        <v>0</v>
      </c>
      <c r="R12" s="121">
        <f t="shared" si="0"/>
        <v>-4534.3112700105139</v>
      </c>
    </row>
    <row r="13" spans="1:18" ht="24">
      <c r="A13" s="248"/>
      <c r="B13" s="245"/>
      <c r="C13" s="217" t="s">
        <v>62</v>
      </c>
      <c r="D13" s="218">
        <v>58.27</v>
      </c>
      <c r="E13" s="219">
        <v>2.5</v>
      </c>
      <c r="F13" s="219">
        <v>1</v>
      </c>
      <c r="G13" s="219">
        <f t="shared" si="1"/>
        <v>60.77</v>
      </c>
      <c r="H13" s="236">
        <v>1</v>
      </c>
      <c r="I13" s="237">
        <v>0</v>
      </c>
      <c r="J13" s="237">
        <v>1</v>
      </c>
      <c r="K13" s="236">
        <v>0</v>
      </c>
      <c r="L13" s="220">
        <f>H13*'розрахунок балконів'!$N$2+I13*'розрахунок балконів'!$N$3+J13*'розрахунок балконів'!$N$4+K13*'розрахунок балконів'!$N$5</f>
        <v>1793.6</v>
      </c>
      <c r="M13" s="219">
        <f t="shared" si="2"/>
        <v>0</v>
      </c>
      <c r="N13" s="180">
        <f>IF(F13,L13*'розрахунок балконів'!$E$13,0)</f>
        <v>2292.620910486577</v>
      </c>
      <c r="O13" s="180">
        <f>G13*'розрахунок квадрату стяжки'!$M$3</f>
        <v>2332.6630676073578</v>
      </c>
      <c r="P13" s="180">
        <f t="shared" si="3"/>
        <v>4625.2839780939348</v>
      </c>
      <c r="Q13" s="176">
        <v>4680</v>
      </c>
      <c r="R13" s="180">
        <f t="shared" si="0"/>
        <v>54.71602190606518</v>
      </c>
    </row>
    <row r="14" spans="1:18">
      <c r="A14" s="248"/>
      <c r="B14" s="246"/>
      <c r="C14" s="171" t="s">
        <v>63</v>
      </c>
      <c r="D14" s="153">
        <v>73.83</v>
      </c>
      <c r="E14" s="154"/>
      <c r="F14" s="154">
        <v>1</v>
      </c>
      <c r="G14" s="154">
        <f t="shared" si="1"/>
        <v>73.83</v>
      </c>
      <c r="H14" s="143">
        <v>2</v>
      </c>
      <c r="I14" s="156">
        <v>0</v>
      </c>
      <c r="J14" s="156">
        <v>1</v>
      </c>
      <c r="K14" s="143">
        <v>0</v>
      </c>
      <c r="L14" s="143">
        <f>H14*'розрахунок балконів'!$N$2+I14*'розрахунок балконів'!$N$3+J14*'розрахунок балконів'!$N$4+K14*'розрахунок балконів'!$N$5</f>
        <v>3047.6</v>
      </c>
      <c r="M14" s="154">
        <f t="shared" si="2"/>
        <v>0</v>
      </c>
      <c r="N14" s="170">
        <f>IF(F14,L14*'розрахунок балконів'!$E$13,0)</f>
        <v>3895.5126487504972</v>
      </c>
      <c r="O14" s="170">
        <f>G14*'розрахунок квадрату стяжки'!$M$3</f>
        <v>2833.9725897885669</v>
      </c>
      <c r="P14" s="170">
        <f t="shared" si="3"/>
        <v>6729.4852385390641</v>
      </c>
      <c r="Q14" s="77">
        <v>0</v>
      </c>
      <c r="R14" s="121">
        <f t="shared" si="0"/>
        <v>-6729.4852385390641</v>
      </c>
    </row>
    <row r="15" spans="1:18" ht="24">
      <c r="A15" s="248"/>
      <c r="B15" s="244">
        <v>5</v>
      </c>
      <c r="C15" s="217" t="s">
        <v>64</v>
      </c>
      <c r="D15" s="218">
        <v>73.83</v>
      </c>
      <c r="E15" s="219"/>
      <c r="F15" s="219">
        <v>1</v>
      </c>
      <c r="G15" s="219">
        <f t="shared" si="1"/>
        <v>73.83</v>
      </c>
      <c r="H15" s="220">
        <v>2</v>
      </c>
      <c r="I15" s="221">
        <v>0</v>
      </c>
      <c r="J15" s="221">
        <v>1</v>
      </c>
      <c r="K15" s="220">
        <v>0</v>
      </c>
      <c r="L15" s="220">
        <f>H15*'розрахунок балконів'!$N$2+I15*'розрахунок балконів'!$N$3+J15*'розрахунок балконів'!$N$4+K15*'розрахунок балконів'!$N$5</f>
        <v>3047.6</v>
      </c>
      <c r="M15" s="219">
        <f t="shared" si="2"/>
        <v>0</v>
      </c>
      <c r="N15" s="180">
        <f>IF(F15,L15*'розрахунок балконів'!$E$13,0)</f>
        <v>3895.5126487504972</v>
      </c>
      <c r="O15" s="180">
        <f>G15*'розрахунок квадрату стяжки'!$M$3</f>
        <v>2833.9725897885669</v>
      </c>
      <c r="P15" s="180">
        <f t="shared" si="3"/>
        <v>6729.4852385390641</v>
      </c>
      <c r="Q15" s="176">
        <v>6770</v>
      </c>
      <c r="R15" s="180">
        <f t="shared" si="0"/>
        <v>40.514761460935915</v>
      </c>
    </row>
    <row r="16" spans="1:18">
      <c r="A16" s="248"/>
      <c r="B16" s="245"/>
      <c r="C16" s="152" t="s">
        <v>65</v>
      </c>
      <c r="D16" s="153">
        <v>60.29</v>
      </c>
      <c r="E16" s="154"/>
      <c r="F16" s="155">
        <v>1</v>
      </c>
      <c r="G16" s="154">
        <f t="shared" si="1"/>
        <v>60.29</v>
      </c>
      <c r="H16" s="143">
        <v>1</v>
      </c>
      <c r="I16" s="156">
        <v>0</v>
      </c>
      <c r="J16" s="156">
        <v>1</v>
      </c>
      <c r="K16" s="143">
        <v>0</v>
      </c>
      <c r="L16" s="143">
        <f>H16*'розрахунок балконів'!$N$2+I16*'розрахунок балконів'!$N$3+J16*'розрахунок балконів'!$N$4+K16*'розрахунок балконів'!$N$5</f>
        <v>1793.6</v>
      </c>
      <c r="M16" s="154">
        <f t="shared" si="2"/>
        <v>0</v>
      </c>
      <c r="N16" s="121">
        <f>IF(F16,L16*'розрахунок балконів'!$E$13,0)</f>
        <v>2292.620910486577</v>
      </c>
      <c r="O16" s="121">
        <f>G16*'розрахунок квадрату стяжки'!$M$3</f>
        <v>2314.2382153372978</v>
      </c>
      <c r="P16" s="121">
        <f t="shared" si="3"/>
        <v>4606.8591258238748</v>
      </c>
      <c r="Q16" s="77">
        <v>0</v>
      </c>
      <c r="R16" s="121">
        <f t="shared" si="0"/>
        <v>-4606.8591258238748</v>
      </c>
    </row>
    <row r="17" spans="1:18" ht="24">
      <c r="A17" s="248"/>
      <c r="B17" s="245"/>
      <c r="C17" s="152" t="s">
        <v>66</v>
      </c>
      <c r="D17" s="153">
        <v>60.62</v>
      </c>
      <c r="E17" s="154"/>
      <c r="F17" s="155">
        <v>1</v>
      </c>
      <c r="G17" s="154">
        <f t="shared" si="1"/>
        <v>60.62</v>
      </c>
      <c r="H17" s="157">
        <v>1</v>
      </c>
      <c r="I17" s="158">
        <v>0</v>
      </c>
      <c r="J17" s="158">
        <v>1</v>
      </c>
      <c r="K17" s="157">
        <v>0</v>
      </c>
      <c r="L17" s="143">
        <f>H17*'розрахунок балконів'!$N$2+I17*'розрахунок балконів'!$N$3+J17*'розрахунок балконів'!$N$4+K17*'розрахунок балконів'!$N$5</f>
        <v>1793.6</v>
      </c>
      <c r="M17" s="154">
        <f t="shared" si="2"/>
        <v>0</v>
      </c>
      <c r="N17" s="121">
        <f>IF(F17,L17*'розрахунок балконів'!$E$13,0)</f>
        <v>2292.620910486577</v>
      </c>
      <c r="O17" s="121">
        <f>G17*'розрахунок квадрату стяжки'!$M$3</f>
        <v>2326.9053012729637</v>
      </c>
      <c r="P17" s="121">
        <f t="shared" si="3"/>
        <v>4619.5262117595412</v>
      </c>
      <c r="Q17" s="77">
        <v>0</v>
      </c>
      <c r="R17" s="121">
        <f t="shared" si="0"/>
        <v>-4619.5262117595412</v>
      </c>
    </row>
    <row r="18" spans="1:18">
      <c r="A18" s="248"/>
      <c r="B18" s="246"/>
      <c r="C18" s="147" t="s">
        <v>67</v>
      </c>
      <c r="D18" s="148">
        <v>76.430000000000007</v>
      </c>
      <c r="E18" s="149">
        <v>2.5</v>
      </c>
      <c r="F18" s="149">
        <v>0</v>
      </c>
      <c r="G18" s="149">
        <f t="shared" si="1"/>
        <v>0</v>
      </c>
      <c r="H18" s="150">
        <v>2</v>
      </c>
      <c r="I18" s="151">
        <v>0</v>
      </c>
      <c r="J18" s="151">
        <v>1</v>
      </c>
      <c r="K18" s="150">
        <v>0</v>
      </c>
      <c r="L18" s="150">
        <f>H18*'розрахунок балконів'!$N$2+I18*'розрахунок балконів'!$N$3+J18*'розрахунок балконів'!$N$4+K18*'розрахунок балконів'!$N$5</f>
        <v>3047.6</v>
      </c>
      <c r="M18" s="149">
        <f t="shared" si="2"/>
        <v>3047.6</v>
      </c>
      <c r="N18" s="122">
        <f>IF(F18,L18*'розрахунок балконів'!$E$13,0)</f>
        <v>0</v>
      </c>
      <c r="O18" s="122">
        <f>G18*'розрахунок квадрату стяжки'!$M$3</f>
        <v>0</v>
      </c>
      <c r="P18" s="122">
        <f t="shared" si="3"/>
        <v>0</v>
      </c>
      <c r="Q18" s="90">
        <v>0</v>
      </c>
      <c r="R18" s="122">
        <f t="shared" si="0"/>
        <v>0</v>
      </c>
    </row>
    <row r="19" spans="1:18">
      <c r="A19" s="248"/>
      <c r="B19" s="244">
        <v>6</v>
      </c>
      <c r="C19" s="152" t="s">
        <v>68</v>
      </c>
      <c r="D19" s="153">
        <v>73.83</v>
      </c>
      <c r="E19" s="154"/>
      <c r="F19" s="155">
        <v>1</v>
      </c>
      <c r="G19" s="154">
        <f t="shared" si="1"/>
        <v>73.83</v>
      </c>
      <c r="H19" s="143">
        <v>2</v>
      </c>
      <c r="I19" s="156">
        <v>0</v>
      </c>
      <c r="J19" s="156">
        <v>1</v>
      </c>
      <c r="K19" s="143">
        <v>0</v>
      </c>
      <c r="L19" s="143">
        <f>H19*'розрахунок балконів'!$N$2+I19*'розрахунок балконів'!$N$3+J19*'розрахунок балконів'!$N$4+K19*'розрахунок балконів'!$N$5</f>
        <v>3047.6</v>
      </c>
      <c r="M19" s="154">
        <f t="shared" si="2"/>
        <v>0</v>
      </c>
      <c r="N19" s="121">
        <f>IF(F19,L19*'розрахунок балконів'!$E$13,0)</f>
        <v>3895.5126487504972</v>
      </c>
      <c r="O19" s="121">
        <f>G19*'розрахунок квадрату стяжки'!$M$3</f>
        <v>2833.9725897885669</v>
      </c>
      <c r="P19" s="121">
        <f t="shared" si="3"/>
        <v>6729.4852385390641</v>
      </c>
      <c r="Q19" s="77">
        <v>0</v>
      </c>
      <c r="R19" s="121">
        <f t="shared" si="0"/>
        <v>-6729.4852385390641</v>
      </c>
    </row>
    <row r="20" spans="1:18">
      <c r="A20" s="248"/>
      <c r="B20" s="245"/>
      <c r="C20" s="217" t="s">
        <v>49</v>
      </c>
      <c r="D20" s="218">
        <v>58.4</v>
      </c>
      <c r="E20" s="219"/>
      <c r="F20" s="219">
        <v>1</v>
      </c>
      <c r="G20" s="219">
        <f t="shared" si="1"/>
        <v>58.4</v>
      </c>
      <c r="H20" s="220">
        <v>1</v>
      </c>
      <c r="I20" s="221">
        <v>0</v>
      </c>
      <c r="J20" s="221">
        <v>1</v>
      </c>
      <c r="K20" s="220">
        <v>0</v>
      </c>
      <c r="L20" s="220">
        <f>H20*'розрахунок балконів'!$N$2+I20*'розрахунок балконів'!$N$3+J20*'розрахунок балконів'!$N$4+K20*'розрахунок балконів'!$N$5</f>
        <v>1793.6</v>
      </c>
      <c r="M20" s="219">
        <f t="shared" si="2"/>
        <v>0</v>
      </c>
      <c r="N20" s="180">
        <f>IF(F20,L20*'розрахунок балконів'!$E$13,0)</f>
        <v>2292.620910486577</v>
      </c>
      <c r="O20" s="180">
        <f>G20*'розрахунок квадрату стяжки'!$M$3</f>
        <v>2241.6903595239373</v>
      </c>
      <c r="P20" s="180">
        <f t="shared" si="3"/>
        <v>4534.3112700105139</v>
      </c>
      <c r="Q20" s="176">
        <v>4562</v>
      </c>
      <c r="R20" s="180">
        <f t="shared" si="0"/>
        <v>27.688729989486092</v>
      </c>
    </row>
    <row r="21" spans="1:18" ht="24">
      <c r="A21" s="248"/>
      <c r="B21" s="245"/>
      <c r="C21" s="217" t="s">
        <v>50</v>
      </c>
      <c r="D21" s="218">
        <v>58.4</v>
      </c>
      <c r="E21" s="219"/>
      <c r="F21" s="219">
        <v>1</v>
      </c>
      <c r="G21" s="219">
        <f t="shared" si="1"/>
        <v>58.4</v>
      </c>
      <c r="H21" s="236">
        <v>1</v>
      </c>
      <c r="I21" s="237">
        <v>0</v>
      </c>
      <c r="J21" s="237">
        <v>1</v>
      </c>
      <c r="K21" s="236">
        <v>0</v>
      </c>
      <c r="L21" s="220">
        <f>H21*'розрахунок балконів'!$N$2+I21*'розрахунок балконів'!$N$3+J21*'розрахунок балконів'!$N$4+K21*'розрахунок балконів'!$N$5</f>
        <v>1793.6</v>
      </c>
      <c r="M21" s="219">
        <f t="shared" si="2"/>
        <v>0</v>
      </c>
      <c r="N21" s="180">
        <f>IF(F21,L21*'розрахунок балконів'!$E$13,0)</f>
        <v>2292.620910486577</v>
      </c>
      <c r="O21" s="180">
        <f>G21*'розрахунок квадрату стяжки'!$M$3</f>
        <v>2241.6903595239373</v>
      </c>
      <c r="P21" s="180">
        <f t="shared" si="3"/>
        <v>4534.3112700105139</v>
      </c>
      <c r="Q21" s="176">
        <v>4563</v>
      </c>
      <c r="R21" s="180">
        <f t="shared" si="0"/>
        <v>28.688729989486092</v>
      </c>
    </row>
    <row r="22" spans="1:18">
      <c r="A22" s="248"/>
      <c r="B22" s="246"/>
      <c r="C22" s="217" t="s">
        <v>51</v>
      </c>
      <c r="D22" s="218">
        <v>73.83</v>
      </c>
      <c r="E22" s="219">
        <v>2.5</v>
      </c>
      <c r="F22" s="219">
        <v>1</v>
      </c>
      <c r="G22" s="219">
        <f t="shared" si="1"/>
        <v>76.33</v>
      </c>
      <c r="H22" s="220">
        <v>2</v>
      </c>
      <c r="I22" s="221">
        <v>0</v>
      </c>
      <c r="J22" s="221">
        <v>1</v>
      </c>
      <c r="K22" s="220">
        <v>0</v>
      </c>
      <c r="L22" s="220">
        <f>H22*'розрахунок балконів'!$N$2+I22*'розрахунок балконів'!$N$3+J22*'розрахунок балконів'!$N$4+K22*'розрахунок балконів'!$N$5</f>
        <v>3047.6</v>
      </c>
      <c r="M22" s="219">
        <f t="shared" si="2"/>
        <v>0</v>
      </c>
      <c r="N22" s="180">
        <f>IF(F22,L22*'розрахунок балконів'!$E$13,0)</f>
        <v>3895.5126487504972</v>
      </c>
      <c r="O22" s="180">
        <f>G22*'розрахунок квадрату стяжки'!$M$3</f>
        <v>2929.9353620284614</v>
      </c>
      <c r="P22" s="180">
        <f t="shared" si="3"/>
        <v>6825.4480107789586</v>
      </c>
      <c r="Q22" s="176">
        <v>7500</v>
      </c>
      <c r="R22" s="180">
        <f t="shared" si="0"/>
        <v>674.55198922104137</v>
      </c>
    </row>
    <row r="23" spans="1:18" ht="24">
      <c r="A23" s="248"/>
      <c r="B23" s="244">
        <v>7</v>
      </c>
      <c r="C23" s="181" t="s">
        <v>52</v>
      </c>
      <c r="D23" s="182">
        <v>73.83</v>
      </c>
      <c r="E23" s="183"/>
      <c r="F23" s="183">
        <v>1</v>
      </c>
      <c r="G23" s="183">
        <f t="shared" si="1"/>
        <v>73.83</v>
      </c>
      <c r="H23" s="184">
        <v>2</v>
      </c>
      <c r="I23" s="185">
        <v>0</v>
      </c>
      <c r="J23" s="185">
        <v>1</v>
      </c>
      <c r="K23" s="184">
        <v>0</v>
      </c>
      <c r="L23" s="184">
        <f>H23*'розрахунок балконів'!$N$2+I23*'розрахунок балконів'!$N$3+J23*'розрахунок балконів'!$N$4+K23*'розрахунок балконів'!$N$5</f>
        <v>3047.6</v>
      </c>
      <c r="M23" s="183">
        <f t="shared" si="2"/>
        <v>0</v>
      </c>
      <c r="N23" s="186">
        <f>IF(F23,L23*'розрахунок балконів'!$E$13,0)</f>
        <v>3895.5126487504972</v>
      </c>
      <c r="O23" s="186">
        <f>G23*'розрахунок квадрату стяжки'!$M$3</f>
        <v>2833.9725897885669</v>
      </c>
      <c r="P23" s="186">
        <f t="shared" si="3"/>
        <v>6729.4852385390641</v>
      </c>
      <c r="Q23" s="102">
        <v>3684</v>
      </c>
      <c r="R23" s="186">
        <f>Q23-P23</f>
        <v>-3045.4852385390641</v>
      </c>
    </row>
    <row r="24" spans="1:18">
      <c r="A24" s="248"/>
      <c r="B24" s="245"/>
      <c r="C24" s="217" t="s">
        <v>69</v>
      </c>
      <c r="D24" s="218">
        <v>58.4</v>
      </c>
      <c r="E24" s="219">
        <v>2.5</v>
      </c>
      <c r="F24" s="219">
        <v>1</v>
      </c>
      <c r="G24" s="219">
        <f t="shared" si="1"/>
        <v>60.9</v>
      </c>
      <c r="H24" s="220">
        <v>1</v>
      </c>
      <c r="I24" s="221">
        <v>0</v>
      </c>
      <c r="J24" s="221">
        <v>1</v>
      </c>
      <c r="K24" s="220">
        <v>0</v>
      </c>
      <c r="L24" s="220">
        <f>H24*'розрахунок балконів'!$N$2+I24*'розрахунок балконів'!$N$3+J24*'розрахунок балконів'!$N$4+K24*'розрахунок балконів'!$N$5</f>
        <v>1793.6</v>
      </c>
      <c r="M24" s="219">
        <f t="shared" si="2"/>
        <v>0</v>
      </c>
      <c r="N24" s="180">
        <f>IF(F24,L24*'розрахунок балконів'!$E$13,0)</f>
        <v>2292.620910486577</v>
      </c>
      <c r="O24" s="180">
        <f>G24*'розрахунок квадрату стяжки'!$M$3</f>
        <v>2337.6531317638319</v>
      </c>
      <c r="P24" s="180">
        <f t="shared" si="3"/>
        <v>4630.2740422504085</v>
      </c>
      <c r="Q24" s="176">
        <v>5137</v>
      </c>
      <c r="R24" s="180">
        <f t="shared" si="0"/>
        <v>506.72595774959154</v>
      </c>
    </row>
    <row r="25" spans="1:18" ht="24">
      <c r="A25" s="248"/>
      <c r="B25" s="245"/>
      <c r="C25" s="181" t="s">
        <v>70</v>
      </c>
      <c r="D25" s="182">
        <v>58.4</v>
      </c>
      <c r="E25" s="183"/>
      <c r="F25" s="183">
        <v>1</v>
      </c>
      <c r="G25" s="183">
        <f t="shared" si="1"/>
        <v>58.4</v>
      </c>
      <c r="H25" s="191">
        <v>1</v>
      </c>
      <c r="I25" s="192">
        <v>0</v>
      </c>
      <c r="J25" s="192">
        <v>1</v>
      </c>
      <c r="K25" s="191">
        <v>0</v>
      </c>
      <c r="L25" s="184">
        <f>H25*'розрахунок балконів'!$N$2+I25*'розрахунок балконів'!$N$3+J25*'розрахунок балконів'!$N$4+K25*'розрахунок балконів'!$N$5</f>
        <v>1793.6</v>
      </c>
      <c r="M25" s="183">
        <f t="shared" si="2"/>
        <v>0</v>
      </c>
      <c r="N25" s="186">
        <f>IF(F25,L25*'розрахунок балконів'!$E$13,0)</f>
        <v>2292.620910486577</v>
      </c>
      <c r="O25" s="186">
        <f>G25*'розрахунок квадрату стяжки'!$M$3</f>
        <v>2241.6903595239373</v>
      </c>
      <c r="P25" s="186">
        <f t="shared" si="3"/>
        <v>4534.3112700105139</v>
      </c>
      <c r="Q25" s="102">
        <v>2134</v>
      </c>
      <c r="R25" s="186">
        <f t="shared" si="0"/>
        <v>-2400.3112700105139</v>
      </c>
    </row>
    <row r="26" spans="1:18" ht="24">
      <c r="A26" s="248"/>
      <c r="B26" s="246"/>
      <c r="C26" s="152" t="s">
        <v>71</v>
      </c>
      <c r="D26" s="153">
        <v>73.83</v>
      </c>
      <c r="E26" s="154"/>
      <c r="F26" s="155">
        <v>1</v>
      </c>
      <c r="G26" s="154">
        <f t="shared" si="1"/>
        <v>73.83</v>
      </c>
      <c r="H26" s="143">
        <v>2</v>
      </c>
      <c r="I26" s="156">
        <v>0</v>
      </c>
      <c r="J26" s="156">
        <v>1</v>
      </c>
      <c r="K26" s="143">
        <v>0</v>
      </c>
      <c r="L26" s="143">
        <f>H26*'розрахунок балконів'!$N$2+I26*'розрахунок балконів'!$N$3+J26*'розрахунок балконів'!$N$4+K26*'розрахунок балконів'!$N$5</f>
        <v>3047.6</v>
      </c>
      <c r="M26" s="154">
        <f t="shared" si="2"/>
        <v>0</v>
      </c>
      <c r="N26" s="121">
        <f>IF(F26,L26*'розрахунок балконів'!$E$13,0)</f>
        <v>3895.5126487504972</v>
      </c>
      <c r="O26" s="121">
        <f>G26*'розрахунок квадрату стяжки'!$M$3</f>
        <v>2833.9725897885669</v>
      </c>
      <c r="P26" s="121">
        <f t="shared" si="3"/>
        <v>6729.4852385390641</v>
      </c>
      <c r="Q26" s="77">
        <v>0</v>
      </c>
      <c r="R26" s="121">
        <f t="shared" si="0"/>
        <v>-6729.4852385390641</v>
      </c>
    </row>
    <row r="27" spans="1:18">
      <c r="A27" s="248"/>
      <c r="B27" s="244">
        <v>8</v>
      </c>
      <c r="C27" s="147" t="s">
        <v>72</v>
      </c>
      <c r="D27" s="148">
        <v>73.83</v>
      </c>
      <c r="E27" s="149"/>
      <c r="F27" s="149">
        <v>0</v>
      </c>
      <c r="G27" s="149">
        <f t="shared" si="1"/>
        <v>0</v>
      </c>
      <c r="H27" s="150">
        <v>2</v>
      </c>
      <c r="I27" s="151">
        <v>0</v>
      </c>
      <c r="J27" s="151">
        <v>1</v>
      </c>
      <c r="K27" s="150">
        <v>0</v>
      </c>
      <c r="L27" s="150">
        <f>H27*'розрахунок балконів'!$N$2+I27*'розрахунок балконів'!$N$3+J27*'розрахунок балконів'!$N$4+K27*'розрахунок балконів'!$N$5</f>
        <v>3047.6</v>
      </c>
      <c r="M27" s="149">
        <f t="shared" si="2"/>
        <v>3047.6</v>
      </c>
      <c r="N27" s="122">
        <f>IF(F27,L27*'розрахунок балконів'!$E$13,0)</f>
        <v>0</v>
      </c>
      <c r="O27" s="122">
        <f>G27*'розрахунок квадрату стяжки'!$M$3</f>
        <v>0</v>
      </c>
      <c r="P27" s="122">
        <f t="shared" si="3"/>
        <v>0</v>
      </c>
      <c r="Q27" s="90">
        <v>0</v>
      </c>
      <c r="R27" s="122">
        <f t="shared" si="0"/>
        <v>0</v>
      </c>
    </row>
    <row r="28" spans="1:18" ht="24">
      <c r="A28" s="248"/>
      <c r="B28" s="245"/>
      <c r="C28" s="152" t="s">
        <v>73</v>
      </c>
      <c r="D28" s="153">
        <v>58.4</v>
      </c>
      <c r="E28" s="154">
        <v>2.5</v>
      </c>
      <c r="F28" s="155">
        <v>1</v>
      </c>
      <c r="G28" s="154">
        <f t="shared" si="1"/>
        <v>60.9</v>
      </c>
      <c r="H28" s="143">
        <v>1</v>
      </c>
      <c r="I28" s="156">
        <v>0</v>
      </c>
      <c r="J28" s="156">
        <v>1</v>
      </c>
      <c r="K28" s="143">
        <v>0</v>
      </c>
      <c r="L28" s="143">
        <f>H28*'розрахунок балконів'!$N$2+I28*'розрахунок балконів'!$N$3+J28*'розрахунок балконів'!$N$4+K28*'розрахунок балконів'!$N$5</f>
        <v>1793.6</v>
      </c>
      <c r="M28" s="154">
        <f t="shared" si="2"/>
        <v>0</v>
      </c>
      <c r="N28" s="121">
        <f>IF(F28,L28*'розрахунок балконів'!$E$13,0)</f>
        <v>2292.620910486577</v>
      </c>
      <c r="O28" s="121">
        <f>G28*'розрахунок квадрату стяжки'!$M$3</f>
        <v>2337.6531317638319</v>
      </c>
      <c r="P28" s="121">
        <f t="shared" si="3"/>
        <v>4630.2740422504085</v>
      </c>
      <c r="Q28" s="77">
        <v>0</v>
      </c>
      <c r="R28" s="121">
        <f t="shared" si="0"/>
        <v>-4630.2740422504085</v>
      </c>
    </row>
    <row r="29" spans="1:18" ht="24">
      <c r="A29" s="248"/>
      <c r="B29" s="245"/>
      <c r="C29" s="217" t="s">
        <v>74</v>
      </c>
      <c r="D29" s="218">
        <v>58.4</v>
      </c>
      <c r="E29" s="219"/>
      <c r="F29" s="219">
        <v>1</v>
      </c>
      <c r="G29" s="219">
        <f t="shared" si="1"/>
        <v>58.4</v>
      </c>
      <c r="H29" s="236">
        <v>1</v>
      </c>
      <c r="I29" s="237">
        <v>0</v>
      </c>
      <c r="J29" s="237">
        <v>1</v>
      </c>
      <c r="K29" s="236">
        <v>0</v>
      </c>
      <c r="L29" s="220">
        <f>H29*'розрахунок балконів'!$N$2+I29*'розрахунок балконів'!$N$3+J29*'розрахунок балконів'!$N$4+K29*'розрахунок балконів'!$N$5</f>
        <v>1793.6</v>
      </c>
      <c r="M29" s="219">
        <f t="shared" si="2"/>
        <v>0</v>
      </c>
      <c r="N29" s="180">
        <f>IF(F29,L29*'розрахунок балконів'!$E$13,0)</f>
        <v>2292.620910486577</v>
      </c>
      <c r="O29" s="180">
        <f>G29*'розрахунок квадрату стяжки'!$M$3</f>
        <v>2241.6903595239373</v>
      </c>
      <c r="P29" s="180">
        <f t="shared" si="3"/>
        <v>4534.3112700105139</v>
      </c>
      <c r="Q29" s="176">
        <v>5025</v>
      </c>
      <c r="R29" s="180">
        <f t="shared" si="0"/>
        <v>490.68872998948609</v>
      </c>
    </row>
    <row r="30" spans="1:18">
      <c r="A30" s="248"/>
      <c r="B30" s="246"/>
      <c r="C30" s="152" t="s">
        <v>75</v>
      </c>
      <c r="D30" s="153">
        <v>73.83</v>
      </c>
      <c r="E30" s="154"/>
      <c r="F30" s="155">
        <v>1</v>
      </c>
      <c r="G30" s="154">
        <f t="shared" si="1"/>
        <v>73.83</v>
      </c>
      <c r="H30" s="143">
        <v>2</v>
      </c>
      <c r="I30" s="156">
        <v>0</v>
      </c>
      <c r="J30" s="156">
        <v>1</v>
      </c>
      <c r="K30" s="143">
        <v>0</v>
      </c>
      <c r="L30" s="143">
        <f>H30*'розрахунок балконів'!$N$2+I30*'розрахунок балконів'!$N$3+J30*'розрахунок балконів'!$N$4+K30*'розрахунок балконів'!$N$5</f>
        <v>3047.6</v>
      </c>
      <c r="M30" s="154">
        <f t="shared" si="2"/>
        <v>0</v>
      </c>
      <c r="N30" s="121">
        <f>IF(F30,L30*'розрахунок балконів'!$E$13,0)</f>
        <v>3895.5126487504972</v>
      </c>
      <c r="O30" s="121">
        <f>G30*'розрахунок квадрату стяжки'!$M$3</f>
        <v>2833.9725897885669</v>
      </c>
      <c r="P30" s="121">
        <f t="shared" si="3"/>
        <v>6729.4852385390641</v>
      </c>
      <c r="Q30" s="77">
        <v>0</v>
      </c>
      <c r="R30" s="121">
        <f t="shared" si="0"/>
        <v>-6729.4852385390641</v>
      </c>
    </row>
    <row r="31" spans="1:18">
      <c r="A31" s="248"/>
      <c r="B31" s="244">
        <v>9</v>
      </c>
      <c r="C31" s="217" t="s">
        <v>53</v>
      </c>
      <c r="D31" s="218">
        <v>73.83</v>
      </c>
      <c r="E31" s="219"/>
      <c r="F31" s="219">
        <v>1</v>
      </c>
      <c r="G31" s="219">
        <f t="shared" si="1"/>
        <v>73.83</v>
      </c>
      <c r="H31" s="220">
        <v>2</v>
      </c>
      <c r="I31" s="221">
        <v>0</v>
      </c>
      <c r="J31" s="221">
        <v>1</v>
      </c>
      <c r="K31" s="220">
        <v>0</v>
      </c>
      <c r="L31" s="220">
        <f>H31*'розрахунок балконів'!$N$2+I31*'розрахунок балконів'!$N$3+J31*'розрахунок балконів'!$N$4+K31*'розрахунок балконів'!$N$5</f>
        <v>3047.6</v>
      </c>
      <c r="M31" s="219">
        <f t="shared" si="2"/>
        <v>0</v>
      </c>
      <c r="N31" s="180">
        <f>IF(F31,L31*'розрахунок балконів'!$E$13,0)</f>
        <v>3895.5126487504972</v>
      </c>
      <c r="O31" s="180">
        <f>G31*'розрахунок квадрату стяжки'!$M$3</f>
        <v>2833.9725897885669</v>
      </c>
      <c r="P31" s="180">
        <f t="shared" si="3"/>
        <v>6729.4852385390641</v>
      </c>
      <c r="Q31" s="176">
        <v>6770</v>
      </c>
      <c r="R31" s="180">
        <f t="shared" si="0"/>
        <v>40.514761460935915</v>
      </c>
    </row>
    <row r="32" spans="1:18">
      <c r="A32" s="248"/>
      <c r="B32" s="245"/>
      <c r="C32" s="217" t="s">
        <v>76</v>
      </c>
      <c r="D32" s="218">
        <v>58.4</v>
      </c>
      <c r="E32" s="219"/>
      <c r="F32" s="219">
        <v>1</v>
      </c>
      <c r="G32" s="219">
        <f t="shared" si="1"/>
        <v>58.4</v>
      </c>
      <c r="H32" s="220">
        <v>1</v>
      </c>
      <c r="I32" s="221">
        <v>0</v>
      </c>
      <c r="J32" s="221">
        <v>1</v>
      </c>
      <c r="K32" s="220">
        <v>0</v>
      </c>
      <c r="L32" s="220">
        <f>H32*'розрахунок балконів'!$N$2+I32*'розрахунок балконів'!$N$3+J32*'розрахунок балконів'!$N$4+K32*'розрахунок балконів'!$N$5</f>
        <v>1793.6</v>
      </c>
      <c r="M32" s="219">
        <f t="shared" si="2"/>
        <v>0</v>
      </c>
      <c r="N32" s="180">
        <f>IF(F32,L32*'розрахунок балконів'!$E$13,0)</f>
        <v>2292.620910486577</v>
      </c>
      <c r="O32" s="180">
        <f>G32*'розрахунок квадрату стяжки'!$M$3</f>
        <v>2241.6903595239373</v>
      </c>
      <c r="P32" s="180">
        <f t="shared" si="3"/>
        <v>4534.3112700105139</v>
      </c>
      <c r="Q32" s="176">
        <v>5025</v>
      </c>
      <c r="R32" s="180">
        <f t="shared" si="0"/>
        <v>490.68872998948609</v>
      </c>
    </row>
    <row r="33" spans="1:19">
      <c r="A33" s="248"/>
      <c r="B33" s="245"/>
      <c r="C33" s="217" t="s">
        <v>77</v>
      </c>
      <c r="D33" s="218">
        <v>58.4</v>
      </c>
      <c r="E33" s="219"/>
      <c r="F33" s="219">
        <v>1</v>
      </c>
      <c r="G33" s="219">
        <f t="shared" si="1"/>
        <v>58.4</v>
      </c>
      <c r="H33" s="236">
        <v>1</v>
      </c>
      <c r="I33" s="237">
        <v>0</v>
      </c>
      <c r="J33" s="237">
        <v>1</v>
      </c>
      <c r="K33" s="236">
        <v>0</v>
      </c>
      <c r="L33" s="220">
        <f>H33*'розрахунок балконів'!$N$2+I33*'розрахунок балконів'!$N$3+J33*'розрахунок балконів'!$N$4+K33*'розрахунок балконів'!$N$5</f>
        <v>1793.6</v>
      </c>
      <c r="M33" s="219">
        <f t="shared" si="2"/>
        <v>0</v>
      </c>
      <c r="N33" s="180">
        <f>IF(F33,L33*'розрахунок балконів'!$E$13,0)</f>
        <v>2292.620910486577</v>
      </c>
      <c r="O33" s="180">
        <f>G33*'розрахунок квадрату стяжки'!$M$3</f>
        <v>2241.6903595239373</v>
      </c>
      <c r="P33" s="180">
        <f t="shared" si="3"/>
        <v>4534.3112700105139</v>
      </c>
      <c r="Q33" s="219">
        <v>5024</v>
      </c>
      <c r="R33" s="180">
        <f t="shared" si="0"/>
        <v>489.68872998948609</v>
      </c>
    </row>
    <row r="34" spans="1:19">
      <c r="A34" s="248"/>
      <c r="B34" s="246"/>
      <c r="C34" s="152" t="s">
        <v>78</v>
      </c>
      <c r="D34" s="153">
        <v>73.83</v>
      </c>
      <c r="E34" s="154"/>
      <c r="F34" s="155">
        <v>1</v>
      </c>
      <c r="G34" s="154">
        <f t="shared" si="1"/>
        <v>73.83</v>
      </c>
      <c r="H34" s="143">
        <v>2</v>
      </c>
      <c r="I34" s="156">
        <v>0</v>
      </c>
      <c r="J34" s="156">
        <v>1</v>
      </c>
      <c r="K34" s="143">
        <v>0</v>
      </c>
      <c r="L34" s="143">
        <f>H34*'розрахунок балконів'!$N$2+I34*'розрахунок балконів'!$N$3+J34*'розрахунок балконів'!$N$4+K34*'розрахунок балконів'!$N$5</f>
        <v>3047.6</v>
      </c>
      <c r="M34" s="154">
        <f t="shared" si="2"/>
        <v>0</v>
      </c>
      <c r="N34" s="121">
        <f>IF(F34,L34*'розрахунок балконів'!$E$13,0)</f>
        <v>3895.5126487504972</v>
      </c>
      <c r="O34" s="121">
        <f>G34*'розрахунок квадрату стяжки'!$M$3</f>
        <v>2833.9725897885669</v>
      </c>
      <c r="P34" s="121">
        <f t="shared" si="3"/>
        <v>6729.4852385390641</v>
      </c>
      <c r="Q34" s="155">
        <v>0</v>
      </c>
      <c r="R34" s="121">
        <f t="shared" si="0"/>
        <v>-6729.4852385390641</v>
      </c>
    </row>
    <row r="35" spans="1:19" ht="24">
      <c r="A35" s="248"/>
      <c r="B35" s="244">
        <v>10</v>
      </c>
      <c r="C35" s="181" t="s">
        <v>54</v>
      </c>
      <c r="D35" s="182">
        <v>73.83</v>
      </c>
      <c r="E35" s="183">
        <v>2.5</v>
      </c>
      <c r="F35" s="183">
        <v>1</v>
      </c>
      <c r="G35" s="183">
        <f t="shared" si="1"/>
        <v>76.33</v>
      </c>
      <c r="H35" s="184">
        <v>2</v>
      </c>
      <c r="I35" s="185">
        <v>0</v>
      </c>
      <c r="J35" s="185">
        <v>0</v>
      </c>
      <c r="K35" s="184">
        <v>0</v>
      </c>
      <c r="L35" s="184">
        <f>H35*'розрахунок балконів'!$N$2+I35*'розрахунок балконів'!$N$3+J35*'розрахунок балконів'!$N$4+K35*'розрахунок балконів'!$N$5</f>
        <v>2508</v>
      </c>
      <c r="M35" s="183">
        <f t="shared" si="2"/>
        <v>0</v>
      </c>
      <c r="N35" s="186">
        <f>IF(F35,L35*'розрахунок балконів'!$E$13,0)</f>
        <v>3205.7834765278408</v>
      </c>
      <c r="O35" s="186">
        <f>G35*'розрахунок квадрату стяжки'!$M$3</f>
        <v>2929.9353620284614</v>
      </c>
      <c r="P35" s="186">
        <f>(N35+O35)*0.7</f>
        <v>4295.003186989411</v>
      </c>
      <c r="Q35" s="183">
        <v>3100</v>
      </c>
      <c r="R35" s="186">
        <f t="shared" si="0"/>
        <v>-1195.003186989411</v>
      </c>
      <c r="S35" s="18">
        <v>0.7</v>
      </c>
    </row>
    <row r="36" spans="1:19">
      <c r="A36" s="248"/>
      <c r="B36" s="245"/>
      <c r="C36" s="147" t="s">
        <v>268</v>
      </c>
      <c r="D36" s="148">
        <v>58.4</v>
      </c>
      <c r="E36" s="149"/>
      <c r="F36" s="149">
        <v>0</v>
      </c>
      <c r="G36" s="167">
        <f t="shared" si="1"/>
        <v>0</v>
      </c>
      <c r="H36" s="150">
        <v>1</v>
      </c>
      <c r="I36" s="151">
        <v>0</v>
      </c>
      <c r="J36" s="151">
        <v>0</v>
      </c>
      <c r="K36" s="150">
        <v>0</v>
      </c>
      <c r="L36" s="150">
        <f>H36*'розрахунок балконів'!$N$2+I36*'розрахунок балконів'!$N$3+J36*'розрахунок балконів'!$N$4+K36*'розрахунок балконів'!$N$5</f>
        <v>1254</v>
      </c>
      <c r="M36" s="149">
        <f t="shared" si="2"/>
        <v>1254</v>
      </c>
      <c r="N36" s="122">
        <f>IF(F36,L36*'розрахунок балконів'!$E$13,0)</f>
        <v>0</v>
      </c>
      <c r="O36" s="122">
        <f>G36*'розрахунок квадрату стяжки'!$M$3</f>
        <v>0</v>
      </c>
      <c r="P36" s="122">
        <f t="shared" ref="P36:P38" si="4">(N36+O36)*0.7</f>
        <v>0</v>
      </c>
      <c r="Q36" s="149">
        <v>0</v>
      </c>
      <c r="R36" s="122">
        <f t="shared" si="0"/>
        <v>0</v>
      </c>
      <c r="S36" s="18">
        <v>0.7</v>
      </c>
    </row>
    <row r="37" spans="1:19">
      <c r="A37" s="248"/>
      <c r="B37" s="245"/>
      <c r="C37" s="147" t="s">
        <v>79</v>
      </c>
      <c r="D37" s="148">
        <v>58.4</v>
      </c>
      <c r="E37" s="149"/>
      <c r="F37" s="149">
        <v>0</v>
      </c>
      <c r="G37" s="149">
        <f t="shared" si="1"/>
        <v>0</v>
      </c>
      <c r="H37" s="159">
        <v>1</v>
      </c>
      <c r="I37" s="160">
        <v>0</v>
      </c>
      <c r="J37" s="160">
        <v>0</v>
      </c>
      <c r="K37" s="159">
        <v>0</v>
      </c>
      <c r="L37" s="150">
        <f>H37*'розрахунок балконів'!$N$2+I37*'розрахунок балконів'!$N$3+J37*'розрахунок балконів'!$N$4+K37*'розрахунок балконів'!$N$5</f>
        <v>1254</v>
      </c>
      <c r="M37" s="149">
        <f t="shared" si="2"/>
        <v>1254</v>
      </c>
      <c r="N37" s="122">
        <f>IF(F37,L37*'розрахунок балконів'!$E$13,0)</f>
        <v>0</v>
      </c>
      <c r="O37" s="122">
        <f>G37*'розрахунок квадрату стяжки'!$M$3</f>
        <v>0</v>
      </c>
      <c r="P37" s="122">
        <f t="shared" si="4"/>
        <v>0</v>
      </c>
      <c r="Q37" s="149">
        <v>0</v>
      </c>
      <c r="R37" s="122">
        <f t="shared" si="0"/>
        <v>0</v>
      </c>
      <c r="S37" s="18">
        <v>0.7</v>
      </c>
    </row>
    <row r="38" spans="1:19">
      <c r="A38" s="249"/>
      <c r="B38" s="246"/>
      <c r="C38" s="217" t="s">
        <v>80</v>
      </c>
      <c r="D38" s="218">
        <v>73.83</v>
      </c>
      <c r="E38" s="219"/>
      <c r="F38" s="219">
        <v>1</v>
      </c>
      <c r="G38" s="219">
        <f t="shared" si="1"/>
        <v>73.83</v>
      </c>
      <c r="H38" s="220">
        <v>2</v>
      </c>
      <c r="I38" s="221">
        <v>0</v>
      </c>
      <c r="J38" s="221">
        <v>0</v>
      </c>
      <c r="K38" s="220">
        <v>0</v>
      </c>
      <c r="L38" s="220">
        <f>H38*'розрахунок балконів'!$N$2+I38*'розрахунок балконів'!$N$3+J38*'розрахунок балконів'!$N$4+K38*'розрахунок балконів'!$N$5</f>
        <v>2508</v>
      </c>
      <c r="M38" s="219">
        <f t="shared" si="2"/>
        <v>0</v>
      </c>
      <c r="N38" s="180">
        <f>IF(F38,L38*'розрахунок балконів'!$E$13,0)</f>
        <v>3205.7834765278408</v>
      </c>
      <c r="O38" s="180">
        <f>G38*'розрахунок квадрату стяжки'!$M$3</f>
        <v>2833.9725897885669</v>
      </c>
      <c r="P38" s="180">
        <f t="shared" si="4"/>
        <v>4227.8292464214855</v>
      </c>
      <c r="Q38" s="219">
        <v>4277</v>
      </c>
      <c r="R38" s="180">
        <f t="shared" si="0"/>
        <v>49.17075357851445</v>
      </c>
      <c r="S38" s="18">
        <v>0.7</v>
      </c>
    </row>
    <row r="39" spans="1:19">
      <c r="A39" s="140"/>
      <c r="B39" s="140"/>
      <c r="C39" s="140"/>
      <c r="D39" s="140">
        <f>SUM(D3:D38)</f>
        <v>2386.7200000000003</v>
      </c>
      <c r="E39" s="140"/>
      <c r="F39" s="140"/>
      <c r="G39" s="161">
        <f>SUM(G3:G38)</f>
        <v>2004.93</v>
      </c>
      <c r="H39" s="140">
        <f t="shared" ref="H39:M39" si="5">SUM(H3:H38)</f>
        <v>54</v>
      </c>
      <c r="I39" s="140">
        <f t="shared" si="5"/>
        <v>0</v>
      </c>
      <c r="J39" s="140">
        <f t="shared" si="5"/>
        <v>32</v>
      </c>
      <c r="K39" s="140">
        <f t="shared" si="5"/>
        <v>0</v>
      </c>
      <c r="L39" s="140">
        <f t="shared" si="5"/>
        <v>84983.2</v>
      </c>
      <c r="M39" s="140">
        <f t="shared" si="5"/>
        <v>13444.4</v>
      </c>
      <c r="N39" s="119">
        <f>SUM(N3:N38)</f>
        <v>91442.545044110797</v>
      </c>
      <c r="O39" s="119">
        <f>SUM(O3:O38)</f>
        <v>76959.456378772724</v>
      </c>
      <c r="P39" s="119">
        <f>SUM(P3:P38)</f>
        <v>164749.35895142169</v>
      </c>
      <c r="Q39" s="119">
        <f>SUM(Q3:Q38)</f>
        <v>84690</v>
      </c>
      <c r="R39" s="119">
        <f>SUM(R3:R38)</f>
        <v>-80059.358951421716</v>
      </c>
    </row>
  </sheetData>
  <mergeCells count="11">
    <mergeCell ref="A1:P1"/>
    <mergeCell ref="B27:B30"/>
    <mergeCell ref="B31:B34"/>
    <mergeCell ref="B35:B38"/>
    <mergeCell ref="A3:A38"/>
    <mergeCell ref="B3:B6"/>
    <mergeCell ref="B7:B10"/>
    <mergeCell ref="B11:B14"/>
    <mergeCell ref="B15:B18"/>
    <mergeCell ref="B19:B22"/>
    <mergeCell ref="B23:B26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A22" zoomScale="80" zoomScaleNormal="80" workbookViewId="0">
      <selection activeCell="C8" sqref="C8:R8"/>
    </sheetView>
  </sheetViews>
  <sheetFormatPr defaultRowHeight="15"/>
  <cols>
    <col min="3" max="3" width="40.42578125" customWidth="1"/>
    <col min="5" max="5" width="11.28515625" customWidth="1"/>
    <col min="6" max="6" width="6.7109375" bestFit="1" customWidth="1"/>
    <col min="8" max="8" width="11.28515625" customWidth="1"/>
    <col min="9" max="9" width="12" customWidth="1"/>
    <col min="10" max="10" width="11.140625" customWidth="1"/>
    <col min="11" max="11" width="9.140625" customWidth="1"/>
    <col min="13" max="13" width="12.140625" customWidth="1"/>
    <col min="14" max="15" width="14" customWidth="1"/>
    <col min="16" max="16" width="11.5703125" customWidth="1"/>
    <col min="18" max="18" width="10.7109375" customWidth="1"/>
  </cols>
  <sheetData>
    <row r="1" spans="1:18">
      <c r="A1" s="250" t="s">
        <v>219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2"/>
    </row>
    <row r="2" spans="1:18" ht="57.75">
      <c r="A2" s="138" t="s">
        <v>81</v>
      </c>
      <c r="B2" s="138" t="s">
        <v>82</v>
      </c>
      <c r="C2" s="138" t="s">
        <v>83</v>
      </c>
      <c r="D2" s="138" t="s">
        <v>84</v>
      </c>
      <c r="E2" s="31" t="s">
        <v>261</v>
      </c>
      <c r="F2" s="57" t="s">
        <v>240</v>
      </c>
      <c r="G2" s="79" t="s">
        <v>241</v>
      </c>
      <c r="H2" s="14" t="s">
        <v>220</v>
      </c>
      <c r="I2" s="14" t="s">
        <v>221</v>
      </c>
      <c r="J2" s="14" t="s">
        <v>222</v>
      </c>
      <c r="K2" s="14" t="s">
        <v>223</v>
      </c>
      <c r="L2" s="14" t="s">
        <v>201</v>
      </c>
      <c r="M2" s="144" t="s">
        <v>264</v>
      </c>
      <c r="N2" s="144" t="s">
        <v>257</v>
      </c>
      <c r="O2" s="144" t="s">
        <v>262</v>
      </c>
      <c r="P2" s="144" t="s">
        <v>259</v>
      </c>
      <c r="Q2" s="57" t="s">
        <v>281</v>
      </c>
      <c r="R2" s="77" t="s">
        <v>282</v>
      </c>
    </row>
    <row r="3" spans="1:18" ht="15.75">
      <c r="A3" s="254">
        <v>3</v>
      </c>
      <c r="B3" s="256">
        <v>2</v>
      </c>
      <c r="C3" s="211" t="s">
        <v>85</v>
      </c>
      <c r="D3" s="212">
        <v>36.57</v>
      </c>
      <c r="E3" s="174">
        <v>2.5</v>
      </c>
      <c r="F3" s="176">
        <v>1</v>
      </c>
      <c r="G3" s="176">
        <f>(D3+E3)*F3</f>
        <v>39.07</v>
      </c>
      <c r="H3" s="213">
        <v>1</v>
      </c>
      <c r="I3" s="211">
        <v>0</v>
      </c>
      <c r="J3" s="212">
        <v>0</v>
      </c>
      <c r="K3" s="214">
        <v>0</v>
      </c>
      <c r="L3" s="215">
        <f>H3*'розрахунок балконів'!$N$2+I3*'розрахунок балконів'!$N$3+J3*'розрахунок балконів'!$N$4+K3*'розрахунок балконів'!$N$5</f>
        <v>1254</v>
      </c>
      <c r="M3" s="176">
        <f>IF(F3,0,L3)</f>
        <v>0</v>
      </c>
      <c r="N3" s="180">
        <f>IF(F3,L3*'розрахунок балконів'!$E$13,0)</f>
        <v>1602.8917382639204</v>
      </c>
      <c r="O3" s="180">
        <f>G3*'розрахунок квадрату стяжки'!$M$3</f>
        <v>1499.7062045650725</v>
      </c>
      <c r="P3" s="180">
        <f>N3+O3</f>
        <v>3102.5979428289929</v>
      </c>
      <c r="Q3" s="176">
        <f>1550+1700</f>
        <v>3250</v>
      </c>
      <c r="R3" s="180">
        <f>Q3-P3</f>
        <v>147.40205717100707</v>
      </c>
    </row>
    <row r="4" spans="1:18" ht="15.75">
      <c r="A4" s="255"/>
      <c r="B4" s="257"/>
      <c r="C4" s="30" t="s">
        <v>86</v>
      </c>
      <c r="D4" s="31">
        <v>37.36</v>
      </c>
      <c r="E4" s="29"/>
      <c r="F4" s="77">
        <v>1</v>
      </c>
      <c r="G4" s="77">
        <f t="shared" ref="G4:G47" si="0">(D4+E4)*F4</f>
        <v>37.36</v>
      </c>
      <c r="H4" s="29">
        <v>1</v>
      </c>
      <c r="I4" s="30">
        <v>0</v>
      </c>
      <c r="J4" s="31">
        <v>0</v>
      </c>
      <c r="K4" s="16">
        <v>0</v>
      </c>
      <c r="L4" s="45">
        <f>H4*'розрахунок балконів'!$N$2+I4*'розрахунок балконів'!$N$3+J4*'розрахунок балконів'!$N$4+K4*'розрахунок балконів'!$N$5</f>
        <v>1254</v>
      </c>
      <c r="M4" s="88">
        <f t="shared" ref="M4:M47" si="1">IF(F4,0,L4)</f>
        <v>0</v>
      </c>
      <c r="N4" s="121">
        <f>IF(F4,L4*'розрахунок балконів'!$E$13,0)</f>
        <v>1602.8917382639204</v>
      </c>
      <c r="O4" s="121">
        <f>G4*'розрахунок квадрату стяжки'!$M$3</f>
        <v>1434.0676683529846</v>
      </c>
      <c r="P4" s="121">
        <f t="shared" ref="P4:P42" si="2">N4+O4</f>
        <v>3036.9594066169047</v>
      </c>
      <c r="Q4" s="77"/>
      <c r="R4" s="170">
        <f t="shared" ref="R4:R42" si="3">Q4-P4</f>
        <v>-3036.9594066169047</v>
      </c>
    </row>
    <row r="5" spans="1:18" ht="15.75">
      <c r="A5" s="255"/>
      <c r="B5" s="257"/>
      <c r="C5" s="103" t="s">
        <v>87</v>
      </c>
      <c r="D5" s="104">
        <v>58.27</v>
      </c>
      <c r="E5" s="105">
        <v>2.5</v>
      </c>
      <c r="F5" s="102">
        <v>1</v>
      </c>
      <c r="G5" s="102">
        <f t="shared" si="0"/>
        <v>60.77</v>
      </c>
      <c r="H5" s="105">
        <v>1</v>
      </c>
      <c r="I5" s="103">
        <v>0</v>
      </c>
      <c r="J5" s="104">
        <v>0</v>
      </c>
      <c r="K5" s="106">
        <v>0</v>
      </c>
      <c r="L5" s="107">
        <f>H5*'розрахунок балконів'!$N$2+I5*'розрахунок балконів'!$N$3+J5*'розрахунок балконів'!$N$4+K5*'розрахунок балконів'!$N$5</f>
        <v>1254</v>
      </c>
      <c r="M5" s="102">
        <f t="shared" si="1"/>
        <v>0</v>
      </c>
      <c r="N5" s="186">
        <f>IF(F5,L5*'розрахунок балконів'!$E$13,0)</f>
        <v>1602.8917382639204</v>
      </c>
      <c r="O5" s="186">
        <f>G5*'розрахунок квадрату стяжки'!$M$3</f>
        <v>2332.6630676073578</v>
      </c>
      <c r="P5" s="186">
        <f t="shared" si="2"/>
        <v>3935.5548058712784</v>
      </c>
      <c r="Q5" s="102">
        <v>1550</v>
      </c>
      <c r="R5" s="186">
        <f t="shared" si="3"/>
        <v>-2385.5548058712784</v>
      </c>
    </row>
    <row r="6" spans="1:18" ht="15.75">
      <c r="A6" s="255"/>
      <c r="B6" s="257"/>
      <c r="C6" s="30" t="s">
        <v>88</v>
      </c>
      <c r="D6" s="31">
        <v>65.040000000000006</v>
      </c>
      <c r="E6" s="29"/>
      <c r="F6" s="77">
        <v>1</v>
      </c>
      <c r="G6" s="77">
        <f t="shared" si="0"/>
        <v>65.040000000000006</v>
      </c>
      <c r="H6" s="29">
        <v>1</v>
      </c>
      <c r="I6" s="30">
        <v>0</v>
      </c>
      <c r="J6" s="31">
        <v>0</v>
      </c>
      <c r="K6" s="16">
        <v>1</v>
      </c>
      <c r="L6" s="45">
        <f>H6*'розрахунок балконів'!$N$2+I6*'розрахунок балконів'!$N$3+J6*'розрахунок балконів'!$N$4+K6*'розрахунок балконів'!$N$5</f>
        <v>2231.5</v>
      </c>
      <c r="M6" s="88">
        <f t="shared" si="1"/>
        <v>0</v>
      </c>
      <c r="N6" s="121">
        <f>IF(F6,L6*'розрахунок балконів'!$E$13,0)</f>
        <v>2852.3547958021836</v>
      </c>
      <c r="O6" s="121">
        <f>G6*'розрахунок квадрату стяжки'!$M$3</f>
        <v>2496.5674825930978</v>
      </c>
      <c r="P6" s="121">
        <f t="shared" si="2"/>
        <v>5348.922278395281</v>
      </c>
      <c r="Q6" s="77"/>
      <c r="R6" s="170">
        <f t="shared" si="3"/>
        <v>-5348.922278395281</v>
      </c>
    </row>
    <row r="7" spans="1:18" ht="15.75">
      <c r="A7" s="255"/>
      <c r="B7" s="257"/>
      <c r="C7" s="30" t="s">
        <v>89</v>
      </c>
      <c r="D7" s="31">
        <v>79.11</v>
      </c>
      <c r="E7" s="29">
        <v>2.5</v>
      </c>
      <c r="F7" s="77">
        <v>1</v>
      </c>
      <c r="G7" s="77">
        <f t="shared" si="0"/>
        <v>81.61</v>
      </c>
      <c r="H7" s="29">
        <v>1</v>
      </c>
      <c r="I7" s="30">
        <v>0</v>
      </c>
      <c r="J7" s="31">
        <v>0</v>
      </c>
      <c r="K7" s="16">
        <v>0</v>
      </c>
      <c r="L7" s="45">
        <f>H7*'розрахунок балконів'!$N$2+I7*'розрахунок балконів'!$N$3+J7*'розрахунок балконів'!$N$4+K7*'розрахунок балконів'!$N$5</f>
        <v>1254</v>
      </c>
      <c r="M7" s="88">
        <f t="shared" si="1"/>
        <v>0</v>
      </c>
      <c r="N7" s="121">
        <f>IF(F7,L7*'розрахунок балконів'!$E$13,0)</f>
        <v>1602.8917382639204</v>
      </c>
      <c r="O7" s="121">
        <f>G7*'розрахунок квадрату стяжки'!$M$3</f>
        <v>3132.6087369991187</v>
      </c>
      <c r="P7" s="121">
        <f t="shared" si="2"/>
        <v>4735.5004752630393</v>
      </c>
      <c r="Q7" s="77"/>
      <c r="R7" s="170">
        <f t="shared" si="3"/>
        <v>-4735.5004752630393</v>
      </c>
    </row>
    <row r="8" spans="1:18" ht="15.75">
      <c r="A8" s="255"/>
      <c r="B8" s="257">
        <v>3</v>
      </c>
      <c r="C8" s="222" t="s">
        <v>90</v>
      </c>
      <c r="D8" s="223">
        <v>36.57</v>
      </c>
      <c r="E8" s="174">
        <v>2.5</v>
      </c>
      <c r="F8" s="176">
        <v>1</v>
      </c>
      <c r="G8" s="176">
        <f t="shared" si="0"/>
        <v>39.07</v>
      </c>
      <c r="H8" s="213">
        <v>1</v>
      </c>
      <c r="I8" s="211">
        <v>0</v>
      </c>
      <c r="J8" s="212">
        <v>0</v>
      </c>
      <c r="K8" s="214">
        <v>0</v>
      </c>
      <c r="L8" s="215">
        <f>H8*'розрахунок балконів'!$N$2+I8*'розрахунок балконів'!$N$3+J8*'розрахунок балконів'!$N$4+K8*'розрахунок балконів'!$N$5</f>
        <v>1254</v>
      </c>
      <c r="M8" s="176">
        <f t="shared" si="1"/>
        <v>0</v>
      </c>
      <c r="N8" s="180">
        <f>IF(F8,L8*'розрахунок балконів'!$E$13,0)</f>
        <v>1602.8917382639204</v>
      </c>
      <c r="O8" s="180">
        <f>G8*'розрахунок квадрату стяжки'!$M$3</f>
        <v>1499.7062045650725</v>
      </c>
      <c r="P8" s="180">
        <f t="shared" si="2"/>
        <v>3102.5979428289929</v>
      </c>
      <c r="Q8" s="176">
        <f>1550+1571</f>
        <v>3121</v>
      </c>
      <c r="R8" s="180">
        <f t="shared" si="3"/>
        <v>18.402057171007073</v>
      </c>
    </row>
    <row r="9" spans="1:18" ht="15.75">
      <c r="A9" s="255"/>
      <c r="B9" s="257"/>
      <c r="C9" s="81" t="s">
        <v>91</v>
      </c>
      <c r="D9" s="82">
        <v>37.36</v>
      </c>
      <c r="E9" s="89"/>
      <c r="F9" s="90">
        <v>0</v>
      </c>
      <c r="G9" s="90">
        <f t="shared" si="0"/>
        <v>0</v>
      </c>
      <c r="H9" s="89">
        <v>1</v>
      </c>
      <c r="I9" s="81">
        <v>0</v>
      </c>
      <c r="J9" s="82">
        <v>0</v>
      </c>
      <c r="K9" s="94">
        <v>0</v>
      </c>
      <c r="L9" s="87">
        <f>H9*'розрахунок балконів'!$N$2+I9*'розрахунок балконів'!$N$3+J9*'розрахунок балконів'!$N$4+K9*'розрахунок балконів'!$N$5</f>
        <v>1254</v>
      </c>
      <c r="M9" s="90">
        <f t="shared" si="1"/>
        <v>1254</v>
      </c>
      <c r="N9" s="122">
        <f>IF(F9,L9*'розрахунок балконів'!$E$13,0)</f>
        <v>0</v>
      </c>
      <c r="O9" s="122">
        <f>G9*'розрахунок квадрату стяжки'!$M$3</f>
        <v>0</v>
      </c>
      <c r="P9" s="122">
        <f t="shared" si="2"/>
        <v>0</v>
      </c>
      <c r="Q9" s="90"/>
      <c r="R9" s="122">
        <f t="shared" si="3"/>
        <v>0</v>
      </c>
    </row>
    <row r="10" spans="1:18" ht="15.75">
      <c r="A10" s="255"/>
      <c r="B10" s="257"/>
      <c r="C10" s="30" t="s">
        <v>92</v>
      </c>
      <c r="D10" s="31">
        <v>58.27</v>
      </c>
      <c r="E10" s="29">
        <v>2.5</v>
      </c>
      <c r="F10" s="77">
        <v>1</v>
      </c>
      <c r="G10" s="77">
        <f t="shared" si="0"/>
        <v>60.77</v>
      </c>
      <c r="H10" s="29">
        <v>1</v>
      </c>
      <c r="I10" s="30">
        <v>0</v>
      </c>
      <c r="J10" s="31">
        <v>0</v>
      </c>
      <c r="K10" s="16">
        <v>0</v>
      </c>
      <c r="L10" s="45">
        <f>H10*'розрахунок балконів'!$N$2+I10*'розрахунок балконів'!$N$3+J10*'розрахунок балконів'!$N$4+K10*'розрахунок балконів'!$N$5</f>
        <v>1254</v>
      </c>
      <c r="M10" s="88">
        <f t="shared" si="1"/>
        <v>0</v>
      </c>
      <c r="N10" s="121">
        <f>IF(F10,L10*'розрахунок балконів'!$E$13,0)</f>
        <v>1602.8917382639204</v>
      </c>
      <c r="O10" s="121">
        <f>G10*'розрахунок квадрату стяжки'!$M$3</f>
        <v>2332.6630676073578</v>
      </c>
      <c r="P10" s="121">
        <f t="shared" si="2"/>
        <v>3935.5548058712784</v>
      </c>
      <c r="Q10" s="77"/>
      <c r="R10" s="170">
        <f t="shared" si="3"/>
        <v>-3935.5548058712784</v>
      </c>
    </row>
    <row r="11" spans="1:18" ht="15.75">
      <c r="A11" s="255"/>
      <c r="B11" s="257"/>
      <c r="C11" s="30" t="s">
        <v>47</v>
      </c>
      <c r="D11" s="31">
        <v>65.040000000000006</v>
      </c>
      <c r="E11" s="29"/>
      <c r="F11" s="77">
        <v>1</v>
      </c>
      <c r="G11" s="77">
        <f t="shared" si="0"/>
        <v>65.040000000000006</v>
      </c>
      <c r="H11" s="29">
        <v>1</v>
      </c>
      <c r="I11" s="30">
        <v>0</v>
      </c>
      <c r="J11" s="31">
        <v>0</v>
      </c>
      <c r="K11" s="16">
        <v>1</v>
      </c>
      <c r="L11" s="45">
        <f>H11*'розрахунок балконів'!$N$2+I11*'розрахунок балконів'!$N$3+J11*'розрахунок балконів'!$N$4+K11*'розрахунок балконів'!$N$5</f>
        <v>2231.5</v>
      </c>
      <c r="M11" s="88">
        <f t="shared" si="1"/>
        <v>0</v>
      </c>
      <c r="N11" s="121">
        <f>IF(F11,L11*'розрахунок балконів'!$E$13,0)</f>
        <v>2852.3547958021836</v>
      </c>
      <c r="O11" s="121">
        <f>G11*'розрахунок квадрату стяжки'!$M$3</f>
        <v>2496.5674825930978</v>
      </c>
      <c r="P11" s="121">
        <f t="shared" si="2"/>
        <v>5348.922278395281</v>
      </c>
      <c r="Q11" s="77"/>
      <c r="R11" s="170">
        <f t="shared" si="3"/>
        <v>-5348.922278395281</v>
      </c>
    </row>
    <row r="12" spans="1:18" ht="15.75">
      <c r="A12" s="255"/>
      <c r="B12" s="257"/>
      <c r="C12" s="222" t="s">
        <v>93</v>
      </c>
      <c r="D12" s="223">
        <v>79.11</v>
      </c>
      <c r="E12" s="174"/>
      <c r="F12" s="176">
        <v>1</v>
      </c>
      <c r="G12" s="176">
        <f t="shared" si="0"/>
        <v>79.11</v>
      </c>
      <c r="H12" s="174">
        <v>1</v>
      </c>
      <c r="I12" s="222">
        <v>0</v>
      </c>
      <c r="J12" s="223">
        <v>0</v>
      </c>
      <c r="K12" s="224">
        <v>0</v>
      </c>
      <c r="L12" s="215">
        <f>H12*'розрахунок балконів'!$N$2+I12*'розрахунок балконів'!$N$3+J12*'розрахунок балконів'!$N$4+K12*'розрахунок балконів'!$N$5</f>
        <v>1254</v>
      </c>
      <c r="M12" s="176">
        <f t="shared" si="1"/>
        <v>0</v>
      </c>
      <c r="N12" s="180">
        <f>IF(F12,L12*'розрахунок балконів'!$E$13,0)</f>
        <v>1602.8917382639204</v>
      </c>
      <c r="O12" s="180">
        <f>G12*'розрахунок квадрату стяжки'!$M$3</f>
        <v>3036.6459647592242</v>
      </c>
      <c r="P12" s="180">
        <f t="shared" si="2"/>
        <v>4639.5377030231448</v>
      </c>
      <c r="Q12" s="176">
        <v>4757</v>
      </c>
      <c r="R12" s="180">
        <f t="shared" si="3"/>
        <v>117.46229697685521</v>
      </c>
    </row>
    <row r="13" spans="1:18" ht="15.75">
      <c r="A13" s="255"/>
      <c r="B13" s="257">
        <v>4</v>
      </c>
      <c r="C13" s="81" t="s">
        <v>94</v>
      </c>
      <c r="D13" s="82">
        <v>36.57</v>
      </c>
      <c r="E13" s="89"/>
      <c r="F13" s="90">
        <v>0</v>
      </c>
      <c r="G13" s="90">
        <f t="shared" si="0"/>
        <v>0</v>
      </c>
      <c r="H13" s="83">
        <v>1</v>
      </c>
      <c r="I13" s="84">
        <v>0</v>
      </c>
      <c r="J13" s="85">
        <v>0</v>
      </c>
      <c r="K13" s="86">
        <v>0</v>
      </c>
      <c r="L13" s="87">
        <f>H13*'розрахунок балконів'!$N$2+I13*'розрахунок балконів'!$N$3+J13*'розрахунок балконів'!$N$4+K13*'розрахунок балконів'!$N$5</f>
        <v>1254</v>
      </c>
      <c r="M13" s="90">
        <f t="shared" si="1"/>
        <v>1254</v>
      </c>
      <c r="N13" s="122">
        <f>IF(F13,L13*'розрахунок балконів'!$E$13,0)</f>
        <v>0</v>
      </c>
      <c r="O13" s="122">
        <f>G13*'розрахунок квадрату стяжки'!$M$3</f>
        <v>0</v>
      </c>
      <c r="P13" s="122">
        <f t="shared" si="2"/>
        <v>0</v>
      </c>
      <c r="Q13" s="90"/>
      <c r="R13" s="122">
        <f t="shared" si="3"/>
        <v>0</v>
      </c>
    </row>
    <row r="14" spans="1:18" ht="15.75">
      <c r="A14" s="255"/>
      <c r="B14" s="257"/>
      <c r="C14" s="103" t="s">
        <v>95</v>
      </c>
      <c r="D14" s="104">
        <v>37.36</v>
      </c>
      <c r="E14" s="105"/>
      <c r="F14" s="102">
        <v>1</v>
      </c>
      <c r="G14" s="102">
        <f t="shared" si="0"/>
        <v>37.36</v>
      </c>
      <c r="H14" s="105">
        <v>1</v>
      </c>
      <c r="I14" s="103">
        <v>0</v>
      </c>
      <c r="J14" s="104">
        <v>0</v>
      </c>
      <c r="K14" s="106">
        <v>0</v>
      </c>
      <c r="L14" s="107">
        <f>H14*'розрахунок балконів'!$N$2+I14*'розрахунок балконів'!$N$3+J14*'розрахунок балконів'!$N$4+K14*'розрахунок балконів'!$N$5</f>
        <v>1254</v>
      </c>
      <c r="M14" s="102">
        <f t="shared" si="1"/>
        <v>0</v>
      </c>
      <c r="N14" s="186">
        <f>IF(F14,L14*'розрахунок балконів'!$E$13,0)</f>
        <v>1602.8917382639204</v>
      </c>
      <c r="O14" s="186">
        <f>G14*'розрахунок квадрату стяжки'!$M$3</f>
        <v>1434.0676683529846</v>
      </c>
      <c r="P14" s="186">
        <f t="shared" si="2"/>
        <v>3036.9594066169047</v>
      </c>
      <c r="Q14" s="102">
        <v>1550</v>
      </c>
      <c r="R14" s="186">
        <f t="shared" si="3"/>
        <v>-1486.9594066169047</v>
      </c>
    </row>
    <row r="15" spans="1:18" ht="15.75">
      <c r="A15" s="255"/>
      <c r="B15" s="257"/>
      <c r="C15" s="30" t="s">
        <v>96</v>
      </c>
      <c r="D15" s="31">
        <v>58.27</v>
      </c>
      <c r="E15" s="29"/>
      <c r="F15" s="77">
        <v>1</v>
      </c>
      <c r="G15" s="77">
        <f t="shared" si="0"/>
        <v>58.27</v>
      </c>
      <c r="H15" s="29">
        <v>1</v>
      </c>
      <c r="I15" s="30">
        <v>0</v>
      </c>
      <c r="J15" s="31">
        <v>0</v>
      </c>
      <c r="K15" s="16">
        <v>0</v>
      </c>
      <c r="L15" s="45">
        <f>H15*'розрахунок балконів'!$N$2+I15*'розрахунок балконів'!$N$3+J15*'розрахунок балконів'!$N$4+K15*'розрахунок балконів'!$N$5</f>
        <v>1254</v>
      </c>
      <c r="M15" s="88">
        <f t="shared" si="1"/>
        <v>0</v>
      </c>
      <c r="N15" s="121">
        <f>IF(F15,L15*'розрахунок балконів'!$E$13,0)</f>
        <v>1602.8917382639204</v>
      </c>
      <c r="O15" s="121">
        <f>G15*'розрахунок квадрату стяжки'!$M$3</f>
        <v>2236.7002953674632</v>
      </c>
      <c r="P15" s="121">
        <f t="shared" si="2"/>
        <v>3839.5920336313839</v>
      </c>
      <c r="Q15" s="77"/>
      <c r="R15" s="170">
        <f t="shared" si="3"/>
        <v>-3839.5920336313839</v>
      </c>
    </row>
    <row r="16" spans="1:18" ht="15.75">
      <c r="A16" s="255"/>
      <c r="B16" s="257"/>
      <c r="C16" s="30" t="s">
        <v>97</v>
      </c>
      <c r="D16" s="31">
        <v>65.040000000000006</v>
      </c>
      <c r="E16" s="29"/>
      <c r="F16" s="77">
        <v>1</v>
      </c>
      <c r="G16" s="77">
        <f t="shared" si="0"/>
        <v>65.040000000000006</v>
      </c>
      <c r="H16" s="29">
        <v>1</v>
      </c>
      <c r="I16" s="30">
        <v>0</v>
      </c>
      <c r="J16" s="31">
        <v>0</v>
      </c>
      <c r="K16" s="16">
        <v>1</v>
      </c>
      <c r="L16" s="45">
        <f>H16*'розрахунок балконів'!$N$2+I16*'розрахунок балконів'!$N$3+J16*'розрахунок балконів'!$N$4+K16*'розрахунок балконів'!$N$5</f>
        <v>2231.5</v>
      </c>
      <c r="M16" s="88">
        <f t="shared" si="1"/>
        <v>0</v>
      </c>
      <c r="N16" s="121">
        <f>IF(F16,L16*'розрахунок балконів'!$E$13,0)</f>
        <v>2852.3547958021836</v>
      </c>
      <c r="O16" s="121">
        <f>G16*'розрахунок квадрату стяжки'!$M$3</f>
        <v>2496.5674825930978</v>
      </c>
      <c r="P16" s="121">
        <f t="shared" si="2"/>
        <v>5348.922278395281</v>
      </c>
      <c r="Q16" s="77"/>
      <c r="R16" s="170">
        <f t="shared" si="3"/>
        <v>-5348.922278395281</v>
      </c>
    </row>
    <row r="17" spans="1:18" ht="15.75">
      <c r="A17" s="255"/>
      <c r="B17" s="257"/>
      <c r="C17" s="81" t="s">
        <v>98</v>
      </c>
      <c r="D17" s="82">
        <v>79.11</v>
      </c>
      <c r="E17" s="89"/>
      <c r="F17" s="90">
        <v>0</v>
      </c>
      <c r="G17" s="90">
        <f t="shared" si="0"/>
        <v>0</v>
      </c>
      <c r="H17" s="89">
        <v>1</v>
      </c>
      <c r="I17" s="81">
        <v>0</v>
      </c>
      <c r="J17" s="82">
        <v>0</v>
      </c>
      <c r="K17" s="94">
        <v>0</v>
      </c>
      <c r="L17" s="87">
        <f>H17*'розрахунок балконів'!$N$2+I17*'розрахунок балконів'!$N$3+J17*'розрахунок балконів'!$N$4+K17*'розрахунок балконів'!$N$5</f>
        <v>1254</v>
      </c>
      <c r="M17" s="90">
        <f t="shared" si="1"/>
        <v>1254</v>
      </c>
      <c r="N17" s="122">
        <f>IF(F17,L17*'розрахунок балконів'!$E$13,0)</f>
        <v>0</v>
      </c>
      <c r="O17" s="122">
        <f>G17*'розрахунок квадрату стяжки'!$M$3</f>
        <v>0</v>
      </c>
      <c r="P17" s="122">
        <f t="shared" si="2"/>
        <v>0</v>
      </c>
      <c r="Q17" s="90"/>
      <c r="R17" s="122">
        <f t="shared" si="3"/>
        <v>0</v>
      </c>
    </row>
    <row r="18" spans="1:18" ht="15.75">
      <c r="A18" s="255"/>
      <c r="B18" s="257">
        <v>5</v>
      </c>
      <c r="C18" s="81" t="s">
        <v>99</v>
      </c>
      <c r="D18" s="82">
        <v>36.57</v>
      </c>
      <c r="E18" s="89"/>
      <c r="F18" s="90">
        <v>0</v>
      </c>
      <c r="G18" s="90">
        <f t="shared" si="0"/>
        <v>0</v>
      </c>
      <c r="H18" s="83">
        <v>1</v>
      </c>
      <c r="I18" s="84">
        <v>0</v>
      </c>
      <c r="J18" s="85">
        <v>0</v>
      </c>
      <c r="K18" s="86">
        <v>0</v>
      </c>
      <c r="L18" s="87">
        <f>H18*'розрахунок балконів'!$N$2+I18*'розрахунок балконів'!$N$3+J18*'розрахунок балконів'!$N$4+K18*'розрахунок балконів'!$N$5</f>
        <v>1254</v>
      </c>
      <c r="M18" s="90">
        <f t="shared" si="1"/>
        <v>1254</v>
      </c>
      <c r="N18" s="122">
        <f>IF(F18,L18*'розрахунок балконів'!$E$13,0)</f>
        <v>0</v>
      </c>
      <c r="O18" s="122">
        <f>G18*'розрахунок квадрату стяжки'!$M$3</f>
        <v>0</v>
      </c>
      <c r="P18" s="122">
        <f t="shared" si="2"/>
        <v>0</v>
      </c>
      <c r="Q18" s="90"/>
      <c r="R18" s="122">
        <f t="shared" si="3"/>
        <v>0</v>
      </c>
    </row>
    <row r="19" spans="1:18" ht="15.75">
      <c r="A19" s="255"/>
      <c r="B19" s="257"/>
      <c r="C19" s="81" t="s">
        <v>99</v>
      </c>
      <c r="D19" s="82">
        <v>37.36</v>
      </c>
      <c r="E19" s="89"/>
      <c r="F19" s="90">
        <v>0</v>
      </c>
      <c r="G19" s="90">
        <f t="shared" si="0"/>
        <v>0</v>
      </c>
      <c r="H19" s="89">
        <v>1</v>
      </c>
      <c r="I19" s="81">
        <v>0</v>
      </c>
      <c r="J19" s="82">
        <v>0</v>
      </c>
      <c r="K19" s="94">
        <v>0</v>
      </c>
      <c r="L19" s="87">
        <f>H19*'розрахунок балконів'!$N$2+I19*'розрахунок балконів'!$N$3+J19*'розрахунок балконів'!$N$4+K19*'розрахунок балконів'!$N$5</f>
        <v>1254</v>
      </c>
      <c r="M19" s="90">
        <f t="shared" si="1"/>
        <v>1254</v>
      </c>
      <c r="N19" s="122">
        <f>IF(F19,L19*'розрахунок балконів'!$E$13,0)</f>
        <v>0</v>
      </c>
      <c r="O19" s="122">
        <f>G19*'розрахунок квадрату стяжки'!$M$3</f>
        <v>0</v>
      </c>
      <c r="P19" s="122">
        <f t="shared" si="2"/>
        <v>0</v>
      </c>
      <c r="Q19" s="90"/>
      <c r="R19" s="122">
        <f t="shared" si="3"/>
        <v>0</v>
      </c>
    </row>
    <row r="20" spans="1:18" ht="15.75">
      <c r="A20" s="255"/>
      <c r="B20" s="257"/>
      <c r="C20" s="30" t="s">
        <v>100</v>
      </c>
      <c r="D20" s="31">
        <v>58.27</v>
      </c>
      <c r="E20" s="29"/>
      <c r="F20" s="77">
        <v>1</v>
      </c>
      <c r="G20" s="77">
        <f t="shared" si="0"/>
        <v>58.27</v>
      </c>
      <c r="H20" s="29">
        <v>1</v>
      </c>
      <c r="I20" s="30">
        <v>0</v>
      </c>
      <c r="J20" s="31">
        <v>0</v>
      </c>
      <c r="K20" s="16">
        <v>0</v>
      </c>
      <c r="L20" s="45">
        <f>H20*'розрахунок балконів'!$N$2+I20*'розрахунок балконів'!$N$3+J20*'розрахунок балконів'!$N$4+K20*'розрахунок балконів'!$N$5</f>
        <v>1254</v>
      </c>
      <c r="M20" s="88">
        <f t="shared" si="1"/>
        <v>0</v>
      </c>
      <c r="N20" s="121">
        <f>IF(F20,L20*'розрахунок балконів'!$E$13,0)</f>
        <v>1602.8917382639204</v>
      </c>
      <c r="O20" s="121">
        <f>G20*'розрахунок квадрату стяжки'!$M$3</f>
        <v>2236.7002953674632</v>
      </c>
      <c r="P20" s="121">
        <f t="shared" si="2"/>
        <v>3839.5920336313839</v>
      </c>
      <c r="Q20" s="77"/>
      <c r="R20" s="170">
        <f t="shared" si="3"/>
        <v>-3839.5920336313839</v>
      </c>
    </row>
    <row r="21" spans="1:18" ht="15.75">
      <c r="A21" s="255"/>
      <c r="B21" s="257"/>
      <c r="C21" s="222" t="s">
        <v>101</v>
      </c>
      <c r="D21" s="223">
        <v>65.040000000000006</v>
      </c>
      <c r="E21" s="174"/>
      <c r="F21" s="176">
        <v>1</v>
      </c>
      <c r="G21" s="176">
        <f t="shared" si="0"/>
        <v>65.040000000000006</v>
      </c>
      <c r="H21" s="174">
        <v>1</v>
      </c>
      <c r="I21" s="222">
        <v>0</v>
      </c>
      <c r="J21" s="223">
        <v>0</v>
      </c>
      <c r="K21" s="224">
        <v>1</v>
      </c>
      <c r="L21" s="215">
        <f>H21*'розрахунок балконів'!$N$2+I21*'розрахунок балконів'!$N$3+J21*'розрахунок балконів'!$N$4+K21*'розрахунок балконів'!$N$5</f>
        <v>2231.5</v>
      </c>
      <c r="M21" s="176">
        <f t="shared" si="1"/>
        <v>0</v>
      </c>
      <c r="N21" s="180">
        <f>IF(F21,L21*'розрахунок балконів'!$E$13,0)</f>
        <v>2852.3547958021836</v>
      </c>
      <c r="O21" s="180">
        <f>G21*'розрахунок квадрату стяжки'!$M$3</f>
        <v>2496.5674825930978</v>
      </c>
      <c r="P21" s="180">
        <f t="shared" si="2"/>
        <v>5348.922278395281</v>
      </c>
      <c r="Q21" s="176">
        <v>5537</v>
      </c>
      <c r="R21" s="180">
        <f t="shared" si="3"/>
        <v>188.07772160471904</v>
      </c>
    </row>
    <row r="22" spans="1:18" ht="15.75">
      <c r="A22" s="255"/>
      <c r="B22" s="257"/>
      <c r="C22" s="222" t="s">
        <v>102</v>
      </c>
      <c r="D22" s="223">
        <v>79.11</v>
      </c>
      <c r="E22" s="174">
        <v>2.5</v>
      </c>
      <c r="F22" s="176">
        <v>1</v>
      </c>
      <c r="G22" s="176">
        <f t="shared" si="0"/>
        <v>81.61</v>
      </c>
      <c r="H22" s="174">
        <v>1</v>
      </c>
      <c r="I22" s="222">
        <v>0</v>
      </c>
      <c r="J22" s="223">
        <v>0</v>
      </c>
      <c r="K22" s="224">
        <v>0</v>
      </c>
      <c r="L22" s="215">
        <f>H22*'розрахунок балконів'!$N$2+I22*'розрахунок балконів'!$N$3+J22*'розрахунок балконів'!$N$4+K22*'розрахунок балконів'!$N$5</f>
        <v>1254</v>
      </c>
      <c r="M22" s="176">
        <f t="shared" si="1"/>
        <v>0</v>
      </c>
      <c r="N22" s="180">
        <f>IF(F22,L22*'розрахунок балконів'!$E$13,0)</f>
        <v>1602.8917382639204</v>
      </c>
      <c r="O22" s="180">
        <f>G22*'розрахунок квадрату стяжки'!$M$3</f>
        <v>3132.6087369991187</v>
      </c>
      <c r="P22" s="180">
        <f t="shared" si="2"/>
        <v>4735.5004752630393</v>
      </c>
      <c r="Q22" s="176">
        <v>4910</v>
      </c>
      <c r="R22" s="180">
        <f t="shared" si="3"/>
        <v>174.49952473696067</v>
      </c>
    </row>
    <row r="23" spans="1:18" ht="15.75">
      <c r="A23" s="255"/>
      <c r="B23" s="257">
        <v>6</v>
      </c>
      <c r="C23" s="30" t="s">
        <v>103</v>
      </c>
      <c r="D23" s="31">
        <v>36.57</v>
      </c>
      <c r="E23" s="29">
        <v>2.5</v>
      </c>
      <c r="F23" s="77">
        <v>1</v>
      </c>
      <c r="G23" s="77">
        <f t="shared" si="0"/>
        <v>39.07</v>
      </c>
      <c r="H23" s="43">
        <v>1</v>
      </c>
      <c r="I23" s="41">
        <v>0</v>
      </c>
      <c r="J23" s="42">
        <v>0</v>
      </c>
      <c r="K23" s="44">
        <v>0</v>
      </c>
      <c r="L23" s="45">
        <f>H23*'розрахунок балконів'!$N$2+I23*'розрахунок балконів'!$N$3+J23*'розрахунок балконів'!$N$4+K23*'розрахунок балконів'!$N$5</f>
        <v>1254</v>
      </c>
      <c r="M23" s="88">
        <f t="shared" si="1"/>
        <v>0</v>
      </c>
      <c r="N23" s="121">
        <f>IF(F23,L23*'розрахунок балконів'!$E$13,0)</f>
        <v>1602.8917382639204</v>
      </c>
      <c r="O23" s="121">
        <f>G23*'розрахунок квадрату стяжки'!$M$3</f>
        <v>1499.7062045650725</v>
      </c>
      <c r="P23" s="121">
        <f t="shared" si="2"/>
        <v>3102.5979428289929</v>
      </c>
      <c r="Q23" s="77"/>
      <c r="R23" s="170">
        <f t="shared" si="3"/>
        <v>-3102.5979428289929</v>
      </c>
    </row>
    <row r="24" spans="1:18" ht="15.75">
      <c r="A24" s="255"/>
      <c r="B24" s="257"/>
      <c r="C24" s="222" t="s">
        <v>104</v>
      </c>
      <c r="D24" s="223">
        <v>37.36</v>
      </c>
      <c r="E24" s="174">
        <v>2.5</v>
      </c>
      <c r="F24" s="176">
        <v>1</v>
      </c>
      <c r="G24" s="176">
        <f t="shared" si="0"/>
        <v>39.86</v>
      </c>
      <c r="H24" s="174">
        <v>1</v>
      </c>
      <c r="I24" s="222">
        <v>0</v>
      </c>
      <c r="J24" s="223">
        <v>0</v>
      </c>
      <c r="K24" s="224">
        <v>0</v>
      </c>
      <c r="L24" s="215">
        <f>H24*'розрахунок балконів'!$N$2+I24*'розрахунок балконів'!$N$3+J24*'розрахунок балконів'!$N$4+K24*'розрахунок балконів'!$N$5</f>
        <v>1254</v>
      </c>
      <c r="M24" s="176">
        <f t="shared" si="1"/>
        <v>0</v>
      </c>
      <c r="N24" s="180">
        <f>IF(F24,L24*'розрахунок балконів'!$E$13,0)</f>
        <v>1602.8917382639204</v>
      </c>
      <c r="O24" s="180">
        <f>G24*'розрахунок квадрату стяжки'!$M$3</f>
        <v>1530.0304405928794</v>
      </c>
      <c r="P24" s="180">
        <f t="shared" si="2"/>
        <v>3132.9221788567997</v>
      </c>
      <c r="Q24" s="176">
        <v>3227</v>
      </c>
      <c r="R24" s="180">
        <f t="shared" si="3"/>
        <v>94.077821143200254</v>
      </c>
    </row>
    <row r="25" spans="1:18" ht="15.75">
      <c r="A25" s="255"/>
      <c r="B25" s="257"/>
      <c r="C25" s="30" t="s">
        <v>105</v>
      </c>
      <c r="D25" s="31">
        <v>58.27</v>
      </c>
      <c r="E25" s="29"/>
      <c r="F25" s="77">
        <v>1</v>
      </c>
      <c r="G25" s="77">
        <f t="shared" si="0"/>
        <v>58.27</v>
      </c>
      <c r="H25" s="29">
        <v>1</v>
      </c>
      <c r="I25" s="30">
        <v>0</v>
      </c>
      <c r="J25" s="31">
        <v>0</v>
      </c>
      <c r="K25" s="16">
        <v>0</v>
      </c>
      <c r="L25" s="45">
        <f>H25*'розрахунок балконів'!$N$2+I25*'розрахунок балконів'!$N$3+J25*'розрахунок балконів'!$N$4+K25*'розрахунок балконів'!$N$5</f>
        <v>1254</v>
      </c>
      <c r="M25" s="88">
        <f t="shared" si="1"/>
        <v>0</v>
      </c>
      <c r="N25" s="121">
        <f>IF(F25,L25*'розрахунок балконів'!$E$13,0)</f>
        <v>1602.8917382639204</v>
      </c>
      <c r="O25" s="121">
        <f>G25*'розрахунок квадрату стяжки'!$M$3</f>
        <v>2236.7002953674632</v>
      </c>
      <c r="P25" s="121">
        <f t="shared" si="2"/>
        <v>3839.5920336313839</v>
      </c>
      <c r="Q25" s="77"/>
      <c r="R25" s="170">
        <f t="shared" si="3"/>
        <v>-3839.5920336313839</v>
      </c>
    </row>
    <row r="26" spans="1:18" ht="15.75">
      <c r="A26" s="255"/>
      <c r="B26" s="257"/>
      <c r="C26" s="81" t="s">
        <v>106</v>
      </c>
      <c r="D26" s="82">
        <v>65.040000000000006</v>
      </c>
      <c r="E26" s="89"/>
      <c r="F26" s="90">
        <v>0</v>
      </c>
      <c r="G26" s="90">
        <f t="shared" si="0"/>
        <v>0</v>
      </c>
      <c r="H26" s="89">
        <v>1</v>
      </c>
      <c r="I26" s="81">
        <v>0</v>
      </c>
      <c r="J26" s="82">
        <v>0</v>
      </c>
      <c r="K26" s="94">
        <v>1</v>
      </c>
      <c r="L26" s="87">
        <f>H26*'розрахунок балконів'!$N$2+I26*'розрахунок балконів'!$N$3+J26*'розрахунок балконів'!$N$4+K26*'розрахунок балконів'!$N$5</f>
        <v>2231.5</v>
      </c>
      <c r="M26" s="90">
        <f t="shared" si="1"/>
        <v>2231.5</v>
      </c>
      <c r="N26" s="122">
        <f>IF(F26,L26*'розрахунок балконів'!$E$13,0)</f>
        <v>0</v>
      </c>
      <c r="O26" s="122">
        <f>G26*'розрахунок квадрату стяжки'!$M$3</f>
        <v>0</v>
      </c>
      <c r="P26" s="122">
        <f t="shared" si="2"/>
        <v>0</v>
      </c>
      <c r="Q26" s="90"/>
      <c r="R26" s="122">
        <f t="shared" si="3"/>
        <v>0</v>
      </c>
    </row>
    <row r="27" spans="1:18" ht="15.75">
      <c r="A27" s="255"/>
      <c r="B27" s="257"/>
      <c r="C27" s="30" t="s">
        <v>107</v>
      </c>
      <c r="D27" s="31">
        <v>79.11</v>
      </c>
      <c r="E27" s="29"/>
      <c r="F27" s="77">
        <v>1</v>
      </c>
      <c r="G27" s="77">
        <f t="shared" si="0"/>
        <v>79.11</v>
      </c>
      <c r="H27" s="29">
        <v>1</v>
      </c>
      <c r="I27" s="30">
        <v>0</v>
      </c>
      <c r="J27" s="31">
        <v>0</v>
      </c>
      <c r="K27" s="16">
        <v>0</v>
      </c>
      <c r="L27" s="45">
        <f>H27*'розрахунок балконів'!$N$2+I27*'розрахунок балконів'!$N$3+J27*'розрахунок балконів'!$N$4+K27*'розрахунок балконів'!$N$5</f>
        <v>1254</v>
      </c>
      <c r="M27" s="88">
        <f t="shared" si="1"/>
        <v>0</v>
      </c>
      <c r="N27" s="121">
        <f>IF(F27,L27*'розрахунок балконів'!$E$13,0)</f>
        <v>1602.8917382639204</v>
      </c>
      <c r="O27" s="121">
        <f>G27*'розрахунок квадрату стяжки'!$M$3</f>
        <v>3036.6459647592242</v>
      </c>
      <c r="P27" s="121">
        <f t="shared" si="2"/>
        <v>4639.5377030231448</v>
      </c>
      <c r="Q27" s="77"/>
      <c r="R27" s="170">
        <f t="shared" si="3"/>
        <v>-4639.5377030231448</v>
      </c>
    </row>
    <row r="28" spans="1:18" ht="15.75">
      <c r="A28" s="255"/>
      <c r="B28" s="257">
        <v>7</v>
      </c>
      <c r="C28" s="30" t="s">
        <v>108</v>
      </c>
      <c r="D28" s="31">
        <v>37.36</v>
      </c>
      <c r="E28" s="29"/>
      <c r="F28" s="77">
        <v>1</v>
      </c>
      <c r="G28" s="77">
        <f t="shared" si="0"/>
        <v>37.36</v>
      </c>
      <c r="H28" s="43">
        <v>1</v>
      </c>
      <c r="I28" s="41">
        <v>0</v>
      </c>
      <c r="J28" s="42">
        <v>0</v>
      </c>
      <c r="K28" s="44">
        <v>0</v>
      </c>
      <c r="L28" s="45">
        <f>H28*'розрахунок балконів'!$N$2+I28*'розрахунок балконів'!$N$3+J28*'розрахунок балконів'!$N$4+K28*'розрахунок балконів'!$N$5</f>
        <v>1254</v>
      </c>
      <c r="M28" s="88">
        <f t="shared" si="1"/>
        <v>0</v>
      </c>
      <c r="N28" s="121">
        <f>IF(F28,L28*'розрахунок балконів'!$E$13,0)</f>
        <v>1602.8917382639204</v>
      </c>
      <c r="O28" s="121">
        <f>G28*'розрахунок квадрату стяжки'!$M$3</f>
        <v>1434.0676683529846</v>
      </c>
      <c r="P28" s="121">
        <f t="shared" si="2"/>
        <v>3036.9594066169047</v>
      </c>
      <c r="Q28" s="77"/>
      <c r="R28" s="170">
        <f t="shared" si="3"/>
        <v>-3036.9594066169047</v>
      </c>
    </row>
    <row r="29" spans="1:18" ht="15.75">
      <c r="A29" s="255"/>
      <c r="B29" s="257"/>
      <c r="C29" s="222" t="s">
        <v>109</v>
      </c>
      <c r="D29" s="223">
        <v>36.57</v>
      </c>
      <c r="E29" s="174"/>
      <c r="F29" s="176">
        <v>1</v>
      </c>
      <c r="G29" s="176">
        <f t="shared" si="0"/>
        <v>36.57</v>
      </c>
      <c r="H29" s="174">
        <v>1</v>
      </c>
      <c r="I29" s="222">
        <v>0</v>
      </c>
      <c r="J29" s="223">
        <v>0</v>
      </c>
      <c r="K29" s="224">
        <v>0</v>
      </c>
      <c r="L29" s="215">
        <f>H29*'розрахунок балконів'!$N$2+I29*'розрахунок балконів'!$N$3+J29*'розрахунок балконів'!$N$4+K29*'розрахунок балконів'!$N$5</f>
        <v>1254</v>
      </c>
      <c r="M29" s="176">
        <f t="shared" si="1"/>
        <v>0</v>
      </c>
      <c r="N29" s="180">
        <f>IF(F29,L29*'розрахунок балконів'!$E$13,0)</f>
        <v>1602.8917382639204</v>
      </c>
      <c r="O29" s="180">
        <f>G29*'розрахунок квадрату стяжки'!$M$3</f>
        <v>1403.743432325178</v>
      </c>
      <c r="P29" s="180">
        <f t="shared" si="2"/>
        <v>3006.6351705890984</v>
      </c>
      <c r="Q29" s="176">
        <v>3110</v>
      </c>
      <c r="R29" s="180">
        <f t="shared" si="3"/>
        <v>103.36482941090162</v>
      </c>
    </row>
    <row r="30" spans="1:18" ht="15.75">
      <c r="A30" s="255"/>
      <c r="B30" s="257"/>
      <c r="C30" s="222" t="s">
        <v>110</v>
      </c>
      <c r="D30" s="223">
        <v>58.27</v>
      </c>
      <c r="E30" s="174">
        <v>2.5</v>
      </c>
      <c r="F30" s="176">
        <v>1</v>
      </c>
      <c r="G30" s="176">
        <f t="shared" si="0"/>
        <v>60.77</v>
      </c>
      <c r="H30" s="174">
        <v>1</v>
      </c>
      <c r="I30" s="222">
        <v>0</v>
      </c>
      <c r="J30" s="223">
        <v>0</v>
      </c>
      <c r="K30" s="224">
        <v>0</v>
      </c>
      <c r="L30" s="215">
        <f>H30*'розрахунок балконів'!$N$2+I30*'розрахунок балконів'!$N$3+J30*'розрахунок балконів'!$N$4+K30*'розрахунок балконів'!$N$5</f>
        <v>1254</v>
      </c>
      <c r="M30" s="176">
        <f t="shared" si="1"/>
        <v>0</v>
      </c>
      <c r="N30" s="180">
        <f>IF(F30,L30*'розрахунок балконів'!$E$13,0)</f>
        <v>1602.8917382639204</v>
      </c>
      <c r="O30" s="180">
        <f>G30*'розрахунок квадрату стяжки'!$M$3</f>
        <v>2332.6630676073578</v>
      </c>
      <c r="P30" s="180">
        <f t="shared" si="2"/>
        <v>3935.5548058712784</v>
      </c>
      <c r="Q30" s="176">
        <v>4033</v>
      </c>
      <c r="R30" s="180">
        <f t="shared" si="3"/>
        <v>97.445194128721596</v>
      </c>
    </row>
    <row r="31" spans="1:18" ht="15.75">
      <c r="A31" s="255"/>
      <c r="B31" s="257"/>
      <c r="C31" s="30" t="s">
        <v>111</v>
      </c>
      <c r="D31" s="31">
        <v>65.040000000000006</v>
      </c>
      <c r="E31" s="29"/>
      <c r="F31" s="77">
        <v>1</v>
      </c>
      <c r="G31" s="77">
        <f t="shared" si="0"/>
        <v>65.040000000000006</v>
      </c>
      <c r="H31" s="29">
        <v>1</v>
      </c>
      <c r="I31" s="30">
        <v>0</v>
      </c>
      <c r="J31" s="31">
        <v>0</v>
      </c>
      <c r="K31" s="16">
        <v>1</v>
      </c>
      <c r="L31" s="45">
        <f>H31*'розрахунок балконів'!$N$2+I31*'розрахунок балконів'!$N$3+J31*'розрахунок балконів'!$N$4+K31*'розрахунок балконів'!$N$5</f>
        <v>2231.5</v>
      </c>
      <c r="M31" s="88">
        <f t="shared" si="1"/>
        <v>0</v>
      </c>
      <c r="N31" s="121">
        <f>IF(F31,L31*'розрахунок балконів'!$E$13,0)</f>
        <v>2852.3547958021836</v>
      </c>
      <c r="O31" s="121">
        <f>G31*'розрахунок квадрату стяжки'!$M$3</f>
        <v>2496.5674825930978</v>
      </c>
      <c r="P31" s="121">
        <f t="shared" si="2"/>
        <v>5348.922278395281</v>
      </c>
      <c r="Q31" s="77"/>
      <c r="R31" s="170">
        <f t="shared" si="3"/>
        <v>-5348.922278395281</v>
      </c>
    </row>
    <row r="32" spans="1:18" ht="15.75">
      <c r="A32" s="255"/>
      <c r="B32" s="257"/>
      <c r="C32" s="30" t="s">
        <v>112</v>
      </c>
      <c r="D32" s="31">
        <v>79.11</v>
      </c>
      <c r="E32" s="29"/>
      <c r="F32" s="77">
        <v>1</v>
      </c>
      <c r="G32" s="77">
        <f t="shared" si="0"/>
        <v>79.11</v>
      </c>
      <c r="H32" s="29">
        <v>1</v>
      </c>
      <c r="I32" s="30">
        <v>0</v>
      </c>
      <c r="J32" s="31">
        <v>0</v>
      </c>
      <c r="K32" s="16">
        <v>0</v>
      </c>
      <c r="L32" s="45">
        <f>H32*'розрахунок балконів'!$N$2+I32*'розрахунок балконів'!$N$3+J32*'розрахунок балконів'!$N$4+K32*'розрахунок балконів'!$N$5</f>
        <v>1254</v>
      </c>
      <c r="M32" s="88">
        <f t="shared" si="1"/>
        <v>0</v>
      </c>
      <c r="N32" s="121">
        <f>IF(F32,L32*'розрахунок балконів'!$E$13,0)</f>
        <v>1602.8917382639204</v>
      </c>
      <c r="O32" s="121">
        <f>G32*'розрахунок квадрату стяжки'!$M$3</f>
        <v>3036.6459647592242</v>
      </c>
      <c r="P32" s="121">
        <f t="shared" si="2"/>
        <v>4639.5377030231448</v>
      </c>
      <c r="Q32" s="77"/>
      <c r="R32" s="170">
        <f t="shared" si="3"/>
        <v>-4639.5377030231448</v>
      </c>
    </row>
    <row r="33" spans="1:19" ht="15.75">
      <c r="A33" s="255"/>
      <c r="B33" s="257">
        <v>8</v>
      </c>
      <c r="C33" s="81" t="s">
        <v>113</v>
      </c>
      <c r="D33" s="82">
        <v>36.57</v>
      </c>
      <c r="E33" s="89"/>
      <c r="F33" s="90">
        <v>0</v>
      </c>
      <c r="G33" s="90">
        <f t="shared" si="0"/>
        <v>0</v>
      </c>
      <c r="H33" s="83">
        <v>1</v>
      </c>
      <c r="I33" s="84">
        <v>0</v>
      </c>
      <c r="J33" s="85">
        <v>0</v>
      </c>
      <c r="K33" s="86">
        <v>0</v>
      </c>
      <c r="L33" s="87">
        <f>H33*'розрахунок балконів'!$N$2+I33*'розрахунок балконів'!$N$3+J33*'розрахунок балконів'!$N$4+K33*'розрахунок балконів'!$N$5</f>
        <v>1254</v>
      </c>
      <c r="M33" s="90">
        <f t="shared" si="1"/>
        <v>1254</v>
      </c>
      <c r="N33" s="122">
        <f>IF(F33,L33*'розрахунок балконів'!$E$13,0)</f>
        <v>0</v>
      </c>
      <c r="O33" s="122">
        <f>G33*'розрахунок квадрату стяжки'!$M$3</f>
        <v>0</v>
      </c>
      <c r="P33" s="122">
        <f t="shared" si="2"/>
        <v>0</v>
      </c>
      <c r="Q33" s="90"/>
      <c r="R33" s="122">
        <f t="shared" si="3"/>
        <v>0</v>
      </c>
    </row>
    <row r="34" spans="1:19" ht="15.75">
      <c r="A34" s="255"/>
      <c r="B34" s="257"/>
      <c r="C34" s="222" t="s">
        <v>44</v>
      </c>
      <c r="D34" s="223">
        <v>37.36</v>
      </c>
      <c r="E34" s="174">
        <v>2.5</v>
      </c>
      <c r="F34" s="176">
        <v>1</v>
      </c>
      <c r="G34" s="176">
        <f t="shared" si="0"/>
        <v>39.86</v>
      </c>
      <c r="H34" s="174">
        <v>1</v>
      </c>
      <c r="I34" s="222">
        <v>0</v>
      </c>
      <c r="J34" s="223">
        <v>0</v>
      </c>
      <c r="K34" s="224">
        <v>0</v>
      </c>
      <c r="L34" s="215">
        <f>H34*'розрахунок балконів'!$N$2+I34*'розрахунок балконів'!$N$3+J34*'розрахунок балконів'!$N$4+K34*'розрахунок балконів'!$N$5</f>
        <v>1254</v>
      </c>
      <c r="M34" s="176">
        <f t="shared" si="1"/>
        <v>0</v>
      </c>
      <c r="N34" s="180">
        <f>IF(F34,L34*'розрахунок балконів'!$E$13,0)</f>
        <v>1602.8917382639204</v>
      </c>
      <c r="O34" s="180">
        <f>G34*'розрахунок квадрату стяжки'!$M$3</f>
        <v>1530.0304405928794</v>
      </c>
      <c r="P34" s="180">
        <f t="shared" si="2"/>
        <v>3132.9221788567997</v>
      </c>
      <c r="Q34" s="176">
        <v>3209</v>
      </c>
      <c r="R34" s="180">
        <f t="shared" si="3"/>
        <v>76.077821143200254</v>
      </c>
    </row>
    <row r="35" spans="1:19" ht="15.75">
      <c r="A35" s="255"/>
      <c r="B35" s="257"/>
      <c r="C35" s="222" t="s">
        <v>114</v>
      </c>
      <c r="D35" s="223">
        <v>58.27</v>
      </c>
      <c r="E35" s="174"/>
      <c r="F35" s="176">
        <v>1</v>
      </c>
      <c r="G35" s="176">
        <f t="shared" si="0"/>
        <v>58.27</v>
      </c>
      <c r="H35" s="174">
        <v>1</v>
      </c>
      <c r="I35" s="222">
        <v>0</v>
      </c>
      <c r="J35" s="223">
        <v>0</v>
      </c>
      <c r="K35" s="224">
        <v>0</v>
      </c>
      <c r="L35" s="215">
        <f>H35*'розрахунок балконів'!$N$2+I35*'розрахунок балконів'!$N$3+J35*'розрахунок балконів'!$N$4+K35*'розрахунок балконів'!$N$5</f>
        <v>1254</v>
      </c>
      <c r="M35" s="176">
        <f t="shared" si="1"/>
        <v>0</v>
      </c>
      <c r="N35" s="180">
        <f>IF(F35,L35*'розрахунок балконів'!$E$13,0)</f>
        <v>1602.8917382639204</v>
      </c>
      <c r="O35" s="180">
        <f>G35*'розрахунок квадрату стяжки'!$M$3</f>
        <v>2236.7002953674632</v>
      </c>
      <c r="P35" s="180">
        <f t="shared" si="2"/>
        <v>3839.5920336313839</v>
      </c>
      <c r="Q35" s="176">
        <v>3978</v>
      </c>
      <c r="R35" s="180">
        <f t="shared" si="3"/>
        <v>138.40796636861614</v>
      </c>
    </row>
    <row r="36" spans="1:19" ht="15.75">
      <c r="A36" s="255"/>
      <c r="B36" s="257"/>
      <c r="C36" s="222" t="s">
        <v>115</v>
      </c>
      <c r="D36" s="223">
        <v>65.040000000000006</v>
      </c>
      <c r="E36" s="174"/>
      <c r="F36" s="176">
        <v>1</v>
      </c>
      <c r="G36" s="176">
        <f t="shared" si="0"/>
        <v>65.040000000000006</v>
      </c>
      <c r="H36" s="174">
        <v>1</v>
      </c>
      <c r="I36" s="222">
        <v>0</v>
      </c>
      <c r="J36" s="223">
        <v>0</v>
      </c>
      <c r="K36" s="224">
        <v>1</v>
      </c>
      <c r="L36" s="215">
        <f>H36*'розрахунок балконів'!$N$2+I36*'розрахунок балконів'!$N$3+J36*'розрахунок балконів'!$N$4+K36*'розрахунок балконів'!$N$5</f>
        <v>2231.5</v>
      </c>
      <c r="M36" s="176">
        <f t="shared" si="1"/>
        <v>0</v>
      </c>
      <c r="N36" s="180">
        <f>IF(F36,L36*'розрахунок балконів'!$E$13,0)</f>
        <v>2852.3547958021836</v>
      </c>
      <c r="O36" s="180">
        <f>G36*'розрахунок квадрату стяжки'!$M$3</f>
        <v>2496.5674825930978</v>
      </c>
      <c r="P36" s="180">
        <f t="shared" si="2"/>
        <v>5348.922278395281</v>
      </c>
      <c r="Q36" s="176">
        <v>5510</v>
      </c>
      <c r="R36" s="180">
        <f t="shared" si="3"/>
        <v>161.07772160471904</v>
      </c>
    </row>
    <row r="37" spans="1:19" ht="15.75">
      <c r="A37" s="255"/>
      <c r="B37" s="257"/>
      <c r="C37" s="30" t="s">
        <v>116</v>
      </c>
      <c r="D37" s="31">
        <v>79.11</v>
      </c>
      <c r="E37" s="29">
        <v>2.5</v>
      </c>
      <c r="F37" s="77">
        <v>1</v>
      </c>
      <c r="G37" s="77">
        <f t="shared" si="0"/>
        <v>81.61</v>
      </c>
      <c r="H37" s="29">
        <v>1</v>
      </c>
      <c r="I37" s="30">
        <v>0</v>
      </c>
      <c r="J37" s="31">
        <v>0</v>
      </c>
      <c r="K37" s="16">
        <v>0</v>
      </c>
      <c r="L37" s="45">
        <f>H37*'розрахунок балконів'!$N$2+I37*'розрахунок балконів'!$N$3+J37*'розрахунок балконів'!$N$4+K37*'розрахунок балконів'!$N$5</f>
        <v>1254</v>
      </c>
      <c r="M37" s="88">
        <f t="shared" si="1"/>
        <v>0</v>
      </c>
      <c r="N37" s="121">
        <f>IF(F37,L37*'розрахунок балконів'!$E$13,0)</f>
        <v>1602.8917382639204</v>
      </c>
      <c r="O37" s="121">
        <f>G37*'розрахунок квадрату стяжки'!$M$3</f>
        <v>3132.6087369991187</v>
      </c>
      <c r="P37" s="121">
        <f t="shared" si="2"/>
        <v>4735.5004752630393</v>
      </c>
      <c r="Q37" s="77"/>
      <c r="R37" s="170">
        <f t="shared" si="3"/>
        <v>-4735.5004752630393</v>
      </c>
    </row>
    <row r="38" spans="1:19" ht="15.75">
      <c r="A38" s="255"/>
      <c r="B38" s="257">
        <v>9</v>
      </c>
      <c r="C38" s="81" t="s">
        <v>117</v>
      </c>
      <c r="D38" s="82">
        <v>36.57</v>
      </c>
      <c r="E38" s="89"/>
      <c r="F38" s="90">
        <v>0</v>
      </c>
      <c r="G38" s="90">
        <f t="shared" si="0"/>
        <v>0</v>
      </c>
      <c r="H38" s="83">
        <v>1</v>
      </c>
      <c r="I38" s="84">
        <v>0</v>
      </c>
      <c r="J38" s="85">
        <v>0</v>
      </c>
      <c r="K38" s="86">
        <v>0</v>
      </c>
      <c r="L38" s="87">
        <f>H38*'розрахунок балконів'!$N$2+I38*'розрахунок балконів'!$N$3+J38*'розрахунок балконів'!$N$4+K38*'розрахунок балконів'!$N$5</f>
        <v>1254</v>
      </c>
      <c r="M38" s="90">
        <f t="shared" si="1"/>
        <v>1254</v>
      </c>
      <c r="N38" s="122">
        <f>IF(F38,L38*'розрахунок балконів'!$E$13,0)</f>
        <v>0</v>
      </c>
      <c r="O38" s="122">
        <f>G38*'розрахунок квадрату стяжки'!$M$3</f>
        <v>0</v>
      </c>
      <c r="P38" s="122">
        <f t="shared" si="2"/>
        <v>0</v>
      </c>
      <c r="Q38" s="90"/>
      <c r="R38" s="122">
        <f t="shared" si="3"/>
        <v>0</v>
      </c>
    </row>
    <row r="39" spans="1:19" ht="15.75">
      <c r="A39" s="255"/>
      <c r="B39" s="257"/>
      <c r="C39" s="103" t="s">
        <v>118</v>
      </c>
      <c r="D39" s="104">
        <v>37.36</v>
      </c>
      <c r="E39" s="29"/>
      <c r="F39" s="102">
        <v>1</v>
      </c>
      <c r="G39" s="77">
        <f t="shared" si="0"/>
        <v>37.36</v>
      </c>
      <c r="H39" s="105">
        <v>1</v>
      </c>
      <c r="I39" s="103">
        <v>0</v>
      </c>
      <c r="J39" s="104">
        <v>0</v>
      </c>
      <c r="K39" s="106">
        <v>0</v>
      </c>
      <c r="L39" s="107">
        <f>H39*'розрахунок балконів'!$N$2+I39*'розрахунок балконів'!$N$3+J39*'розрахунок балконів'!$N$4+K39*'розрахунок балконів'!$N$5</f>
        <v>1254</v>
      </c>
      <c r="M39" s="88">
        <f t="shared" si="1"/>
        <v>0</v>
      </c>
      <c r="N39" s="121">
        <f>IF(F39,L39*'розрахунок балконів'!$E$13,0)</f>
        <v>1602.8917382639204</v>
      </c>
      <c r="O39" s="121">
        <f>G39*'розрахунок квадрату стяжки'!$M$3</f>
        <v>1434.0676683529846</v>
      </c>
      <c r="P39" s="121">
        <f t="shared" si="2"/>
        <v>3036.9594066169047</v>
      </c>
      <c r="Q39" s="77"/>
      <c r="R39" s="170">
        <f t="shared" si="3"/>
        <v>-3036.9594066169047</v>
      </c>
    </row>
    <row r="40" spans="1:19" ht="15.75">
      <c r="A40" s="255"/>
      <c r="B40" s="257"/>
      <c r="C40" s="103" t="s">
        <v>118</v>
      </c>
      <c r="D40" s="104">
        <v>58.27</v>
      </c>
      <c r="E40" s="29"/>
      <c r="F40" s="102">
        <v>1</v>
      </c>
      <c r="G40" s="77">
        <f t="shared" si="0"/>
        <v>58.27</v>
      </c>
      <c r="H40" s="105">
        <v>1</v>
      </c>
      <c r="I40" s="103">
        <v>0</v>
      </c>
      <c r="J40" s="104">
        <v>0</v>
      </c>
      <c r="K40" s="106">
        <v>0</v>
      </c>
      <c r="L40" s="107">
        <f>H40*'розрахунок балконів'!$N$2+I40*'розрахунок балконів'!$N$3+J40*'розрахунок балконів'!$N$4+K40*'розрахунок балконів'!$N$5</f>
        <v>1254</v>
      </c>
      <c r="M40" s="88">
        <f t="shared" si="1"/>
        <v>0</v>
      </c>
      <c r="N40" s="121">
        <f>IF(F40,L40*'розрахунок балконів'!$E$13,0)</f>
        <v>1602.8917382639204</v>
      </c>
      <c r="O40" s="121">
        <f>G40*'розрахунок квадрату стяжки'!$M$3</f>
        <v>2236.7002953674632</v>
      </c>
      <c r="P40" s="121">
        <f t="shared" si="2"/>
        <v>3839.5920336313839</v>
      </c>
      <c r="Q40" s="77"/>
      <c r="R40" s="170">
        <f t="shared" si="3"/>
        <v>-3839.5920336313839</v>
      </c>
    </row>
    <row r="41" spans="1:19" ht="15.75">
      <c r="A41" s="255"/>
      <c r="B41" s="257"/>
      <c r="C41" s="81" t="s">
        <v>119</v>
      </c>
      <c r="D41" s="82">
        <v>65.040000000000006</v>
      </c>
      <c r="E41" s="89"/>
      <c r="F41" s="90">
        <v>0</v>
      </c>
      <c r="G41" s="90">
        <f t="shared" si="0"/>
        <v>0</v>
      </c>
      <c r="H41" s="89">
        <v>1</v>
      </c>
      <c r="I41" s="81">
        <v>0</v>
      </c>
      <c r="J41" s="82">
        <v>0</v>
      </c>
      <c r="K41" s="94">
        <v>1</v>
      </c>
      <c r="L41" s="87">
        <f>H41*'розрахунок балконів'!$N$2+I41*'розрахунок балконів'!$N$3+J41*'розрахунок балконів'!$N$4+K41*'розрахунок балконів'!$N$5</f>
        <v>2231.5</v>
      </c>
      <c r="M41" s="90">
        <f t="shared" si="1"/>
        <v>2231.5</v>
      </c>
      <c r="N41" s="122">
        <f>IF(F41,L41*'розрахунок балконів'!$E$13,0)</f>
        <v>0</v>
      </c>
      <c r="O41" s="122">
        <f>G41*'розрахунок квадрату стяжки'!$M$3</f>
        <v>0</v>
      </c>
      <c r="P41" s="122">
        <f t="shared" si="2"/>
        <v>0</v>
      </c>
      <c r="Q41" s="90"/>
      <c r="R41" s="122">
        <f t="shared" si="3"/>
        <v>0</v>
      </c>
    </row>
    <row r="42" spans="1:19" ht="15.75">
      <c r="A42" s="255"/>
      <c r="B42" s="257"/>
      <c r="C42" s="30" t="s">
        <v>120</v>
      </c>
      <c r="D42" s="31">
        <v>79.11</v>
      </c>
      <c r="E42" s="29">
        <v>2.5</v>
      </c>
      <c r="F42" s="77">
        <v>1</v>
      </c>
      <c r="G42" s="77">
        <f t="shared" si="0"/>
        <v>81.61</v>
      </c>
      <c r="H42" s="29">
        <v>1</v>
      </c>
      <c r="I42" s="30">
        <v>0</v>
      </c>
      <c r="J42" s="31">
        <v>0</v>
      </c>
      <c r="K42" s="16">
        <v>0</v>
      </c>
      <c r="L42" s="45">
        <f>H42*'розрахунок балконів'!$N$2+I42*'розрахунок балконів'!$N$3+J42*'розрахунок балконів'!$N$4+K42*'розрахунок балконів'!$N$5</f>
        <v>1254</v>
      </c>
      <c r="M42" s="88">
        <f t="shared" si="1"/>
        <v>0</v>
      </c>
      <c r="N42" s="121">
        <f>IF(F42,L42*'розрахунок балконів'!$E$13,0)</f>
        <v>1602.8917382639204</v>
      </c>
      <c r="O42" s="121">
        <f>G42*'розрахунок квадрату стяжки'!$M$3</f>
        <v>3132.6087369991187</v>
      </c>
      <c r="P42" s="121">
        <f t="shared" si="2"/>
        <v>4735.5004752630393</v>
      </c>
      <c r="Q42" s="77"/>
      <c r="R42" s="170">
        <f t="shared" si="3"/>
        <v>-4735.5004752630393</v>
      </c>
    </row>
    <row r="43" spans="1:19" ht="16.5" customHeight="1">
      <c r="A43" s="255"/>
      <c r="B43" s="257" t="s">
        <v>121</v>
      </c>
      <c r="C43" s="81" t="s">
        <v>122</v>
      </c>
      <c r="D43" s="82">
        <v>36.57</v>
      </c>
      <c r="E43" s="89"/>
      <c r="F43" s="90">
        <v>0</v>
      </c>
      <c r="G43" s="90">
        <f t="shared" si="0"/>
        <v>0</v>
      </c>
      <c r="H43" s="83">
        <v>1</v>
      </c>
      <c r="I43" s="84">
        <v>0</v>
      </c>
      <c r="J43" s="85">
        <v>0</v>
      </c>
      <c r="K43" s="86">
        <v>0</v>
      </c>
      <c r="L43" s="87">
        <f>H43*'розрахунок балконів'!$N$2+I43*'розрахунок балконів'!$N$3+J43*'розрахунок балконів'!$N$4+K43*'розрахунок балконів'!$N$5</f>
        <v>1254</v>
      </c>
      <c r="M43" s="90">
        <f t="shared" si="1"/>
        <v>1254</v>
      </c>
      <c r="N43" s="122">
        <f>IF(F43,L43*'розрахунок балконів'!$E$13,0)</f>
        <v>0</v>
      </c>
      <c r="O43" s="122">
        <f>G43*'розрахунок квадрату стяжки'!$M$3</f>
        <v>0</v>
      </c>
      <c r="P43" s="122">
        <f>(N43+O43)*0.7</f>
        <v>0</v>
      </c>
      <c r="Q43" s="90"/>
      <c r="R43" s="122">
        <f>S43-P43</f>
        <v>0.7</v>
      </c>
      <c r="S43" s="18">
        <v>0.7</v>
      </c>
    </row>
    <row r="44" spans="1:19" ht="15.75">
      <c r="A44" s="255"/>
      <c r="B44" s="257"/>
      <c r="C44" s="30" t="s">
        <v>123</v>
      </c>
      <c r="D44" s="31">
        <v>37.36</v>
      </c>
      <c r="E44" s="29"/>
      <c r="F44" s="77">
        <v>1</v>
      </c>
      <c r="G44" s="77">
        <f t="shared" si="0"/>
        <v>37.36</v>
      </c>
      <c r="H44" s="29">
        <v>1</v>
      </c>
      <c r="I44" s="30">
        <v>0</v>
      </c>
      <c r="J44" s="31">
        <v>0</v>
      </c>
      <c r="K44" s="16">
        <v>0</v>
      </c>
      <c r="L44" s="45">
        <f>H44*'розрахунок балконів'!$N$2+I44*'розрахунок балконів'!$N$3+J44*'розрахунок балконів'!$N$4+K44*'розрахунок балконів'!$N$5</f>
        <v>1254</v>
      </c>
      <c r="M44" s="88">
        <f t="shared" si="1"/>
        <v>0</v>
      </c>
      <c r="N44" s="121">
        <f>IF(F44,L44*'розрахунок балконів'!$E$13,0)</f>
        <v>1602.8917382639204</v>
      </c>
      <c r="O44" s="121">
        <f>G44*'розрахунок квадрату стяжки'!$M$3</f>
        <v>1434.0676683529846</v>
      </c>
      <c r="P44" s="121">
        <f>(N44+O44)*0.7</f>
        <v>2125.8715846318332</v>
      </c>
      <c r="Q44" s="77"/>
      <c r="R44" s="170">
        <f t="shared" ref="R44:R46" si="4">Q44-P44</f>
        <v>-2125.8715846318332</v>
      </c>
      <c r="S44" s="18">
        <v>0.7</v>
      </c>
    </row>
    <row r="45" spans="1:19" ht="15.75">
      <c r="A45" s="255"/>
      <c r="B45" s="257"/>
      <c r="C45" s="30" t="s">
        <v>124</v>
      </c>
      <c r="D45" s="31">
        <v>58.27</v>
      </c>
      <c r="E45" s="29"/>
      <c r="F45" s="77">
        <v>1</v>
      </c>
      <c r="G45" s="77">
        <f t="shared" si="0"/>
        <v>58.27</v>
      </c>
      <c r="H45" s="29">
        <v>1</v>
      </c>
      <c r="I45" s="30">
        <v>0</v>
      </c>
      <c r="J45" s="31">
        <v>0</v>
      </c>
      <c r="K45" s="16">
        <v>0</v>
      </c>
      <c r="L45" s="45">
        <f>H45*'розрахунок балконів'!$N$2+I45*'розрахунок балконів'!$N$3+J45*'розрахунок балконів'!$N$4+K45*'розрахунок балконів'!$N$5</f>
        <v>1254</v>
      </c>
      <c r="M45" s="88">
        <f t="shared" si="1"/>
        <v>0</v>
      </c>
      <c r="N45" s="121">
        <f>IF(F45,L45*'розрахунок балконів'!$E$13,0)</f>
        <v>1602.8917382639204</v>
      </c>
      <c r="O45" s="121">
        <f>G45*'розрахунок квадрату стяжки'!$M$3</f>
        <v>2236.7002953674632</v>
      </c>
      <c r="P45" s="121">
        <f t="shared" ref="P45:P47" si="5">(N45+O45)*0.7</f>
        <v>2687.7144235419687</v>
      </c>
      <c r="Q45" s="77"/>
      <c r="R45" s="170">
        <f t="shared" si="4"/>
        <v>-2687.7144235419687</v>
      </c>
      <c r="S45" s="18">
        <v>0.7</v>
      </c>
    </row>
    <row r="46" spans="1:19" ht="15.75">
      <c r="A46" s="255"/>
      <c r="B46" s="257"/>
      <c r="C46" s="81" t="s">
        <v>119</v>
      </c>
      <c r="D46" s="82">
        <v>65.040000000000006</v>
      </c>
      <c r="E46" s="89"/>
      <c r="F46" s="90">
        <v>0</v>
      </c>
      <c r="G46" s="90">
        <f t="shared" si="0"/>
        <v>0</v>
      </c>
      <c r="H46" s="89">
        <v>1</v>
      </c>
      <c r="I46" s="81">
        <v>0</v>
      </c>
      <c r="J46" s="82">
        <v>0</v>
      </c>
      <c r="K46" s="94">
        <v>1</v>
      </c>
      <c r="L46" s="87">
        <f>H46*'розрахунок балконів'!$N$2+I46*'розрахунок балконів'!$N$3+J46*'розрахунок балконів'!$N$4+K46*'розрахунок балконів'!$N$5</f>
        <v>2231.5</v>
      </c>
      <c r="M46" s="90">
        <f t="shared" si="1"/>
        <v>2231.5</v>
      </c>
      <c r="N46" s="122">
        <f>IF(F46,L46*'розрахунок балконів'!$E$13,0)</f>
        <v>0</v>
      </c>
      <c r="O46" s="122">
        <f>G46*'розрахунок квадрату стяжки'!$M$3</f>
        <v>0</v>
      </c>
      <c r="P46" s="122">
        <f t="shared" si="5"/>
        <v>0</v>
      </c>
      <c r="Q46" s="90"/>
      <c r="R46" s="122">
        <f t="shared" si="4"/>
        <v>0</v>
      </c>
      <c r="S46" s="18">
        <v>0.7</v>
      </c>
    </row>
    <row r="47" spans="1:19" ht="15.75">
      <c r="A47" s="255"/>
      <c r="B47" s="257"/>
      <c r="C47" s="222" t="s">
        <v>125</v>
      </c>
      <c r="D47" s="223">
        <v>79.11</v>
      </c>
      <c r="E47" s="174"/>
      <c r="F47" s="176">
        <v>1</v>
      </c>
      <c r="G47" s="176">
        <f t="shared" si="0"/>
        <v>79.11</v>
      </c>
      <c r="H47" s="174">
        <v>1</v>
      </c>
      <c r="I47" s="222">
        <v>0</v>
      </c>
      <c r="J47" s="223">
        <v>0</v>
      </c>
      <c r="K47" s="224">
        <v>0</v>
      </c>
      <c r="L47" s="215">
        <f>H47*'розрахунок балконів'!$N$2+I47*'розрахунок балконів'!$N$3+J47*'розрахунок балконів'!$N$4+K47*'розрахунок балконів'!$N$5</f>
        <v>1254</v>
      </c>
      <c r="M47" s="176">
        <f t="shared" si="1"/>
        <v>0</v>
      </c>
      <c r="N47" s="180">
        <f>IF(F47,L47*'розрахунок балконів'!$E$13,0)</f>
        <v>1602.8917382639204</v>
      </c>
      <c r="O47" s="180">
        <f>G47*'розрахунок квадрату стяжки'!$M$3</f>
        <v>3036.6459647592242</v>
      </c>
      <c r="P47" s="180">
        <f t="shared" si="5"/>
        <v>3247.676392116201</v>
      </c>
      <c r="Q47" s="176">
        <v>3300</v>
      </c>
      <c r="R47" s="180">
        <f>Q47-P47</f>
        <v>52.323607883799014</v>
      </c>
      <c r="S47" s="18">
        <v>0.7</v>
      </c>
    </row>
    <row r="48" spans="1:19" ht="19.5" thickBot="1">
      <c r="A48" s="15"/>
      <c r="B48" s="15"/>
      <c r="C48" s="32"/>
      <c r="D48" s="33">
        <f>SUM(D3:D47)</f>
        <v>2487.1499999999996</v>
      </c>
      <c r="G48" s="116">
        <f>SUM(G3:G47)</f>
        <v>1985.349999999999</v>
      </c>
      <c r="H48" s="32">
        <f t="shared" ref="H48:M48" si="6">SUM(H3:H47)</f>
        <v>45</v>
      </c>
      <c r="I48" s="32">
        <f t="shared" si="6"/>
        <v>0</v>
      </c>
      <c r="J48" s="95">
        <f t="shared" si="6"/>
        <v>0</v>
      </c>
      <c r="K48" s="13">
        <f t="shared" si="6"/>
        <v>9</v>
      </c>
      <c r="L48" s="6">
        <f t="shared" si="6"/>
        <v>65227.5</v>
      </c>
      <c r="M48" s="6">
        <f t="shared" si="6"/>
        <v>16726.5</v>
      </c>
      <c r="N48" s="119">
        <f>SUM(N3:N47)</f>
        <v>61995.097446202846</v>
      </c>
      <c r="O48" s="119">
        <f>SUM(O3:O47)</f>
        <v>76207.875946589891</v>
      </c>
      <c r="P48" s="119">
        <f>SUM(P3:P47)</f>
        <v>134748.14664981136</v>
      </c>
      <c r="Q48" s="119">
        <f>SUM(Q3:Q47)</f>
        <v>51042</v>
      </c>
      <c r="R48" s="119">
        <f>SUM(R3:R47)</f>
        <v>-83705.446649811362</v>
      </c>
    </row>
    <row r="49" spans="1:10">
      <c r="A49" s="17"/>
      <c r="B49" s="17"/>
      <c r="C49" s="25"/>
      <c r="D49" s="25"/>
      <c r="E49" s="25"/>
      <c r="F49" s="25"/>
      <c r="G49" s="25"/>
      <c r="H49" s="13"/>
      <c r="I49" s="6"/>
      <c r="J49" s="6"/>
    </row>
    <row r="50" spans="1:10">
      <c r="A50" s="4"/>
      <c r="B50" s="4"/>
      <c r="C50" s="34"/>
      <c r="D50" s="20"/>
      <c r="E50" s="20"/>
      <c r="F50" s="20"/>
      <c r="G50" s="20"/>
      <c r="H50" s="35"/>
      <c r="I50" s="21"/>
      <c r="J50" s="21"/>
    </row>
    <row r="51" spans="1:10">
      <c r="A51" s="253"/>
      <c r="B51" s="36"/>
      <c r="C51" s="37"/>
      <c r="D51" s="38"/>
      <c r="E51" s="37"/>
      <c r="F51" s="38"/>
      <c r="G51" s="38"/>
      <c r="H51" s="35"/>
      <c r="I51" s="39"/>
      <c r="J51" s="21"/>
    </row>
    <row r="52" spans="1:10">
      <c r="A52" s="253"/>
      <c r="B52" s="36"/>
      <c r="C52" s="37"/>
      <c r="D52" s="38"/>
      <c r="E52" s="37"/>
      <c r="F52" s="38"/>
      <c r="G52" s="38"/>
      <c r="H52" s="35"/>
      <c r="I52" s="39"/>
      <c r="J52" s="21"/>
    </row>
    <row r="53" spans="1:10">
      <c r="A53" s="253"/>
      <c r="B53" s="36"/>
      <c r="C53" s="37"/>
      <c r="D53" s="38"/>
      <c r="E53" s="37"/>
      <c r="F53" s="38"/>
      <c r="G53" s="38"/>
      <c r="H53" s="35"/>
      <c r="I53" s="39"/>
      <c r="J53" s="21"/>
    </row>
    <row r="54" spans="1:10">
      <c r="A54" s="253"/>
      <c r="B54" s="36"/>
      <c r="C54" s="37"/>
      <c r="D54" s="38"/>
      <c r="E54" s="37"/>
      <c r="F54" s="38"/>
      <c r="G54" s="38"/>
      <c r="H54" s="35"/>
      <c r="I54" s="39"/>
      <c r="J54" s="21"/>
    </row>
    <row r="55" spans="1:10">
      <c r="A55" s="253"/>
      <c r="B55" s="36"/>
      <c r="C55" s="37"/>
      <c r="D55" s="38"/>
      <c r="E55" s="37"/>
      <c r="F55" s="38"/>
      <c r="G55" s="38"/>
      <c r="H55" s="35"/>
      <c r="I55" s="39"/>
      <c r="J55" s="21"/>
    </row>
    <row r="56" spans="1:10">
      <c r="A56" s="253"/>
      <c r="B56" s="36"/>
      <c r="C56" s="37"/>
      <c r="D56" s="38"/>
      <c r="E56" s="37"/>
      <c r="F56" s="38"/>
      <c r="G56" s="38"/>
      <c r="H56" s="35"/>
      <c r="I56" s="39"/>
      <c r="J56" s="21"/>
    </row>
    <row r="57" spans="1:10">
      <c r="A57" s="253"/>
      <c r="B57" s="36"/>
      <c r="C57" s="37"/>
      <c r="D57" s="38"/>
      <c r="E57" s="37"/>
      <c r="F57" s="38"/>
      <c r="G57" s="38"/>
      <c r="H57" s="35"/>
      <c r="I57" s="39"/>
      <c r="J57" s="21"/>
    </row>
    <row r="58" spans="1:10">
      <c r="A58" s="253"/>
      <c r="B58" s="36"/>
      <c r="C58" s="37"/>
      <c r="D58" s="38"/>
      <c r="E58" s="37"/>
      <c r="F58" s="38"/>
      <c r="G58" s="38"/>
      <c r="H58" s="35"/>
      <c r="I58" s="39"/>
      <c r="J58" s="21"/>
    </row>
    <row r="59" spans="1:10">
      <c r="A59" s="253"/>
      <c r="B59" s="36"/>
      <c r="C59" s="37"/>
      <c r="D59" s="38"/>
      <c r="E59" s="37"/>
      <c r="F59" s="38"/>
      <c r="G59" s="38"/>
      <c r="H59" s="35"/>
      <c r="I59" s="39"/>
      <c r="J59" s="21"/>
    </row>
    <row r="60" spans="1:10">
      <c r="A60" s="253"/>
      <c r="B60" s="36"/>
      <c r="C60" s="37"/>
      <c r="D60" s="38"/>
      <c r="E60" s="37"/>
      <c r="F60" s="38"/>
      <c r="G60" s="38"/>
      <c r="H60" s="35"/>
      <c r="I60" s="39"/>
      <c r="J60" s="21"/>
    </row>
    <row r="61" spans="1:10">
      <c r="A61" s="4"/>
      <c r="B61" s="4"/>
      <c r="C61" s="20"/>
      <c r="D61" s="40"/>
      <c r="E61" s="20"/>
      <c r="F61" s="20"/>
      <c r="G61" s="40"/>
      <c r="H61" s="35"/>
      <c r="I61" s="21"/>
      <c r="J61" s="21"/>
    </row>
    <row r="62" spans="1:10">
      <c r="A62" s="4"/>
      <c r="B62" s="4"/>
      <c r="C62" s="20"/>
      <c r="D62" s="20"/>
      <c r="E62" s="20"/>
      <c r="F62" s="20"/>
      <c r="G62" s="20"/>
      <c r="H62" s="21"/>
      <c r="I62" s="21"/>
      <c r="J62" s="21"/>
    </row>
  </sheetData>
  <mergeCells count="12">
    <mergeCell ref="A1:P1"/>
    <mergeCell ref="A51:A60"/>
    <mergeCell ref="A3:A47"/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zoomScale="80" zoomScaleNormal="80" workbookViewId="0">
      <selection activeCell="Q12" sqref="Q12"/>
    </sheetView>
  </sheetViews>
  <sheetFormatPr defaultRowHeight="15"/>
  <cols>
    <col min="3" max="3" width="34.28515625" customWidth="1"/>
    <col min="5" max="5" width="9.7109375" customWidth="1"/>
    <col min="6" max="6" width="6.7109375" bestFit="1" customWidth="1"/>
    <col min="7" max="7" width="9.85546875" customWidth="1"/>
    <col min="8" max="8" width="11.5703125" customWidth="1"/>
    <col min="10" max="10" width="12.7109375" customWidth="1"/>
    <col min="13" max="13" width="11.85546875" customWidth="1"/>
    <col min="14" max="14" width="14.140625" customWidth="1"/>
    <col min="15" max="15" width="15.5703125" customWidth="1"/>
    <col min="16" max="16" width="11.28515625" customWidth="1"/>
    <col min="18" max="18" width="10.28515625" customWidth="1"/>
  </cols>
  <sheetData>
    <row r="1" spans="1:18">
      <c r="A1" s="250" t="s">
        <v>219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2"/>
    </row>
    <row r="2" spans="1:18" ht="57.75">
      <c r="A2" s="75" t="s">
        <v>0</v>
      </c>
      <c r="B2" s="75" t="s">
        <v>1</v>
      </c>
      <c r="C2" s="75" t="s">
        <v>2</v>
      </c>
      <c r="D2" s="75" t="s">
        <v>3</v>
      </c>
      <c r="E2" s="139" t="s">
        <v>261</v>
      </c>
      <c r="F2" s="57" t="s">
        <v>240</v>
      </c>
      <c r="G2" s="77" t="s">
        <v>241</v>
      </c>
      <c r="H2" s="76" t="s">
        <v>227</v>
      </c>
      <c r="I2" s="76" t="s">
        <v>224</v>
      </c>
      <c r="J2" s="76" t="s">
        <v>225</v>
      </c>
      <c r="K2" s="76" t="s">
        <v>226</v>
      </c>
      <c r="L2" s="76" t="s">
        <v>201</v>
      </c>
      <c r="M2" s="144" t="s">
        <v>264</v>
      </c>
      <c r="N2" s="144" t="s">
        <v>257</v>
      </c>
      <c r="O2" s="144" t="s">
        <v>262</v>
      </c>
      <c r="P2" s="144" t="s">
        <v>259</v>
      </c>
      <c r="Q2" s="57" t="s">
        <v>281</v>
      </c>
      <c r="R2" s="77" t="s">
        <v>282</v>
      </c>
    </row>
    <row r="3" spans="1:18">
      <c r="A3" s="258">
        <v>4</v>
      </c>
      <c r="B3" s="259">
        <v>2</v>
      </c>
      <c r="C3" s="96" t="s">
        <v>126</v>
      </c>
      <c r="D3" s="97">
        <v>60.75</v>
      </c>
      <c r="E3" s="90"/>
      <c r="F3" s="90">
        <v>0</v>
      </c>
      <c r="G3" s="90">
        <f>(D3+E3)*F3</f>
        <v>0</v>
      </c>
      <c r="H3" s="62">
        <v>1</v>
      </c>
      <c r="I3" s="98">
        <v>0</v>
      </c>
      <c r="J3" s="98">
        <v>1</v>
      </c>
      <c r="K3" s="99">
        <v>0</v>
      </c>
      <c r="L3" s="100">
        <f>H3*'розрахунок балконів'!$N$2+I3*'розрахунок балконів'!$N$3+J3*'розрахунок балконів'!$N$4+K3*'розрахунок балконів'!$N$5</f>
        <v>1793.6</v>
      </c>
      <c r="M3" s="90">
        <f>IF(F3,0,L3)</f>
        <v>1793.6</v>
      </c>
      <c r="N3" s="122">
        <f>IF(F3,L3*'розрахунок балконів'!$E$13,0)</f>
        <v>0</v>
      </c>
      <c r="O3" s="122">
        <f>G3*'розрахунок квадрату стяжки'!$M$3</f>
        <v>0</v>
      </c>
      <c r="P3" s="122">
        <f>N3+O3</f>
        <v>0</v>
      </c>
      <c r="Q3" s="90"/>
      <c r="R3" s="122">
        <f t="shared" ref="R3:R14" si="0">Q3-P3</f>
        <v>0</v>
      </c>
    </row>
    <row r="4" spans="1:18">
      <c r="A4" s="258"/>
      <c r="B4" s="260"/>
      <c r="C4" s="101" t="s">
        <v>203</v>
      </c>
      <c r="D4" s="60">
        <v>54.16</v>
      </c>
      <c r="E4" s="90"/>
      <c r="F4" s="90">
        <v>0</v>
      </c>
      <c r="G4" s="90">
        <f t="shared" ref="G4:G29" si="1">(D4+E4)*F4</f>
        <v>0</v>
      </c>
      <c r="H4" s="100">
        <v>0</v>
      </c>
      <c r="I4" s="100">
        <v>0</v>
      </c>
      <c r="J4" s="100">
        <v>1</v>
      </c>
      <c r="K4" s="100">
        <v>0</v>
      </c>
      <c r="L4" s="100">
        <f>H4*'розрахунок балконів'!$N$2+I4*'розрахунок балконів'!$N$3+J4*'розрахунок балконів'!$N$4+K4*'розрахунок балконів'!$N$5</f>
        <v>539.6</v>
      </c>
      <c r="M4" s="90">
        <f t="shared" ref="M4:M29" si="2">IF(F4,0,L4)</f>
        <v>539.6</v>
      </c>
      <c r="N4" s="122">
        <f>IF(F4,L4*'розрахунок балконів'!$E$13,0)</f>
        <v>0</v>
      </c>
      <c r="O4" s="122">
        <f>G4*'розрахунок квадрату стяжки'!$M$3</f>
        <v>0</v>
      </c>
      <c r="P4" s="122">
        <f t="shared" ref="P4:P8" si="3">N4+O4</f>
        <v>0</v>
      </c>
      <c r="Q4" s="90"/>
      <c r="R4" s="122">
        <f t="shared" si="0"/>
        <v>0</v>
      </c>
    </row>
    <row r="5" spans="1:18">
      <c r="A5" s="258"/>
      <c r="B5" s="260"/>
      <c r="C5" s="101" t="s">
        <v>127</v>
      </c>
      <c r="D5" s="60">
        <v>75.510000000000005</v>
      </c>
      <c r="E5" s="90"/>
      <c r="F5" s="90">
        <v>0</v>
      </c>
      <c r="G5" s="90">
        <f t="shared" si="1"/>
        <v>0</v>
      </c>
      <c r="H5" s="100">
        <v>1</v>
      </c>
      <c r="I5" s="100">
        <v>0</v>
      </c>
      <c r="J5" s="100">
        <v>2</v>
      </c>
      <c r="K5" s="100">
        <v>0</v>
      </c>
      <c r="L5" s="100">
        <f>H5*'розрахунок балконів'!$N$2+I5*'розрахунок балконів'!$N$3+J5*'розрахунок балконів'!$N$4+K5*'розрахунок балконів'!$N$5</f>
        <v>2333.1999999999998</v>
      </c>
      <c r="M5" s="90">
        <f t="shared" si="2"/>
        <v>2333.1999999999998</v>
      </c>
      <c r="N5" s="122">
        <f>IF(F5,L5*'розрахунок балконів'!$E$13,0)</f>
        <v>0</v>
      </c>
      <c r="O5" s="122">
        <f>G5*'розрахунок квадрату стяжки'!$M$3</f>
        <v>0</v>
      </c>
      <c r="P5" s="122">
        <f t="shared" si="3"/>
        <v>0</v>
      </c>
      <c r="Q5" s="90"/>
      <c r="R5" s="122">
        <f t="shared" si="0"/>
        <v>0</v>
      </c>
    </row>
    <row r="6" spans="1:18">
      <c r="A6" s="258"/>
      <c r="B6" s="260">
        <v>3</v>
      </c>
      <c r="C6" s="74" t="s">
        <v>128</v>
      </c>
      <c r="D6" s="56">
        <v>60</v>
      </c>
      <c r="E6" s="77"/>
      <c r="F6" s="77">
        <v>1</v>
      </c>
      <c r="G6" s="88">
        <f t="shared" si="1"/>
        <v>60</v>
      </c>
      <c r="H6" s="58">
        <v>1</v>
      </c>
      <c r="I6" s="70">
        <v>0</v>
      </c>
      <c r="J6" s="70">
        <v>1</v>
      </c>
      <c r="K6" s="69">
        <v>0</v>
      </c>
      <c r="L6" s="71">
        <f>H6*'розрахунок балконів'!$N$2+I6*'розрахунок балконів'!$N$3+J6*'розрахунок балконів'!$N$4+K6*'розрахунок балконів'!$N$5</f>
        <v>1793.6</v>
      </c>
      <c r="M6" s="88">
        <f t="shared" si="2"/>
        <v>0</v>
      </c>
      <c r="N6" s="121">
        <f>IF(F6,L6*'розрахунок балконів'!$E$13,0)</f>
        <v>2292.620910486577</v>
      </c>
      <c r="O6" s="121">
        <f>G6*'розрахунок квадрату стяжки'!$M$3</f>
        <v>2303.1065337574701</v>
      </c>
      <c r="P6" s="121">
        <f t="shared" si="3"/>
        <v>4595.7274442440466</v>
      </c>
      <c r="Q6" s="77"/>
      <c r="R6" s="170">
        <f t="shared" si="0"/>
        <v>-4595.7274442440466</v>
      </c>
    </row>
    <row r="7" spans="1:18">
      <c r="A7" s="258"/>
      <c r="B7" s="260"/>
      <c r="C7" s="235" t="s">
        <v>129</v>
      </c>
      <c r="D7" s="207">
        <v>54</v>
      </c>
      <c r="E7" s="176"/>
      <c r="F7" s="176">
        <v>1</v>
      </c>
      <c r="G7" s="176">
        <f t="shared" si="1"/>
        <v>54</v>
      </c>
      <c r="H7" s="210">
        <v>0</v>
      </c>
      <c r="I7" s="210">
        <v>0</v>
      </c>
      <c r="J7" s="210">
        <v>1</v>
      </c>
      <c r="K7" s="210">
        <v>0</v>
      </c>
      <c r="L7" s="210">
        <f>H7*'розрахунок балконів'!$N$2+I7*'розрахунок балконів'!$N$3+J7*'розрахунок балконів'!$N$4+K7*'розрахунок балконів'!$N$5</f>
        <v>539.6</v>
      </c>
      <c r="M7" s="176">
        <f t="shared" si="2"/>
        <v>0</v>
      </c>
      <c r="N7" s="180">
        <f>IF(F7,L7*'розрахунок балконів'!$E$13,0)</f>
        <v>689.72917222265664</v>
      </c>
      <c r="O7" s="180">
        <f>G7*'розрахунок квадрату стяжки'!$M$3</f>
        <v>2072.7958803817232</v>
      </c>
      <c r="P7" s="180">
        <f t="shared" si="3"/>
        <v>2762.5250526043801</v>
      </c>
      <c r="Q7" s="176">
        <v>2867</v>
      </c>
      <c r="R7" s="180">
        <f t="shared" si="0"/>
        <v>104.47494739561989</v>
      </c>
    </row>
    <row r="8" spans="1:18">
      <c r="A8" s="258"/>
      <c r="B8" s="260"/>
      <c r="C8" s="74" t="s">
        <v>130</v>
      </c>
      <c r="D8" s="56">
        <v>75.510000000000005</v>
      </c>
      <c r="E8" s="77"/>
      <c r="F8" s="77">
        <v>1</v>
      </c>
      <c r="G8" s="88">
        <f t="shared" si="1"/>
        <v>75.510000000000005</v>
      </c>
      <c r="H8" s="72">
        <v>1</v>
      </c>
      <c r="I8" s="72">
        <v>0</v>
      </c>
      <c r="J8" s="72">
        <v>2</v>
      </c>
      <c r="K8" s="72">
        <v>0</v>
      </c>
      <c r="L8" s="71">
        <f>H8*'розрахунок балконів'!$N$2+I8*'розрахунок балконів'!$N$3+J8*'розрахунок балконів'!$N$4+K8*'розрахунок балконів'!$N$5</f>
        <v>2333.1999999999998</v>
      </c>
      <c r="M8" s="88">
        <f t="shared" si="2"/>
        <v>0</v>
      </c>
      <c r="N8" s="121">
        <f>IF(F8,L8*'розрахунок балконів'!$E$13,0)</f>
        <v>2982.3500827092334</v>
      </c>
      <c r="O8" s="121">
        <f>G8*'розрахунок квадрату стяжки'!$M$3</f>
        <v>2898.4595727337764</v>
      </c>
      <c r="P8" s="121">
        <f t="shared" si="3"/>
        <v>5880.8096554430103</v>
      </c>
      <c r="Q8" s="77"/>
      <c r="R8" s="170">
        <f t="shared" si="0"/>
        <v>-5880.8096554430103</v>
      </c>
    </row>
    <row r="9" spans="1:18">
      <c r="A9" s="258"/>
      <c r="B9" s="260">
        <v>4</v>
      </c>
      <c r="C9" s="206" t="s">
        <v>131</v>
      </c>
      <c r="D9" s="207">
        <v>60</v>
      </c>
      <c r="E9" s="176"/>
      <c r="F9" s="176">
        <v>1</v>
      </c>
      <c r="G9" s="176">
        <f t="shared" si="1"/>
        <v>60</v>
      </c>
      <c r="H9" s="178">
        <v>1</v>
      </c>
      <c r="I9" s="208">
        <v>0</v>
      </c>
      <c r="J9" s="208">
        <v>1</v>
      </c>
      <c r="K9" s="209">
        <v>0</v>
      </c>
      <c r="L9" s="210">
        <f>H9*'розрахунок балконів'!$N$2+I9*'розрахунок балконів'!$N$3+J9*'розрахунок балконів'!$N$4+K9*'розрахунок балконів'!$N$5</f>
        <v>1793.6</v>
      </c>
      <c r="M9" s="176">
        <f t="shared" si="2"/>
        <v>0</v>
      </c>
      <c r="N9" s="180">
        <f>IF(F9,L9*'розрахунок балконів'!$E$13,0)</f>
        <v>2292.620910486577</v>
      </c>
      <c r="O9" s="180">
        <f>G9*'розрахунок квадрату стяжки'!$M$3</f>
        <v>2303.1065337574701</v>
      </c>
      <c r="P9" s="180">
        <f t="shared" ref="P9:P26" si="4">N9+O9</f>
        <v>4595.7274442440466</v>
      </c>
      <c r="Q9" s="176">
        <v>4650</v>
      </c>
      <c r="R9" s="180">
        <f t="shared" si="0"/>
        <v>54.272555755953363</v>
      </c>
    </row>
    <row r="10" spans="1:18">
      <c r="A10" s="258"/>
      <c r="B10" s="260"/>
      <c r="C10" s="101" t="s">
        <v>132</v>
      </c>
      <c r="D10" s="60">
        <v>54.16</v>
      </c>
      <c r="E10" s="90"/>
      <c r="F10" s="90">
        <v>0</v>
      </c>
      <c r="G10" s="90">
        <f t="shared" si="1"/>
        <v>0</v>
      </c>
      <c r="H10" s="100">
        <v>0</v>
      </c>
      <c r="I10" s="100">
        <v>0</v>
      </c>
      <c r="J10" s="100">
        <v>1</v>
      </c>
      <c r="K10" s="100">
        <v>0</v>
      </c>
      <c r="L10" s="100">
        <f>H10*'розрахунок балконів'!$N$2+I10*'розрахунок балконів'!$N$3+J10*'розрахунок балконів'!$N$4+K10*'розрахунок балконів'!$N$5</f>
        <v>539.6</v>
      </c>
      <c r="M10" s="90">
        <f t="shared" si="2"/>
        <v>539.6</v>
      </c>
      <c r="N10" s="122">
        <f>IF(F10,L10*'розрахунок балконів'!$E$13,0)</f>
        <v>0</v>
      </c>
      <c r="O10" s="122">
        <f>G10*'розрахунок квадрату стяжки'!$M$3</f>
        <v>0</v>
      </c>
      <c r="P10" s="122">
        <f t="shared" si="4"/>
        <v>0</v>
      </c>
      <c r="Q10" s="90"/>
      <c r="R10" s="122">
        <f t="shared" si="0"/>
        <v>0</v>
      </c>
    </row>
    <row r="11" spans="1:18">
      <c r="A11" s="258"/>
      <c r="B11" s="260"/>
      <c r="C11" s="206" t="s">
        <v>133</v>
      </c>
      <c r="D11" s="207">
        <v>75.510000000000005</v>
      </c>
      <c r="E11" s="176">
        <v>2.5</v>
      </c>
      <c r="F11" s="176">
        <v>1</v>
      </c>
      <c r="G11" s="176">
        <f t="shared" si="1"/>
        <v>78.010000000000005</v>
      </c>
      <c r="H11" s="210">
        <v>1</v>
      </c>
      <c r="I11" s="210">
        <v>0</v>
      </c>
      <c r="J11" s="210">
        <v>2</v>
      </c>
      <c r="K11" s="210">
        <v>0</v>
      </c>
      <c r="L11" s="210">
        <f>H11*'розрахунок балконів'!$N$2+I11*'розрахунок балконів'!$N$3+J11*'розрахунок балконів'!$N$4+K11*'розрахунок балконів'!$N$5</f>
        <v>2333.1999999999998</v>
      </c>
      <c r="M11" s="176">
        <f t="shared" si="2"/>
        <v>0</v>
      </c>
      <c r="N11" s="180">
        <f>IF(F11,L11*'розрахунок балконів'!$E$13,0)</f>
        <v>2982.3500827092334</v>
      </c>
      <c r="O11" s="180">
        <f>G11*'розрахунок квадрату стяжки'!$M$3</f>
        <v>2994.422344973671</v>
      </c>
      <c r="P11" s="180">
        <f t="shared" si="4"/>
        <v>5976.7724276829049</v>
      </c>
      <c r="Q11" s="176">
        <v>5976</v>
      </c>
      <c r="R11" s="180">
        <f t="shared" si="0"/>
        <v>-0.77242768290489039</v>
      </c>
    </row>
    <row r="12" spans="1:18">
      <c r="A12" s="258"/>
      <c r="B12" s="260">
        <v>5</v>
      </c>
      <c r="C12" s="74" t="s">
        <v>134</v>
      </c>
      <c r="D12" s="56">
        <v>60.75</v>
      </c>
      <c r="E12" s="77"/>
      <c r="F12" s="77">
        <v>1</v>
      </c>
      <c r="G12" s="88">
        <f t="shared" si="1"/>
        <v>60.75</v>
      </c>
      <c r="H12" s="58">
        <v>1</v>
      </c>
      <c r="I12" s="70">
        <v>0</v>
      </c>
      <c r="J12" s="70">
        <v>1</v>
      </c>
      <c r="K12" s="69">
        <v>0</v>
      </c>
      <c r="L12" s="71">
        <f>H12*'розрахунок балконів'!$N$2+I12*'розрахунок балконів'!$N$3+J12*'розрахунок балконів'!$N$4+K12*'розрахунок балконів'!$N$5</f>
        <v>1793.6</v>
      </c>
      <c r="M12" s="88">
        <f t="shared" si="2"/>
        <v>0</v>
      </c>
      <c r="N12" s="121">
        <f>IF(F12,L12*'розрахунок балконів'!$E$13,0)</f>
        <v>2292.620910486577</v>
      </c>
      <c r="O12" s="121">
        <f>G12*'розрахунок квадрату стяжки'!$M$3</f>
        <v>2331.8953654294382</v>
      </c>
      <c r="P12" s="121">
        <f t="shared" si="4"/>
        <v>4624.5162759160157</v>
      </c>
      <c r="Q12" s="77"/>
      <c r="R12" s="170">
        <f t="shared" si="0"/>
        <v>-4624.5162759160157</v>
      </c>
    </row>
    <row r="13" spans="1:18">
      <c r="A13" s="258"/>
      <c r="B13" s="260"/>
      <c r="C13" s="74" t="s">
        <v>135</v>
      </c>
      <c r="D13" s="56">
        <v>54.16</v>
      </c>
      <c r="E13" s="77"/>
      <c r="F13" s="77">
        <v>1</v>
      </c>
      <c r="G13" s="88">
        <f t="shared" si="1"/>
        <v>54.16</v>
      </c>
      <c r="H13" s="72">
        <v>0</v>
      </c>
      <c r="I13" s="72">
        <v>0</v>
      </c>
      <c r="J13" s="72">
        <v>1</v>
      </c>
      <c r="K13" s="72">
        <v>0</v>
      </c>
      <c r="L13" s="71">
        <f>H13*'розрахунок балконів'!$N$2+I13*'розрахунок балконів'!$N$3+J13*'розрахунок балконів'!$N$4+K13*'розрахунок балконів'!$N$5</f>
        <v>539.6</v>
      </c>
      <c r="M13" s="88">
        <f t="shared" si="2"/>
        <v>0</v>
      </c>
      <c r="N13" s="121">
        <f>IF(F13,L13*'розрахунок балконів'!$E$13,0)</f>
        <v>689.72917222265664</v>
      </c>
      <c r="O13" s="121">
        <f>G13*'розрахунок квадрату стяжки'!$M$3</f>
        <v>2078.9374978050764</v>
      </c>
      <c r="P13" s="121">
        <f t="shared" si="4"/>
        <v>2768.6666700277328</v>
      </c>
      <c r="Q13" s="77"/>
      <c r="R13" s="170">
        <f t="shared" si="0"/>
        <v>-2768.6666700277328</v>
      </c>
    </row>
    <row r="14" spans="1:18">
      <c r="A14" s="258"/>
      <c r="B14" s="260"/>
      <c r="C14" s="206" t="s">
        <v>136</v>
      </c>
      <c r="D14" s="207">
        <v>75.510000000000005</v>
      </c>
      <c r="E14" s="176"/>
      <c r="F14" s="176">
        <v>1</v>
      </c>
      <c r="G14" s="176">
        <f t="shared" si="1"/>
        <v>75.510000000000005</v>
      </c>
      <c r="H14" s="210">
        <v>1</v>
      </c>
      <c r="I14" s="210">
        <v>0</v>
      </c>
      <c r="J14" s="210">
        <v>2</v>
      </c>
      <c r="K14" s="210">
        <v>0</v>
      </c>
      <c r="L14" s="210">
        <f>H14*'розрахунок балконів'!$N$2+I14*'розрахунок балконів'!$N$3+J14*'розрахунок балконів'!$N$4+K14*'розрахунок балконів'!$N$5</f>
        <v>2333.1999999999998</v>
      </c>
      <c r="M14" s="176">
        <f t="shared" si="2"/>
        <v>0</v>
      </c>
      <c r="N14" s="180">
        <f>IF(F14,L14*'розрахунок балконів'!$E$13,0)</f>
        <v>2982.3500827092334</v>
      </c>
      <c r="O14" s="180">
        <f>G14*'розрахунок квадрату стяжки'!$M$3</f>
        <v>2898.4595727337764</v>
      </c>
      <c r="P14" s="180">
        <f t="shared" si="4"/>
        <v>5880.8096554430103</v>
      </c>
      <c r="Q14" s="176">
        <v>5950</v>
      </c>
      <c r="R14" s="180">
        <f t="shared" si="0"/>
        <v>69.190344556989658</v>
      </c>
    </row>
    <row r="15" spans="1:18">
      <c r="A15" s="258"/>
      <c r="B15" s="260">
        <v>6</v>
      </c>
      <c r="C15" s="206" t="s">
        <v>137</v>
      </c>
      <c r="D15" s="207">
        <v>60.75</v>
      </c>
      <c r="E15" s="176"/>
      <c r="F15" s="176">
        <v>1</v>
      </c>
      <c r="G15" s="176">
        <f t="shared" si="1"/>
        <v>60.75</v>
      </c>
      <c r="H15" s="178">
        <v>1</v>
      </c>
      <c r="I15" s="208">
        <v>0</v>
      </c>
      <c r="J15" s="208">
        <v>1</v>
      </c>
      <c r="K15" s="209">
        <v>0</v>
      </c>
      <c r="L15" s="210">
        <f>H15*'розрахунок балконів'!$N$2+I15*'розрахунок балконів'!$N$3+J15*'розрахунок балконів'!$N$4+K15*'розрахунок балконів'!$N$5</f>
        <v>1793.6</v>
      </c>
      <c r="M15" s="176">
        <f t="shared" si="2"/>
        <v>0</v>
      </c>
      <c r="N15" s="180">
        <f>IF(F15,L15*'розрахунок балконів'!$E$13,0)</f>
        <v>2292.620910486577</v>
      </c>
      <c r="O15" s="180">
        <f>G15*'розрахунок квадрату стяжки'!$M$3</f>
        <v>2331.8953654294382</v>
      </c>
      <c r="P15" s="180">
        <f t="shared" si="4"/>
        <v>4624.5162759160157</v>
      </c>
      <c r="Q15" s="176">
        <v>4788</v>
      </c>
      <c r="R15" s="180">
        <f>Q15-P15</f>
        <v>163.48372408398427</v>
      </c>
    </row>
    <row r="16" spans="1:18">
      <c r="A16" s="258"/>
      <c r="B16" s="260"/>
      <c r="C16" s="206" t="s">
        <v>151</v>
      </c>
      <c r="D16" s="207">
        <v>54.16</v>
      </c>
      <c r="E16" s="176"/>
      <c r="F16" s="176">
        <v>1</v>
      </c>
      <c r="G16" s="176">
        <f t="shared" si="1"/>
        <v>54.16</v>
      </c>
      <c r="H16" s="210">
        <v>0</v>
      </c>
      <c r="I16" s="210">
        <v>0</v>
      </c>
      <c r="J16" s="210">
        <v>1</v>
      </c>
      <c r="K16" s="210">
        <v>0</v>
      </c>
      <c r="L16" s="210">
        <f>H16*'розрахунок балконів'!$N$2+I16*'розрахунок балконів'!$N$3+J16*'розрахунок балконів'!$N$4+K16*'розрахунок балконів'!$N$5</f>
        <v>539.6</v>
      </c>
      <c r="M16" s="176">
        <f t="shared" si="2"/>
        <v>0</v>
      </c>
      <c r="N16" s="180">
        <f>IF(F16,L16*'розрахунок балконів'!$E$13,0)</f>
        <v>689.72917222265664</v>
      </c>
      <c r="O16" s="180">
        <f>G16*'розрахунок квадрату стяжки'!$M$3</f>
        <v>2078.9374978050764</v>
      </c>
      <c r="P16" s="180">
        <f t="shared" si="4"/>
        <v>2768.6666700277328</v>
      </c>
      <c r="Q16" s="176">
        <v>2858</v>
      </c>
      <c r="R16" s="180">
        <f t="shared" ref="R16:R28" si="5">Q16-P16</f>
        <v>89.333329972267165</v>
      </c>
    </row>
    <row r="17" spans="1:19">
      <c r="A17" s="258"/>
      <c r="B17" s="260"/>
      <c r="C17" s="74" t="s">
        <v>138</v>
      </c>
      <c r="D17" s="56">
        <v>75.510000000000005</v>
      </c>
      <c r="E17" s="77"/>
      <c r="F17" s="88">
        <v>1</v>
      </c>
      <c r="G17" s="88">
        <f t="shared" si="1"/>
        <v>75.510000000000005</v>
      </c>
      <c r="H17" s="71">
        <v>1</v>
      </c>
      <c r="I17" s="71">
        <v>0</v>
      </c>
      <c r="J17" s="71">
        <v>2</v>
      </c>
      <c r="K17" s="71">
        <v>0</v>
      </c>
      <c r="L17" s="71">
        <f>H17*'розрахунок балконів'!$N$2+I17*'розрахунок балконів'!$N$3+J17*'розрахунок балконів'!$N$4+K17*'розрахунок балконів'!$N$5</f>
        <v>2333.1999999999998</v>
      </c>
      <c r="M17" s="88">
        <f t="shared" si="2"/>
        <v>0</v>
      </c>
      <c r="N17" s="121">
        <f>IF(F17,L17*'розрахунок балконів'!$E$13,0)</f>
        <v>2982.3500827092334</v>
      </c>
      <c r="O17" s="121">
        <f>G17*'розрахунок квадрату стяжки'!$M$3</f>
        <v>2898.4595727337764</v>
      </c>
      <c r="P17" s="121">
        <f t="shared" si="4"/>
        <v>5880.8096554430103</v>
      </c>
      <c r="Q17" s="77"/>
      <c r="R17" s="170">
        <f t="shared" si="5"/>
        <v>-5880.8096554430103</v>
      </c>
    </row>
    <row r="18" spans="1:19">
      <c r="A18" s="258"/>
      <c r="B18" s="260">
        <v>7</v>
      </c>
      <c r="C18" s="206" t="s">
        <v>139</v>
      </c>
      <c r="D18" s="207">
        <v>60.73</v>
      </c>
      <c r="E18" s="176"/>
      <c r="F18" s="176">
        <v>1</v>
      </c>
      <c r="G18" s="176">
        <f t="shared" si="1"/>
        <v>60.73</v>
      </c>
      <c r="H18" s="178">
        <v>1</v>
      </c>
      <c r="I18" s="208">
        <v>0</v>
      </c>
      <c r="J18" s="208">
        <v>1</v>
      </c>
      <c r="K18" s="209">
        <v>0</v>
      </c>
      <c r="L18" s="210">
        <f>H18*'розрахунок балконів'!$N$2+I18*'розрахунок балконів'!$N$3+J18*'розрахунок балконів'!$N$4+K18*'розрахунок балконів'!$N$5</f>
        <v>1793.6</v>
      </c>
      <c r="M18" s="176">
        <f t="shared" si="2"/>
        <v>0</v>
      </c>
      <c r="N18" s="180">
        <f>IF(F18,L18*'розрахунок балконів'!$E$13,0)</f>
        <v>2292.620910486577</v>
      </c>
      <c r="O18" s="180">
        <f>G18*'розрахунок квадрату стяжки'!$M$3</f>
        <v>2331.1276632515192</v>
      </c>
      <c r="P18" s="180">
        <f t="shared" si="4"/>
        <v>4623.7485737380957</v>
      </c>
      <c r="Q18" s="176">
        <v>4800</v>
      </c>
      <c r="R18" s="180">
        <f t="shared" si="5"/>
        <v>176.25142626190427</v>
      </c>
    </row>
    <row r="19" spans="1:19">
      <c r="A19" s="258"/>
      <c r="B19" s="260"/>
      <c r="C19" s="117" t="s">
        <v>140</v>
      </c>
      <c r="D19" s="60">
        <v>54.16</v>
      </c>
      <c r="E19" s="90"/>
      <c r="F19" s="90">
        <v>0</v>
      </c>
      <c r="G19" s="90">
        <f t="shared" si="1"/>
        <v>0</v>
      </c>
      <c r="H19" s="100">
        <v>0</v>
      </c>
      <c r="I19" s="100">
        <v>0</v>
      </c>
      <c r="J19" s="100">
        <v>1</v>
      </c>
      <c r="K19" s="100">
        <v>0</v>
      </c>
      <c r="L19" s="100">
        <f>H19*'розрахунок балконів'!$N$2+I19*'розрахунок балконів'!$N$3+J19*'розрахунок балконів'!$N$4+K19*'розрахунок балконів'!$N$5</f>
        <v>539.6</v>
      </c>
      <c r="M19" s="90">
        <f t="shared" si="2"/>
        <v>539.6</v>
      </c>
      <c r="N19" s="122">
        <f>IF(F19,L19*'розрахунок балконів'!$E$13,0)</f>
        <v>0</v>
      </c>
      <c r="O19" s="122">
        <f>G19*'розрахунок квадрату стяжки'!$M$3</f>
        <v>0</v>
      </c>
      <c r="P19" s="122">
        <f t="shared" si="4"/>
        <v>0</v>
      </c>
      <c r="Q19" s="90"/>
      <c r="R19" s="122">
        <f t="shared" si="5"/>
        <v>0</v>
      </c>
    </row>
    <row r="20" spans="1:19">
      <c r="A20" s="258"/>
      <c r="B20" s="260"/>
      <c r="C20" s="101" t="s">
        <v>141</v>
      </c>
      <c r="D20" s="60">
        <v>75.510000000000005</v>
      </c>
      <c r="E20" s="90"/>
      <c r="F20" s="90">
        <v>0</v>
      </c>
      <c r="G20" s="90">
        <f t="shared" si="1"/>
        <v>0</v>
      </c>
      <c r="H20" s="100">
        <v>1</v>
      </c>
      <c r="I20" s="100">
        <v>0</v>
      </c>
      <c r="J20" s="100">
        <v>2</v>
      </c>
      <c r="K20" s="100">
        <v>0</v>
      </c>
      <c r="L20" s="100">
        <f>H20*'розрахунок балконів'!$N$2+I20*'розрахунок балконів'!$N$3+J20*'розрахунок балконів'!$N$4+K20*'розрахунок балконів'!$N$5</f>
        <v>2333.1999999999998</v>
      </c>
      <c r="M20" s="90">
        <f t="shared" si="2"/>
        <v>2333.1999999999998</v>
      </c>
      <c r="N20" s="122">
        <f>IF(F20,L20*'розрахунок балконів'!$E$13,0)</f>
        <v>0</v>
      </c>
      <c r="O20" s="122">
        <f>G20*'розрахунок квадрату стяжки'!$M$3</f>
        <v>0</v>
      </c>
      <c r="P20" s="122">
        <f t="shared" si="4"/>
        <v>0</v>
      </c>
      <c r="Q20" s="90"/>
      <c r="R20" s="122">
        <f t="shared" si="5"/>
        <v>0</v>
      </c>
    </row>
    <row r="21" spans="1:19">
      <c r="A21" s="258"/>
      <c r="B21" s="260">
        <v>8</v>
      </c>
      <c r="C21" s="74" t="s">
        <v>142</v>
      </c>
      <c r="D21" s="56">
        <v>60.75</v>
      </c>
      <c r="E21" s="77"/>
      <c r="F21" s="77">
        <v>1</v>
      </c>
      <c r="G21" s="88">
        <f t="shared" si="1"/>
        <v>60.75</v>
      </c>
      <c r="H21" s="58">
        <v>1</v>
      </c>
      <c r="I21" s="70">
        <v>0</v>
      </c>
      <c r="J21" s="70">
        <v>1</v>
      </c>
      <c r="K21" s="69">
        <v>0</v>
      </c>
      <c r="L21" s="71">
        <f>H21*'розрахунок балконів'!$N$2+I21*'розрахунок балконів'!$N$3+J21*'розрахунок балконів'!$N$4+K21*'розрахунок балконів'!$N$5</f>
        <v>1793.6</v>
      </c>
      <c r="M21" s="88">
        <f>IF(F21,0,L21)</f>
        <v>0</v>
      </c>
      <c r="N21" s="121">
        <f>IF(F21,L21*'розрахунок балконів'!$E$13,0)</f>
        <v>2292.620910486577</v>
      </c>
      <c r="O21" s="121">
        <f>G21*'розрахунок квадрату стяжки'!$M$3</f>
        <v>2331.8953654294382</v>
      </c>
      <c r="P21" s="121">
        <f t="shared" si="4"/>
        <v>4624.5162759160157</v>
      </c>
      <c r="Q21" s="77"/>
      <c r="R21" s="170">
        <f t="shared" si="5"/>
        <v>-4624.5162759160157</v>
      </c>
    </row>
    <row r="22" spans="1:19">
      <c r="A22" s="258"/>
      <c r="B22" s="260"/>
      <c r="C22" s="74" t="s">
        <v>143</v>
      </c>
      <c r="D22" s="56">
        <v>54.16</v>
      </c>
      <c r="E22" s="77"/>
      <c r="F22" s="88">
        <v>1</v>
      </c>
      <c r="G22" s="88">
        <f t="shared" si="1"/>
        <v>54.16</v>
      </c>
      <c r="H22" s="71">
        <v>0</v>
      </c>
      <c r="I22" s="71">
        <v>0</v>
      </c>
      <c r="J22" s="71">
        <v>1</v>
      </c>
      <c r="K22" s="71">
        <v>0</v>
      </c>
      <c r="L22" s="71">
        <f>H22*'розрахунок балконів'!$N$2+I22*'розрахунок балконів'!$N$3+J22*'розрахунок балконів'!$N$4+K22*'розрахунок балконів'!$N$5</f>
        <v>539.6</v>
      </c>
      <c r="M22" s="88">
        <f t="shared" si="2"/>
        <v>0</v>
      </c>
      <c r="N22" s="121">
        <f>IF(F22,L22*'розрахунок балконів'!$E$13,0)</f>
        <v>689.72917222265664</v>
      </c>
      <c r="O22" s="121">
        <f>G22*'розрахунок квадрату стяжки'!$M$3</f>
        <v>2078.9374978050764</v>
      </c>
      <c r="P22" s="121">
        <f t="shared" si="4"/>
        <v>2768.6666700277328</v>
      </c>
      <c r="Q22" s="77"/>
      <c r="R22" s="170">
        <f t="shared" si="5"/>
        <v>-2768.6666700277328</v>
      </c>
    </row>
    <row r="23" spans="1:19">
      <c r="A23" s="258"/>
      <c r="B23" s="260"/>
      <c r="C23" s="206" t="s">
        <v>144</v>
      </c>
      <c r="D23" s="207">
        <v>75.510000000000005</v>
      </c>
      <c r="E23" s="176"/>
      <c r="F23" s="176">
        <v>1</v>
      </c>
      <c r="G23" s="176">
        <f t="shared" si="1"/>
        <v>75.510000000000005</v>
      </c>
      <c r="H23" s="210">
        <v>1</v>
      </c>
      <c r="I23" s="210">
        <v>0</v>
      </c>
      <c r="J23" s="210">
        <v>2</v>
      </c>
      <c r="K23" s="210">
        <v>0</v>
      </c>
      <c r="L23" s="210">
        <f>H23*'розрахунок балконів'!$N$2+I23*'розрахунок балконів'!$N$3+J23*'розрахунок балконів'!$N$4+K23*'розрахунок балконів'!$N$5</f>
        <v>2333.1999999999998</v>
      </c>
      <c r="M23" s="176">
        <f t="shared" si="2"/>
        <v>0</v>
      </c>
      <c r="N23" s="180">
        <f>IF(F23,L23*'розрахунок балконів'!$E$13,0)</f>
        <v>2982.3500827092334</v>
      </c>
      <c r="O23" s="180">
        <f>G23*'розрахунок квадрату стяжки'!$M$3</f>
        <v>2898.4595727337764</v>
      </c>
      <c r="P23" s="180">
        <f t="shared" si="4"/>
        <v>5880.8096554430103</v>
      </c>
      <c r="Q23" s="176">
        <v>6088</v>
      </c>
      <c r="R23" s="180">
        <f t="shared" si="5"/>
        <v>207.19034455698966</v>
      </c>
    </row>
    <row r="24" spans="1:19">
      <c r="A24" s="258"/>
      <c r="B24" s="260">
        <v>9</v>
      </c>
      <c r="C24" s="74" t="s">
        <v>145</v>
      </c>
      <c r="D24" s="56">
        <v>60.75</v>
      </c>
      <c r="E24" s="77">
        <v>2.5</v>
      </c>
      <c r="F24" s="77">
        <v>1</v>
      </c>
      <c r="G24" s="88">
        <f t="shared" si="1"/>
        <v>63.25</v>
      </c>
      <c r="H24" s="58">
        <v>1</v>
      </c>
      <c r="I24" s="70">
        <v>0</v>
      </c>
      <c r="J24" s="70">
        <v>1</v>
      </c>
      <c r="K24" s="69">
        <v>0</v>
      </c>
      <c r="L24" s="71">
        <f>H24*'розрахунок балконів'!$N$2+I24*'розрахунок балконів'!$N$3+J24*'розрахунок балконів'!$N$4+K24*'розрахунок балконів'!$N$5</f>
        <v>1793.6</v>
      </c>
      <c r="M24" s="88">
        <f t="shared" si="2"/>
        <v>0</v>
      </c>
      <c r="N24" s="121">
        <f>IF(F24,L24*'розрахунок балконів'!$E$13,0)</f>
        <v>2292.620910486577</v>
      </c>
      <c r="O24" s="121">
        <f>G24*'розрахунок квадрату стяжки'!$M$3</f>
        <v>2427.8581376693332</v>
      </c>
      <c r="P24" s="121">
        <f t="shared" si="4"/>
        <v>4720.4790481559103</v>
      </c>
      <c r="Q24" s="77"/>
      <c r="R24" s="170">
        <f t="shared" si="5"/>
        <v>-4720.4790481559103</v>
      </c>
    </row>
    <row r="25" spans="1:19">
      <c r="A25" s="258"/>
      <c r="B25" s="260"/>
      <c r="C25" s="74" t="s">
        <v>146</v>
      </c>
      <c r="D25" s="56">
        <v>54.16</v>
      </c>
      <c r="E25" s="77"/>
      <c r="F25" s="88">
        <v>1</v>
      </c>
      <c r="G25" s="88">
        <f t="shared" si="1"/>
        <v>54.16</v>
      </c>
      <c r="H25" s="71">
        <v>0</v>
      </c>
      <c r="I25" s="71">
        <v>0</v>
      </c>
      <c r="J25" s="71">
        <v>1</v>
      </c>
      <c r="K25" s="71">
        <v>0</v>
      </c>
      <c r="L25" s="71">
        <f>H25*'розрахунок балконів'!$N$2+I25*'розрахунок балконів'!$N$3+J25*'розрахунок балконів'!$N$4+K25*'розрахунок балконів'!$N$5</f>
        <v>539.6</v>
      </c>
      <c r="M25" s="88">
        <f t="shared" si="2"/>
        <v>0</v>
      </c>
      <c r="N25" s="121">
        <f>IF(F25,L25*'розрахунок балконів'!$E$13,0)</f>
        <v>689.72917222265664</v>
      </c>
      <c r="O25" s="121">
        <f>G25*'розрахунок квадрату стяжки'!$M$3</f>
        <v>2078.9374978050764</v>
      </c>
      <c r="P25" s="121">
        <f t="shared" si="4"/>
        <v>2768.6666700277328</v>
      </c>
      <c r="Q25" s="77"/>
      <c r="R25" s="170">
        <f t="shared" si="5"/>
        <v>-2768.6666700277328</v>
      </c>
    </row>
    <row r="26" spans="1:19">
      <c r="A26" s="258"/>
      <c r="B26" s="260"/>
      <c r="C26" s="74" t="s">
        <v>147</v>
      </c>
      <c r="D26" s="56">
        <v>75.510000000000005</v>
      </c>
      <c r="E26" s="77"/>
      <c r="F26" s="77">
        <v>1</v>
      </c>
      <c r="G26" s="88">
        <f t="shared" si="1"/>
        <v>75.510000000000005</v>
      </c>
      <c r="H26" s="72">
        <v>1</v>
      </c>
      <c r="I26" s="72">
        <v>0</v>
      </c>
      <c r="J26" s="72">
        <v>2</v>
      </c>
      <c r="K26" s="72">
        <v>0</v>
      </c>
      <c r="L26" s="71">
        <f>H26*'розрахунок балконів'!$N$2+I26*'розрахунок балконів'!$N$3+J26*'розрахунок балконів'!$N$4+K26*'розрахунок балконів'!$N$5</f>
        <v>2333.1999999999998</v>
      </c>
      <c r="M26" s="88">
        <f t="shared" si="2"/>
        <v>0</v>
      </c>
      <c r="N26" s="121">
        <f>IF(F26,L26*'розрахунок балконів'!$E$13,0)</f>
        <v>2982.3500827092334</v>
      </c>
      <c r="O26" s="121">
        <f>G26*'розрахунок квадрату стяжки'!$M$3</f>
        <v>2898.4595727337764</v>
      </c>
      <c r="P26" s="121">
        <f t="shared" si="4"/>
        <v>5880.8096554430103</v>
      </c>
      <c r="Q26" s="77"/>
      <c r="R26" s="170">
        <f t="shared" si="5"/>
        <v>-5880.8096554430103</v>
      </c>
    </row>
    <row r="27" spans="1:19">
      <c r="A27" s="258"/>
      <c r="B27" s="260">
        <v>10</v>
      </c>
      <c r="C27" s="101" t="s">
        <v>148</v>
      </c>
      <c r="D27" s="60">
        <v>60.75</v>
      </c>
      <c r="E27" s="90"/>
      <c r="F27" s="90">
        <v>0</v>
      </c>
      <c r="G27" s="90">
        <f t="shared" si="1"/>
        <v>0</v>
      </c>
      <c r="H27" s="62">
        <v>1</v>
      </c>
      <c r="I27" s="98">
        <v>0</v>
      </c>
      <c r="J27" s="98">
        <v>0</v>
      </c>
      <c r="K27" s="99">
        <v>0</v>
      </c>
      <c r="L27" s="100">
        <f>H27*'розрахунок балконів'!$N$2+I27*'розрахунок балконів'!$N$3+J27*'розрахунок балконів'!$N$4+K27*'розрахунок балконів'!$N$5</f>
        <v>1254</v>
      </c>
      <c r="M27" s="90">
        <f t="shared" si="2"/>
        <v>1254</v>
      </c>
      <c r="N27" s="122">
        <f>IF(F27,L27*'розрахунок балконів'!$E$13,0)</f>
        <v>0</v>
      </c>
      <c r="O27" s="122">
        <f>G27*'розрахунок квадрату стяжки'!$M$3</f>
        <v>0</v>
      </c>
      <c r="P27" s="122">
        <f t="shared" ref="P27:P28" si="6">(N27+O27)*0.7</f>
        <v>0</v>
      </c>
      <c r="Q27" s="90"/>
      <c r="R27" s="122">
        <f t="shared" si="5"/>
        <v>0</v>
      </c>
      <c r="S27" s="18">
        <v>0.7</v>
      </c>
    </row>
    <row r="28" spans="1:19">
      <c r="A28" s="258"/>
      <c r="B28" s="260"/>
      <c r="C28" s="101" t="s">
        <v>149</v>
      </c>
      <c r="D28" s="60">
        <v>54.16</v>
      </c>
      <c r="E28" s="90"/>
      <c r="F28" s="90">
        <v>0</v>
      </c>
      <c r="G28" s="90">
        <f t="shared" si="1"/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f>H28*'розрахунок балконів'!$N$2+I28*'розрахунок балконів'!$N$3+J28*'розрахунок балконів'!$N$4+K28*'розрахунок балконів'!$N$5</f>
        <v>0</v>
      </c>
      <c r="M28" s="90">
        <f t="shared" si="2"/>
        <v>0</v>
      </c>
      <c r="N28" s="122">
        <f>IF(F28,L28*'розрахунок балконів'!$E$13,0)</f>
        <v>0</v>
      </c>
      <c r="O28" s="122">
        <f>G28*'розрахунок квадрату стяжки'!$M$3</f>
        <v>0</v>
      </c>
      <c r="P28" s="122">
        <f t="shared" si="6"/>
        <v>0</v>
      </c>
      <c r="Q28" s="90"/>
      <c r="R28" s="122">
        <f t="shared" si="5"/>
        <v>0</v>
      </c>
      <c r="S28" s="18">
        <v>0.7</v>
      </c>
    </row>
    <row r="29" spans="1:19">
      <c r="A29" s="258"/>
      <c r="B29" s="260"/>
      <c r="C29" s="74" t="s">
        <v>150</v>
      </c>
      <c r="D29" s="56">
        <v>75.510000000000005</v>
      </c>
      <c r="E29" s="77"/>
      <c r="F29" s="77">
        <v>1</v>
      </c>
      <c r="G29" s="88">
        <f t="shared" si="1"/>
        <v>75.510000000000005</v>
      </c>
      <c r="H29" s="72">
        <v>1</v>
      </c>
      <c r="I29" s="72">
        <v>0</v>
      </c>
      <c r="J29" s="72">
        <v>0</v>
      </c>
      <c r="K29" s="72">
        <v>0</v>
      </c>
      <c r="L29" s="71">
        <f>H29*'розрахунок балконів'!$N$2+I29*'розрахунок балконів'!$N$3+J29*'розрахунок балконів'!$N$4+K29*'розрахунок балконів'!$N$5</f>
        <v>1254</v>
      </c>
      <c r="M29" s="88">
        <f t="shared" si="2"/>
        <v>0</v>
      </c>
      <c r="N29" s="121">
        <f>IF(F29,L29*'розрахунок балконів'!$E$13,0)</f>
        <v>1602.8917382639204</v>
      </c>
      <c r="O29" s="121">
        <f>G29*'розрахунок квадрату стяжки'!$M$3</f>
        <v>2898.4595727337764</v>
      </c>
      <c r="P29" s="121">
        <f>(N29+O29)*0.7</f>
        <v>3150.9459176983873</v>
      </c>
      <c r="Q29" s="77"/>
      <c r="R29" s="170">
        <f>S29-P29</f>
        <v>-3150.2459176983875</v>
      </c>
      <c r="S29" s="18">
        <v>0.7</v>
      </c>
    </row>
    <row r="30" spans="1:19">
      <c r="A30" s="73"/>
      <c r="B30" s="73"/>
      <c r="C30" s="73"/>
      <c r="D30" s="73"/>
      <c r="G30" s="116">
        <f>SUM(G3:G29)</f>
        <v>1227.9399999999998</v>
      </c>
      <c r="H30" s="73">
        <f t="shared" ref="H30:L30" si="7">SUM(H3:H29)</f>
        <v>18</v>
      </c>
      <c r="I30" s="73">
        <f t="shared" si="7"/>
        <v>0</v>
      </c>
      <c r="J30" s="73">
        <f t="shared" si="7"/>
        <v>32</v>
      </c>
      <c r="K30" s="73">
        <f t="shared" si="7"/>
        <v>0</v>
      </c>
      <c r="L30" s="73">
        <f t="shared" si="7"/>
        <v>39839.19999999999</v>
      </c>
      <c r="M30" s="73">
        <f t="shared" ref="M30:R30" si="8">SUM(M3:M29)</f>
        <v>9332.7999999999993</v>
      </c>
      <c r="N30" s="119">
        <f t="shared" si="8"/>
        <v>38993.984469038645</v>
      </c>
      <c r="O30" s="119">
        <f t="shared" si="8"/>
        <v>47134.610617702449</v>
      </c>
      <c r="P30" s="119">
        <f t="shared" si="8"/>
        <v>84778.189693441818</v>
      </c>
      <c r="Q30" s="119">
        <f t="shared" si="8"/>
        <v>37977</v>
      </c>
      <c r="R30" s="119">
        <f t="shared" si="8"/>
        <v>-46800.489693441799</v>
      </c>
    </row>
    <row r="31" spans="1:19">
      <c r="A31" s="73"/>
      <c r="B31" s="73"/>
      <c r="C31" s="73"/>
      <c r="D31" s="73"/>
      <c r="E31" s="73"/>
      <c r="F31" s="73"/>
      <c r="G31" s="73"/>
      <c r="H31" s="73"/>
      <c r="I31" s="73"/>
    </row>
    <row r="32" spans="1:19">
      <c r="A32" s="73"/>
      <c r="B32" s="73"/>
      <c r="C32" s="73"/>
      <c r="D32" s="73"/>
      <c r="E32" s="73"/>
      <c r="F32" s="73"/>
      <c r="G32" s="73"/>
      <c r="H32" s="73"/>
      <c r="I32" s="73"/>
    </row>
    <row r="33" spans="1:9">
      <c r="A33" s="73"/>
      <c r="B33" s="73"/>
      <c r="C33" s="73"/>
      <c r="D33" s="73"/>
      <c r="E33" s="73"/>
      <c r="F33" s="73"/>
      <c r="G33" s="73"/>
      <c r="H33" s="73"/>
      <c r="I33" s="73"/>
    </row>
    <row r="34" spans="1:9">
      <c r="A34" s="73"/>
      <c r="B34" s="73"/>
      <c r="C34" s="73"/>
      <c r="D34" s="73"/>
      <c r="E34" s="73"/>
      <c r="F34" s="73"/>
      <c r="G34" s="73"/>
      <c r="H34" s="73"/>
      <c r="I34" s="73"/>
    </row>
  </sheetData>
  <mergeCells count="11">
    <mergeCell ref="A1:P1"/>
    <mergeCell ref="A3:A29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abSelected="1" topLeftCell="C4" zoomScale="90" zoomScaleNormal="90" workbookViewId="0">
      <selection activeCell="Q23" sqref="Q23"/>
    </sheetView>
  </sheetViews>
  <sheetFormatPr defaultRowHeight="15"/>
  <cols>
    <col min="3" max="3" width="33.85546875" bestFit="1" customWidth="1"/>
    <col min="4" max="4" width="9.7109375" customWidth="1"/>
    <col min="5" max="5" width="9.28515625" customWidth="1"/>
    <col min="6" max="6" width="7.85546875" customWidth="1"/>
    <col min="7" max="7" width="14.7109375" bestFit="1" customWidth="1"/>
    <col min="10" max="10" width="10.7109375" customWidth="1"/>
    <col min="13" max="13" width="14" customWidth="1"/>
    <col min="14" max="15" width="13.7109375" customWidth="1"/>
    <col min="16" max="16" width="10.42578125" customWidth="1"/>
    <col min="18" max="18" width="12.42578125" customWidth="1"/>
  </cols>
  <sheetData>
    <row r="1" spans="1:18">
      <c r="A1" s="250" t="s">
        <v>219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2"/>
      <c r="Q1" s="21"/>
      <c r="R1" s="21"/>
    </row>
    <row r="2" spans="1:18" ht="57.75">
      <c r="A2" s="29" t="s">
        <v>0</v>
      </c>
      <c r="B2" s="29" t="s">
        <v>1</v>
      </c>
      <c r="C2" s="29" t="s">
        <v>2</v>
      </c>
      <c r="D2" s="29" t="s">
        <v>3</v>
      </c>
      <c r="E2" s="29" t="s">
        <v>261</v>
      </c>
      <c r="F2" s="57" t="s">
        <v>240</v>
      </c>
      <c r="G2" s="77" t="s">
        <v>241</v>
      </c>
      <c r="H2" s="14" t="s">
        <v>227</v>
      </c>
      <c r="I2" s="14" t="s">
        <v>224</v>
      </c>
      <c r="J2" s="14" t="s">
        <v>225</v>
      </c>
      <c r="K2" s="14" t="s">
        <v>226</v>
      </c>
      <c r="L2" s="14" t="s">
        <v>201</v>
      </c>
      <c r="M2" s="144" t="s">
        <v>264</v>
      </c>
      <c r="N2" s="144" t="s">
        <v>257</v>
      </c>
      <c r="O2" s="144" t="s">
        <v>262</v>
      </c>
      <c r="P2" s="144" t="s">
        <v>259</v>
      </c>
      <c r="Q2" s="144" t="s">
        <v>281</v>
      </c>
      <c r="R2" s="144" t="s">
        <v>282</v>
      </c>
    </row>
    <row r="3" spans="1:18" ht="15.75">
      <c r="A3" s="262">
        <v>5</v>
      </c>
      <c r="B3" s="263">
        <v>2</v>
      </c>
      <c r="C3" s="27" t="s">
        <v>152</v>
      </c>
      <c r="D3" s="51">
        <v>74.7</v>
      </c>
      <c r="E3" s="88"/>
      <c r="F3" s="77">
        <v>1</v>
      </c>
      <c r="G3" s="77">
        <f>(D3+E3)*F3</f>
        <v>74.7</v>
      </c>
      <c r="H3" s="47">
        <v>1</v>
      </c>
      <c r="I3" s="30">
        <v>0</v>
      </c>
      <c r="J3" s="30">
        <v>0</v>
      </c>
      <c r="K3" s="48">
        <v>0</v>
      </c>
      <c r="L3" s="49">
        <f>H3*'розрахунок балконів'!$N$2+I3*'розрахунок балконів'!$N$3+J3*'розрахунок балконів'!$N$4+K3*'розрахунок балконів'!$N$5</f>
        <v>1254</v>
      </c>
      <c r="M3" s="88">
        <f t="shared" ref="M3:M7" si="0">IF(F3,0,L3)</f>
        <v>0</v>
      </c>
      <c r="N3" s="162">
        <f>IF(F3,L3*'розрахунок балконів'!$E$13,0)</f>
        <v>1602.8917382639204</v>
      </c>
      <c r="O3" s="162">
        <f>G3*'розрахунок квадрату стяжки'!$M$3</f>
        <v>2867.3676345280505</v>
      </c>
      <c r="P3" s="162">
        <f>N3+O3</f>
        <v>4470.2593727919711</v>
      </c>
      <c r="Q3" s="88"/>
      <c r="R3" s="170">
        <f>Q3-P3</f>
        <v>-4470.2593727919711</v>
      </c>
    </row>
    <row r="4" spans="1:18" ht="15.75">
      <c r="A4" s="262"/>
      <c r="B4" s="263"/>
      <c r="C4" s="202" t="s">
        <v>153</v>
      </c>
      <c r="D4" s="203">
        <v>36.799999999999997</v>
      </c>
      <c r="E4" s="176"/>
      <c r="F4" s="176">
        <v>1</v>
      </c>
      <c r="G4" s="176">
        <f t="shared" ref="G4:G56" si="1">(D4+E4)*F4</f>
        <v>36.799999999999997</v>
      </c>
      <c r="H4" s="204">
        <v>1</v>
      </c>
      <c r="I4" s="204">
        <v>0</v>
      </c>
      <c r="J4" s="204">
        <v>0</v>
      </c>
      <c r="K4" s="204">
        <v>0</v>
      </c>
      <c r="L4" s="204">
        <f>H4*'розрахунок балконів'!$N$2+I4*'розрахунок балконів'!$N$3+J4*'розрахунок балконів'!$N$4+K4*'розрахунок балконів'!$N$5</f>
        <v>1254</v>
      </c>
      <c r="M4" s="176">
        <f t="shared" si="0"/>
        <v>0</v>
      </c>
      <c r="N4" s="205">
        <f>IF(F4,L4*'розрахунок балконів'!$E$13,0)</f>
        <v>1602.8917382639204</v>
      </c>
      <c r="O4" s="205">
        <f>G4*'розрахунок квадрату стяжки'!$M$3</f>
        <v>1412.5720073712482</v>
      </c>
      <c r="P4" s="205">
        <f t="shared" ref="P4:P49" si="2">N4+O4</f>
        <v>3015.4637456351684</v>
      </c>
      <c r="Q4" s="176">
        <f>1550+1571</f>
        <v>3121</v>
      </c>
      <c r="R4" s="180">
        <f>Q4-P4</f>
        <v>105.53625436483162</v>
      </c>
    </row>
    <row r="5" spans="1:18" ht="15.75">
      <c r="A5" s="262"/>
      <c r="B5" s="263"/>
      <c r="C5" s="202" t="s">
        <v>154</v>
      </c>
      <c r="D5" s="203">
        <v>65</v>
      </c>
      <c r="E5" s="176"/>
      <c r="F5" s="176">
        <v>1</v>
      </c>
      <c r="G5" s="176">
        <f t="shared" si="1"/>
        <v>65</v>
      </c>
      <c r="H5" s="204">
        <v>1</v>
      </c>
      <c r="I5" s="204">
        <v>0</v>
      </c>
      <c r="J5" s="204">
        <v>0</v>
      </c>
      <c r="K5" s="204">
        <v>1</v>
      </c>
      <c r="L5" s="204">
        <f>H5*'розрахунок балконів'!$N$2+I5*'розрахунок балконів'!$N$3+J5*'розрахунок балконів'!$N$4+K5*'розрахунок балконів'!$N$5</f>
        <v>2231.5</v>
      </c>
      <c r="M5" s="176">
        <f t="shared" si="0"/>
        <v>0</v>
      </c>
      <c r="N5" s="205">
        <f>IF(F5,L5*'розрахунок балконів'!$E$13,0)</f>
        <v>2852.3547958021836</v>
      </c>
      <c r="O5" s="205">
        <f>G5*'розрахунок квадрату стяжки'!$M$3</f>
        <v>2495.0320782372592</v>
      </c>
      <c r="P5" s="205">
        <f t="shared" si="2"/>
        <v>5347.3868740394428</v>
      </c>
      <c r="Q5" s="176">
        <v>5600</v>
      </c>
      <c r="R5" s="180">
        <f t="shared" ref="R5:R56" si="3">Q5-P5</f>
        <v>252.61312596055723</v>
      </c>
    </row>
    <row r="6" spans="1:18" ht="15.75">
      <c r="A6" s="262"/>
      <c r="B6" s="263"/>
      <c r="C6" s="27" t="s">
        <v>155</v>
      </c>
      <c r="D6" s="51">
        <v>36.6</v>
      </c>
      <c r="E6" s="88"/>
      <c r="F6" s="77">
        <v>1</v>
      </c>
      <c r="G6" s="77">
        <f t="shared" si="1"/>
        <v>36.6</v>
      </c>
      <c r="H6" s="49">
        <v>1</v>
      </c>
      <c r="I6" s="49">
        <v>0</v>
      </c>
      <c r="J6" s="49">
        <v>0</v>
      </c>
      <c r="K6" s="49">
        <v>0</v>
      </c>
      <c r="L6" s="49">
        <f>H6*'розрахунок балконів'!$N$2+I6*'розрахунок балконів'!$N$3+J6*'розрахунок балконів'!$N$4+K6*'розрахунок балконів'!$N$5</f>
        <v>1254</v>
      </c>
      <c r="M6" s="88">
        <f t="shared" si="0"/>
        <v>0</v>
      </c>
      <c r="N6" s="162">
        <f>IF(F6,L6*'розрахунок балконів'!$E$13,0)</f>
        <v>1602.8917382639204</v>
      </c>
      <c r="O6" s="162">
        <f>G6*'розрахунок квадрату стяжки'!$M$3</f>
        <v>1404.8949855920569</v>
      </c>
      <c r="P6" s="162">
        <f t="shared" si="2"/>
        <v>3007.7867238559775</v>
      </c>
      <c r="Q6" s="88"/>
      <c r="R6" s="170">
        <f t="shared" si="3"/>
        <v>-3007.7867238559775</v>
      </c>
    </row>
    <row r="7" spans="1:18" ht="15.75">
      <c r="A7" s="262"/>
      <c r="B7" s="263"/>
      <c r="C7" s="202" t="s">
        <v>153</v>
      </c>
      <c r="D7" s="203">
        <v>37.32</v>
      </c>
      <c r="E7" s="176"/>
      <c r="F7" s="176">
        <v>1</v>
      </c>
      <c r="G7" s="176">
        <f t="shared" si="1"/>
        <v>37.32</v>
      </c>
      <c r="H7" s="204">
        <v>1</v>
      </c>
      <c r="I7" s="204">
        <v>0</v>
      </c>
      <c r="J7" s="204">
        <v>0</v>
      </c>
      <c r="K7" s="204">
        <v>0</v>
      </c>
      <c r="L7" s="204">
        <f>H7*'розрахунок балконів'!$N$2+I7*'розрахунок балконів'!$N$3+J7*'розрахунок балконів'!$N$4+K7*'розрахунок балконів'!$N$5</f>
        <v>1254</v>
      </c>
      <c r="M7" s="176">
        <f t="shared" si="0"/>
        <v>0</v>
      </c>
      <c r="N7" s="205">
        <f>IF(F7,L7*'розрахунок балконів'!$E$13,0)</f>
        <v>1602.8917382639204</v>
      </c>
      <c r="O7" s="205">
        <f>G7*'розрахунок квадрату стяжки'!$M$3</f>
        <v>1432.5322639971464</v>
      </c>
      <c r="P7" s="205">
        <f t="shared" si="2"/>
        <v>3035.4240022610666</v>
      </c>
      <c r="Q7" s="176">
        <f>1550+1592</f>
        <v>3142</v>
      </c>
      <c r="R7" s="180">
        <f t="shared" si="3"/>
        <v>106.57599773893344</v>
      </c>
    </row>
    <row r="8" spans="1:18" ht="15.75">
      <c r="A8" s="262"/>
      <c r="B8" s="263"/>
      <c r="C8" s="202" t="s">
        <v>156</v>
      </c>
      <c r="D8" s="203">
        <v>58.32</v>
      </c>
      <c r="E8" s="176"/>
      <c r="F8" s="176">
        <v>1</v>
      </c>
      <c r="G8" s="176">
        <f t="shared" si="1"/>
        <v>58.32</v>
      </c>
      <c r="H8" s="204">
        <v>1</v>
      </c>
      <c r="I8" s="204">
        <v>0</v>
      </c>
      <c r="J8" s="204">
        <v>0</v>
      </c>
      <c r="K8" s="204">
        <v>0</v>
      </c>
      <c r="L8" s="204">
        <f>H8*'розрахунок балконів'!$N$2+I8*'розрахунок балконів'!$N$3+J8*'розрахунок балконів'!$N$4+K8*'розрахунок балконів'!$N$5</f>
        <v>1254</v>
      </c>
      <c r="M8" s="176">
        <f>IF(F8,0,L8)</f>
        <v>0</v>
      </c>
      <c r="N8" s="205">
        <f>IF(F8,L8*'розрахунок балконів'!$E$13,0)</f>
        <v>1602.8917382639204</v>
      </c>
      <c r="O8" s="205">
        <f>G8*'розрахунок квадрату стяжки'!$M$3</f>
        <v>2238.619550812261</v>
      </c>
      <c r="P8" s="205">
        <f t="shared" si="2"/>
        <v>3841.5112890761811</v>
      </c>
      <c r="Q8" s="176">
        <v>4413</v>
      </c>
      <c r="R8" s="180">
        <f t="shared" si="3"/>
        <v>571.48871092381887</v>
      </c>
    </row>
    <row r="9" spans="1:18" ht="15.75">
      <c r="A9" s="262"/>
      <c r="B9" s="263">
        <v>3</v>
      </c>
      <c r="C9" s="27" t="s">
        <v>157</v>
      </c>
      <c r="D9" s="51">
        <v>82.21</v>
      </c>
      <c r="E9" s="88"/>
      <c r="F9" s="77">
        <v>1</v>
      </c>
      <c r="G9" s="77">
        <f t="shared" si="1"/>
        <v>82.21</v>
      </c>
      <c r="H9" s="47">
        <v>1</v>
      </c>
      <c r="I9" s="30">
        <v>0</v>
      </c>
      <c r="J9" s="30">
        <v>0</v>
      </c>
      <c r="K9" s="48">
        <v>0</v>
      </c>
      <c r="L9" s="49">
        <f>H9*'розрахунок балконів'!$N$2+I9*'розрахунок балконів'!$N$3+J9*'розрахунок балконів'!$N$4+K9*'розрахунок балконів'!$N$5</f>
        <v>1254</v>
      </c>
      <c r="M9" s="88">
        <f t="shared" ref="M9:M56" si="4">IF(F9,0,L9)</f>
        <v>0</v>
      </c>
      <c r="N9" s="162">
        <f>IF(F9,L9*'розрахунок балконів'!$E$13,0)</f>
        <v>1602.8917382639204</v>
      </c>
      <c r="O9" s="162">
        <f>G9*'розрахунок квадрату стяжки'!$M$3</f>
        <v>3155.6398023366933</v>
      </c>
      <c r="P9" s="162">
        <f t="shared" si="2"/>
        <v>4758.5315406006139</v>
      </c>
      <c r="Q9" s="88"/>
      <c r="R9" s="170">
        <f t="shared" si="3"/>
        <v>-4758.5315406006139</v>
      </c>
    </row>
    <row r="10" spans="1:18" ht="15.75">
      <c r="A10" s="262"/>
      <c r="B10" s="263"/>
      <c r="C10" s="187" t="s">
        <v>95</v>
      </c>
      <c r="D10" s="188">
        <v>36.799999999999997</v>
      </c>
      <c r="E10" s="102"/>
      <c r="F10" s="102">
        <v>1</v>
      </c>
      <c r="G10" s="102">
        <f t="shared" si="1"/>
        <v>36.799999999999997</v>
      </c>
      <c r="H10" s="189">
        <v>1</v>
      </c>
      <c r="I10" s="189">
        <v>0</v>
      </c>
      <c r="J10" s="189">
        <v>0</v>
      </c>
      <c r="K10" s="189">
        <v>0</v>
      </c>
      <c r="L10" s="189">
        <f>H10*'розрахунок балконів'!$N$2+I10*'розрахунок балконів'!$N$3+J10*'розрахунок балконів'!$N$4+K10*'розрахунок балконів'!$N$5</f>
        <v>1254</v>
      </c>
      <c r="M10" s="102">
        <f t="shared" si="4"/>
        <v>0</v>
      </c>
      <c r="N10" s="190">
        <f>IF(F10,L10*'розрахунок балконів'!$E$13,0)</f>
        <v>1602.8917382639204</v>
      </c>
      <c r="O10" s="190">
        <f>G10*'розрахунок квадрату стяжки'!$M$3</f>
        <v>1412.5720073712482</v>
      </c>
      <c r="P10" s="190">
        <f t="shared" si="2"/>
        <v>3015.4637456351684</v>
      </c>
      <c r="Q10" s="102">
        <v>1550</v>
      </c>
      <c r="R10" s="186">
        <f t="shared" si="3"/>
        <v>-1465.4637456351684</v>
      </c>
    </row>
    <row r="11" spans="1:18" ht="15.75">
      <c r="A11" s="262"/>
      <c r="B11" s="263"/>
      <c r="C11" s="202" t="s">
        <v>158</v>
      </c>
      <c r="D11" s="203">
        <v>65.08</v>
      </c>
      <c r="E11" s="176"/>
      <c r="F11" s="176">
        <v>1</v>
      </c>
      <c r="G11" s="176">
        <f t="shared" si="1"/>
        <v>65.08</v>
      </c>
      <c r="H11" s="204">
        <v>1</v>
      </c>
      <c r="I11" s="204">
        <v>0</v>
      </c>
      <c r="J11" s="204">
        <v>0</v>
      </c>
      <c r="K11" s="204">
        <v>1</v>
      </c>
      <c r="L11" s="204">
        <f>H11*'розрахунок балконів'!$N$2+I11*'розрахунок балконів'!$N$3+J11*'розрахунок балконів'!$N$4+K11*'розрахунок балконів'!$N$5</f>
        <v>2231.5</v>
      </c>
      <c r="M11" s="176">
        <f t="shared" si="4"/>
        <v>0</v>
      </c>
      <c r="N11" s="205">
        <f>IF(F11,L11*'розрахунок балконів'!$E$13,0)</f>
        <v>2852.3547958021836</v>
      </c>
      <c r="O11" s="205">
        <f>G11*'розрахунок квадрату стяжки'!$M$3</f>
        <v>2498.102886948936</v>
      </c>
      <c r="P11" s="205">
        <f t="shared" si="2"/>
        <v>5350.4576827511191</v>
      </c>
      <c r="Q11" s="176">
        <v>5383</v>
      </c>
      <c r="R11" s="180">
        <f t="shared" si="3"/>
        <v>32.542317248880863</v>
      </c>
    </row>
    <row r="12" spans="1:18" ht="15.75">
      <c r="A12" s="262"/>
      <c r="B12" s="263"/>
      <c r="C12" s="27" t="s">
        <v>159</v>
      </c>
      <c r="D12" s="51">
        <v>36.6</v>
      </c>
      <c r="E12" s="88"/>
      <c r="F12" s="77">
        <v>1</v>
      </c>
      <c r="G12" s="77">
        <f t="shared" si="1"/>
        <v>36.6</v>
      </c>
      <c r="H12" s="49">
        <v>1</v>
      </c>
      <c r="I12" s="49">
        <v>0</v>
      </c>
      <c r="J12" s="49">
        <v>0</v>
      </c>
      <c r="K12" s="49">
        <v>0</v>
      </c>
      <c r="L12" s="49">
        <f>H12*'розрахунок балконів'!$N$2+I12*'розрахунок балконів'!$N$3+J12*'розрахунок балконів'!$N$4+K12*'розрахунок балконів'!$N$5</f>
        <v>1254</v>
      </c>
      <c r="M12" s="88">
        <f t="shared" si="4"/>
        <v>0</v>
      </c>
      <c r="N12" s="162">
        <f>IF(F12,L12*'розрахунок балконів'!$E$13,0)</f>
        <v>1602.8917382639204</v>
      </c>
      <c r="O12" s="162">
        <f>G12*'розрахунок квадрату стяжки'!$M$3</f>
        <v>1404.8949855920569</v>
      </c>
      <c r="P12" s="162">
        <f t="shared" si="2"/>
        <v>3007.7867238559775</v>
      </c>
      <c r="Q12" s="88"/>
      <c r="R12" s="170">
        <f t="shared" si="3"/>
        <v>-3007.7867238559775</v>
      </c>
    </row>
    <row r="13" spans="1:18" ht="15.75">
      <c r="A13" s="262"/>
      <c r="B13" s="263"/>
      <c r="C13" s="27" t="s">
        <v>160</v>
      </c>
      <c r="D13" s="51">
        <v>37.32</v>
      </c>
      <c r="E13" s="88">
        <v>2.5</v>
      </c>
      <c r="F13" s="77">
        <v>1</v>
      </c>
      <c r="G13" s="77">
        <f t="shared" si="1"/>
        <v>39.82</v>
      </c>
      <c r="H13" s="49">
        <v>1</v>
      </c>
      <c r="I13" s="49">
        <v>0</v>
      </c>
      <c r="J13" s="49">
        <v>0</v>
      </c>
      <c r="K13" s="49">
        <v>0</v>
      </c>
      <c r="L13" s="49">
        <f>H13*'розрахунок балконів'!$N$2+I13*'розрахунок балконів'!$N$3+J13*'розрахунок балконів'!$N$4+K13*'розрахунок балконів'!$N$5</f>
        <v>1254</v>
      </c>
      <c r="M13" s="88">
        <f t="shared" si="4"/>
        <v>0</v>
      </c>
      <c r="N13" s="162">
        <f>IF(F13,L13*'розрахунок балконів'!$E$13,0)</f>
        <v>1602.8917382639204</v>
      </c>
      <c r="O13" s="162">
        <f>G13*'розрахунок квадрату стяжки'!$M$3</f>
        <v>1528.4950362370409</v>
      </c>
      <c r="P13" s="162">
        <f t="shared" si="2"/>
        <v>3131.3867745009611</v>
      </c>
      <c r="Q13" s="88"/>
      <c r="R13" s="170">
        <f t="shared" si="3"/>
        <v>-3131.3867745009611</v>
      </c>
    </row>
    <row r="14" spans="1:18" ht="15.75">
      <c r="A14" s="262"/>
      <c r="B14" s="263"/>
      <c r="C14" s="27" t="s">
        <v>161</v>
      </c>
      <c r="D14" s="51">
        <v>58.32</v>
      </c>
      <c r="E14" s="88"/>
      <c r="F14" s="88">
        <v>1</v>
      </c>
      <c r="G14" s="88">
        <f t="shared" si="1"/>
        <v>58.32</v>
      </c>
      <c r="H14" s="49">
        <v>1</v>
      </c>
      <c r="I14" s="49">
        <v>0</v>
      </c>
      <c r="J14" s="49">
        <v>0</v>
      </c>
      <c r="K14" s="49">
        <v>0</v>
      </c>
      <c r="L14" s="49">
        <f>H14*'розрахунок балконів'!$N$2+I14*'розрахунок балконів'!$N$3+J14*'розрахунок балконів'!$N$4+K14*'розрахунок балконів'!$N$5</f>
        <v>1254</v>
      </c>
      <c r="M14" s="88">
        <f t="shared" si="4"/>
        <v>0</v>
      </c>
      <c r="N14" s="162">
        <f>IF(F14,L14*'розрахунок балконів'!$E$13,0)</f>
        <v>1602.8917382639204</v>
      </c>
      <c r="O14" s="162">
        <f>G14*'розрахунок квадрату стяжки'!$M$3</f>
        <v>2238.619550812261</v>
      </c>
      <c r="P14" s="162">
        <f t="shared" si="2"/>
        <v>3841.5112890761811</v>
      </c>
      <c r="Q14" s="88"/>
      <c r="R14" s="170">
        <f t="shared" si="3"/>
        <v>-3841.5112890761811</v>
      </c>
    </row>
    <row r="15" spans="1:18" ht="15.75">
      <c r="A15" s="262"/>
      <c r="B15" s="264">
        <v>4</v>
      </c>
      <c r="C15" s="27" t="s">
        <v>162</v>
      </c>
      <c r="D15" s="51">
        <v>82.21</v>
      </c>
      <c r="E15" s="88">
        <v>2.5</v>
      </c>
      <c r="F15" s="77">
        <v>1</v>
      </c>
      <c r="G15" s="77">
        <f t="shared" si="1"/>
        <v>84.71</v>
      </c>
      <c r="H15" s="47">
        <v>1</v>
      </c>
      <c r="I15" s="30">
        <v>0</v>
      </c>
      <c r="J15" s="30">
        <v>0</v>
      </c>
      <c r="K15" s="48">
        <v>0</v>
      </c>
      <c r="L15" s="49">
        <f>H15*'розрахунок балконів'!$N$2+I15*'розрахунок балконів'!$N$3+J15*'розрахунок балконів'!$N$4+K15*'розрахунок балконів'!$N$5</f>
        <v>1254</v>
      </c>
      <c r="M15" s="88">
        <f t="shared" si="4"/>
        <v>0</v>
      </c>
      <c r="N15" s="162">
        <f>IF(F15,L15*'розрахунок балконів'!$E$13,0)</f>
        <v>1602.8917382639204</v>
      </c>
      <c r="O15" s="162">
        <f>G15*'розрахунок квадрату стяжки'!$M$3</f>
        <v>3251.6025745765878</v>
      </c>
      <c r="P15" s="162">
        <f t="shared" si="2"/>
        <v>4854.4943128405084</v>
      </c>
      <c r="Q15" s="88"/>
      <c r="R15" s="170">
        <f t="shared" si="3"/>
        <v>-4854.4943128405084</v>
      </c>
    </row>
    <row r="16" spans="1:18" ht="15.75">
      <c r="A16" s="262"/>
      <c r="B16" s="264"/>
      <c r="C16" s="172" t="s">
        <v>163</v>
      </c>
      <c r="D16" s="203">
        <v>36.799999999999997</v>
      </c>
      <c r="E16" s="176"/>
      <c r="F16" s="176">
        <v>1</v>
      </c>
      <c r="G16" s="176">
        <f t="shared" si="1"/>
        <v>36.799999999999997</v>
      </c>
      <c r="H16" s="204">
        <v>1</v>
      </c>
      <c r="I16" s="204">
        <v>0</v>
      </c>
      <c r="J16" s="204">
        <v>0</v>
      </c>
      <c r="K16" s="204">
        <v>0</v>
      </c>
      <c r="L16" s="204">
        <f>H16*'розрахунок балконів'!$N$2+I16*'розрахунок балконів'!$N$3+J16*'розрахунок балконів'!$N$4+K16*'розрахунок балконів'!$N$5</f>
        <v>1254</v>
      </c>
      <c r="M16" s="176">
        <f t="shared" si="4"/>
        <v>0</v>
      </c>
      <c r="N16" s="205">
        <f>IF(F16,L16*'розрахунок балконів'!$E$13,0)</f>
        <v>1602.8917382639204</v>
      </c>
      <c r="O16" s="205">
        <f>G16*'розрахунок квадрату стяжки'!$M$3</f>
        <v>1412.5720073712482</v>
      </c>
      <c r="P16" s="205">
        <f t="shared" si="2"/>
        <v>3015.4637456351684</v>
      </c>
      <c r="Q16" s="176">
        <v>3065</v>
      </c>
      <c r="R16" s="180">
        <f t="shared" si="3"/>
        <v>49.53625436483162</v>
      </c>
    </row>
    <row r="17" spans="1:18" ht="15.75">
      <c r="A17" s="262"/>
      <c r="B17" s="264"/>
      <c r="C17" s="80" t="s">
        <v>164</v>
      </c>
      <c r="D17" s="108">
        <v>65.08</v>
      </c>
      <c r="E17" s="90"/>
      <c r="F17" s="90">
        <v>0</v>
      </c>
      <c r="G17" s="90">
        <f t="shared" si="1"/>
        <v>0</v>
      </c>
      <c r="H17" s="109">
        <v>1</v>
      </c>
      <c r="I17" s="109">
        <v>0</v>
      </c>
      <c r="J17" s="109">
        <v>0</v>
      </c>
      <c r="K17" s="109">
        <v>1</v>
      </c>
      <c r="L17" s="109">
        <f>H17*'розрахунок балконів'!$N$2+I17*'розрахунок балконів'!$N$3+J17*'розрахунок балконів'!$N$4+K17*'розрахунок балконів'!$N$5</f>
        <v>2231.5</v>
      </c>
      <c r="M17" s="90">
        <f t="shared" si="4"/>
        <v>2231.5</v>
      </c>
      <c r="N17" s="164">
        <f>IF(F17,L17*'розрахунок балконів'!$E$13,0)</f>
        <v>0</v>
      </c>
      <c r="O17" s="164">
        <f>G17*'розрахунок квадрату стяжки'!$M$3</f>
        <v>0</v>
      </c>
      <c r="P17" s="164">
        <f t="shared" si="2"/>
        <v>0</v>
      </c>
      <c r="Q17" s="90"/>
      <c r="R17" s="122">
        <f t="shared" si="3"/>
        <v>0</v>
      </c>
    </row>
    <row r="18" spans="1:18" ht="15.75">
      <c r="A18" s="262"/>
      <c r="B18" s="264"/>
      <c r="C18" s="202" t="s">
        <v>165</v>
      </c>
      <c r="D18" s="203">
        <v>36.6</v>
      </c>
      <c r="E18" s="176"/>
      <c r="F18" s="176">
        <v>1</v>
      </c>
      <c r="G18" s="176">
        <f t="shared" si="1"/>
        <v>36.6</v>
      </c>
      <c r="H18" s="204">
        <v>1</v>
      </c>
      <c r="I18" s="204">
        <v>0</v>
      </c>
      <c r="J18" s="204">
        <v>0</v>
      </c>
      <c r="K18" s="204">
        <v>0</v>
      </c>
      <c r="L18" s="204">
        <f>H18*'розрахунок балконів'!$N$2+I18*'розрахунок балконів'!$N$3+J18*'розрахунок балконів'!$N$4+K18*'розрахунок балконів'!$N$5</f>
        <v>1254</v>
      </c>
      <c r="M18" s="176">
        <f t="shared" si="4"/>
        <v>0</v>
      </c>
      <c r="N18" s="205">
        <f>IF(F18,L18*'розрахунок балконів'!$E$13,0)</f>
        <v>1602.8917382639204</v>
      </c>
      <c r="O18" s="205">
        <f>G18*'розрахунок квадрату стяжки'!$M$3</f>
        <v>1404.8949855920569</v>
      </c>
      <c r="P18" s="205">
        <f t="shared" si="2"/>
        <v>3007.7867238559775</v>
      </c>
      <c r="Q18" s="176">
        <v>3114</v>
      </c>
      <c r="R18" s="180">
        <f t="shared" si="3"/>
        <v>106.21327614402253</v>
      </c>
    </row>
    <row r="19" spans="1:18" ht="15.75">
      <c r="A19" s="262"/>
      <c r="B19" s="264"/>
      <c r="C19" s="202" t="s">
        <v>166</v>
      </c>
      <c r="D19" s="203">
        <v>37.32</v>
      </c>
      <c r="E19" s="176"/>
      <c r="F19" s="176">
        <v>1</v>
      </c>
      <c r="G19" s="176">
        <f t="shared" si="1"/>
        <v>37.32</v>
      </c>
      <c r="H19" s="204">
        <v>1</v>
      </c>
      <c r="I19" s="204">
        <v>0</v>
      </c>
      <c r="J19" s="204">
        <v>0</v>
      </c>
      <c r="K19" s="204">
        <v>0</v>
      </c>
      <c r="L19" s="204">
        <f>H19*'розрахунок балконів'!$N$2+I19*'розрахунок балконів'!$N$3+J19*'розрахунок балконів'!$N$4+K19*'розрахунок балконів'!$N$5</f>
        <v>1254</v>
      </c>
      <c r="M19" s="176">
        <f t="shared" si="4"/>
        <v>0</v>
      </c>
      <c r="N19" s="205">
        <f>IF(F19,L19*'розрахунок балконів'!$E$13,0)</f>
        <v>1602.8917382639204</v>
      </c>
      <c r="O19" s="205">
        <f>G19*'розрахунок квадрату стяжки'!$M$3</f>
        <v>1432.5322639971464</v>
      </c>
      <c r="P19" s="205">
        <f t="shared" si="2"/>
        <v>3035.4240022610666</v>
      </c>
      <c r="Q19" s="176">
        <v>3142</v>
      </c>
      <c r="R19" s="180">
        <f t="shared" si="3"/>
        <v>106.57599773893344</v>
      </c>
    </row>
    <row r="20" spans="1:18" ht="15.75">
      <c r="A20" s="262"/>
      <c r="B20" s="264"/>
      <c r="C20" s="80" t="s">
        <v>167</v>
      </c>
      <c r="D20" s="108">
        <v>58.32</v>
      </c>
      <c r="E20" s="90"/>
      <c r="F20" s="90">
        <v>0</v>
      </c>
      <c r="G20" s="90">
        <f t="shared" si="1"/>
        <v>0</v>
      </c>
      <c r="H20" s="109">
        <v>1</v>
      </c>
      <c r="I20" s="109">
        <v>0</v>
      </c>
      <c r="J20" s="109">
        <v>0</v>
      </c>
      <c r="K20" s="109">
        <v>0</v>
      </c>
      <c r="L20" s="109">
        <f>H20*'розрахунок балконів'!$N$2+I20*'розрахунок балконів'!$N$3+J20*'розрахунок балконів'!$N$4+K20*'розрахунок балконів'!$N$5</f>
        <v>1254</v>
      </c>
      <c r="M20" s="90">
        <f t="shared" si="4"/>
        <v>1254</v>
      </c>
      <c r="N20" s="164">
        <f>IF(F20,L20*'розрахунок балконів'!$E$13,0)</f>
        <v>0</v>
      </c>
      <c r="O20" s="164">
        <f>G20*'розрахунок квадрату стяжки'!$M$3</f>
        <v>0</v>
      </c>
      <c r="P20" s="164">
        <f t="shared" si="2"/>
        <v>0</v>
      </c>
      <c r="Q20" s="90"/>
      <c r="R20" s="122">
        <f t="shared" si="3"/>
        <v>0</v>
      </c>
    </row>
    <row r="21" spans="1:18" ht="15.75">
      <c r="A21" s="262"/>
      <c r="B21" s="264">
        <v>5</v>
      </c>
      <c r="C21" s="27" t="s">
        <v>168</v>
      </c>
      <c r="D21" s="51">
        <v>82.21</v>
      </c>
      <c r="E21" s="88">
        <v>2.5</v>
      </c>
      <c r="F21" s="77">
        <v>1</v>
      </c>
      <c r="G21" s="77">
        <f t="shared" si="1"/>
        <v>84.71</v>
      </c>
      <c r="H21" s="47">
        <v>1</v>
      </c>
      <c r="I21" s="30">
        <v>0</v>
      </c>
      <c r="J21" s="30">
        <v>0</v>
      </c>
      <c r="K21" s="48">
        <v>0</v>
      </c>
      <c r="L21" s="49">
        <f>H21*'розрахунок балконів'!$N$2+I21*'розрахунок балконів'!$N$3+J21*'розрахунок балконів'!$N$4+K21*'розрахунок балконів'!$N$5</f>
        <v>1254</v>
      </c>
      <c r="M21" s="88">
        <f t="shared" si="4"/>
        <v>0</v>
      </c>
      <c r="N21" s="162">
        <f>IF(F21,L21*'розрахунок балконів'!$E$13,0)</f>
        <v>1602.8917382639204</v>
      </c>
      <c r="O21" s="162">
        <f>G21*'розрахунок квадрату стяжки'!$M$3</f>
        <v>3251.6025745765878</v>
      </c>
      <c r="P21" s="162">
        <f t="shared" si="2"/>
        <v>4854.4943128405084</v>
      </c>
      <c r="Q21" s="88"/>
      <c r="R21" s="170">
        <f t="shared" si="3"/>
        <v>-4854.4943128405084</v>
      </c>
    </row>
    <row r="22" spans="1:18" ht="15.75">
      <c r="A22" s="262"/>
      <c r="B22" s="264"/>
      <c r="C22" s="27" t="s">
        <v>169</v>
      </c>
      <c r="D22" s="51">
        <v>36.799999999999997</v>
      </c>
      <c r="E22" s="88"/>
      <c r="F22" s="77">
        <v>1</v>
      </c>
      <c r="G22" s="77">
        <f t="shared" si="1"/>
        <v>36.799999999999997</v>
      </c>
      <c r="H22" s="49">
        <v>1</v>
      </c>
      <c r="I22" s="49">
        <v>0</v>
      </c>
      <c r="J22" s="49">
        <v>0</v>
      </c>
      <c r="K22" s="49">
        <v>0</v>
      </c>
      <c r="L22" s="49">
        <f>H22*'розрахунок балконів'!$N$2+I22*'розрахунок балконів'!$N$3+J22*'розрахунок балконів'!$N$4+K22*'розрахунок балконів'!$N$5</f>
        <v>1254</v>
      </c>
      <c r="M22" s="88">
        <f t="shared" si="4"/>
        <v>0</v>
      </c>
      <c r="N22" s="162">
        <f>IF(F22,L22*'розрахунок балконів'!$E$13,0)</f>
        <v>1602.8917382639204</v>
      </c>
      <c r="O22" s="162">
        <f>G22*'розрахунок квадрату стяжки'!$M$3</f>
        <v>1412.5720073712482</v>
      </c>
      <c r="P22" s="162">
        <f t="shared" si="2"/>
        <v>3015.4637456351684</v>
      </c>
      <c r="Q22" s="88"/>
      <c r="R22" s="170">
        <f t="shared" si="3"/>
        <v>-3015.4637456351684</v>
      </c>
    </row>
    <row r="23" spans="1:18" ht="15.75">
      <c r="A23" s="262"/>
      <c r="B23" s="264"/>
      <c r="C23" s="202" t="s">
        <v>170</v>
      </c>
      <c r="D23" s="203">
        <v>65.08</v>
      </c>
      <c r="E23" s="176"/>
      <c r="F23" s="176">
        <v>1</v>
      </c>
      <c r="G23" s="176">
        <f t="shared" si="1"/>
        <v>65.08</v>
      </c>
      <c r="H23" s="204">
        <v>1</v>
      </c>
      <c r="I23" s="204">
        <v>0</v>
      </c>
      <c r="J23" s="204">
        <v>0</v>
      </c>
      <c r="K23" s="204">
        <v>1</v>
      </c>
      <c r="L23" s="204">
        <f>H23*'розрахунок балконів'!$N$2+I23*'розрахунок балконів'!$N$3+J23*'розрахунок балконів'!$N$4+K23*'розрахунок балконів'!$N$5</f>
        <v>2231.5</v>
      </c>
      <c r="M23" s="176">
        <f t="shared" si="4"/>
        <v>0</v>
      </c>
      <c r="N23" s="205">
        <f>IF(F23,L23*'розрахунок балконів'!$E$13,0)</f>
        <v>2852.3547958021836</v>
      </c>
      <c r="O23" s="205">
        <f>G23*'розрахунок квадрату стяжки'!$M$3</f>
        <v>2498.102886948936</v>
      </c>
      <c r="P23" s="205">
        <f t="shared" si="2"/>
        <v>5350.4576827511191</v>
      </c>
      <c r="Q23" s="176">
        <v>5350</v>
      </c>
      <c r="R23" s="180">
        <f t="shared" si="3"/>
        <v>-0.45768275111913681</v>
      </c>
    </row>
    <row r="24" spans="1:18" ht="15.75">
      <c r="A24" s="262"/>
      <c r="B24" s="264"/>
      <c r="C24" s="202" t="s">
        <v>171</v>
      </c>
      <c r="D24" s="203">
        <v>36.6</v>
      </c>
      <c r="E24" s="176">
        <v>2.5</v>
      </c>
      <c r="F24" s="176">
        <v>1</v>
      </c>
      <c r="G24" s="176">
        <f t="shared" si="1"/>
        <v>39.1</v>
      </c>
      <c r="H24" s="204">
        <v>1</v>
      </c>
      <c r="I24" s="204">
        <v>0</v>
      </c>
      <c r="J24" s="204">
        <v>0</v>
      </c>
      <c r="K24" s="204">
        <v>0</v>
      </c>
      <c r="L24" s="204">
        <f>H24*'розрахунок балконів'!$N$2+I24*'розрахунок балконів'!$N$3+J24*'розрахунок балконів'!$N$4+K24*'розрахунок балконів'!$N$5</f>
        <v>1254</v>
      </c>
      <c r="M24" s="176">
        <f t="shared" si="4"/>
        <v>0</v>
      </c>
      <c r="N24" s="205">
        <f>IF(F24,L24*'розрахунок балконів'!$E$13,0)</f>
        <v>1602.8917382639204</v>
      </c>
      <c r="O24" s="205">
        <f>G24*'розрахунок квадрату стяжки'!$M$3</f>
        <v>1500.8577578319514</v>
      </c>
      <c r="P24" s="205">
        <f t="shared" si="2"/>
        <v>3103.749496095872</v>
      </c>
      <c r="Q24" s="176">
        <v>3213</v>
      </c>
      <c r="R24" s="180">
        <f t="shared" si="3"/>
        <v>109.25050390412798</v>
      </c>
    </row>
    <row r="25" spans="1:18" ht="15.75">
      <c r="A25" s="262"/>
      <c r="B25" s="264"/>
      <c r="C25" s="80" t="s">
        <v>172</v>
      </c>
      <c r="D25" s="108">
        <v>38</v>
      </c>
      <c r="E25" s="90"/>
      <c r="F25" s="90">
        <v>0</v>
      </c>
      <c r="G25" s="90">
        <f t="shared" si="1"/>
        <v>0</v>
      </c>
      <c r="H25" s="109">
        <v>1</v>
      </c>
      <c r="I25" s="109">
        <v>0</v>
      </c>
      <c r="J25" s="109">
        <v>0</v>
      </c>
      <c r="K25" s="109">
        <v>0</v>
      </c>
      <c r="L25" s="109">
        <f>H25*'розрахунок балконів'!$N$2+I25*'розрахунок балконів'!$N$3+J25*'розрахунок балконів'!$N$4+K25*'розрахунок балконів'!$N$5</f>
        <v>1254</v>
      </c>
      <c r="M25" s="90">
        <f t="shared" si="4"/>
        <v>1254</v>
      </c>
      <c r="N25" s="164">
        <f>IF(F25,L25*'розрахунок балконів'!$E$13,0)</f>
        <v>0</v>
      </c>
      <c r="O25" s="164">
        <f>G25*'розрахунок квадрату стяжки'!$M$3</f>
        <v>0</v>
      </c>
      <c r="P25" s="164">
        <f t="shared" si="2"/>
        <v>0</v>
      </c>
      <c r="Q25" s="90"/>
      <c r="R25" s="122">
        <f t="shared" si="3"/>
        <v>0</v>
      </c>
    </row>
    <row r="26" spans="1:18" ht="24">
      <c r="A26" s="262"/>
      <c r="B26" s="264"/>
      <c r="C26" s="202" t="s">
        <v>173</v>
      </c>
      <c r="D26" s="203">
        <v>58.32</v>
      </c>
      <c r="E26" s="176">
        <v>2.5</v>
      </c>
      <c r="F26" s="176">
        <v>1</v>
      </c>
      <c r="G26" s="176">
        <f t="shared" si="1"/>
        <v>60.82</v>
      </c>
      <c r="H26" s="204">
        <v>1</v>
      </c>
      <c r="I26" s="204">
        <v>0</v>
      </c>
      <c r="J26" s="204">
        <v>0</v>
      </c>
      <c r="K26" s="204">
        <v>0</v>
      </c>
      <c r="L26" s="204">
        <f>H26*'розрахунок балконів'!$N$2+I26*'розрахунок балконів'!$N$3+J26*'розрахунок балконів'!$N$4+K26*'розрахунок балконів'!$N$5</f>
        <v>1254</v>
      </c>
      <c r="M26" s="176">
        <f t="shared" si="4"/>
        <v>0</v>
      </c>
      <c r="N26" s="205">
        <f>IF(F26,L26*'розрахунок балконів'!$E$13,0)</f>
        <v>1602.8917382639204</v>
      </c>
      <c r="O26" s="205">
        <f>G26*'розрахунок квадрату стяжки'!$M$3</f>
        <v>2334.5823230521555</v>
      </c>
      <c r="P26" s="205">
        <f t="shared" si="2"/>
        <v>3937.4740613160757</v>
      </c>
      <c r="Q26" s="176">
        <v>4100</v>
      </c>
      <c r="R26" s="180">
        <f t="shared" si="3"/>
        <v>162.52593868392432</v>
      </c>
    </row>
    <row r="27" spans="1:18" ht="15.75">
      <c r="A27" s="262"/>
      <c r="B27" s="264">
        <v>6</v>
      </c>
      <c r="C27" s="27" t="s">
        <v>174</v>
      </c>
      <c r="D27" s="51">
        <v>76.430000000000007</v>
      </c>
      <c r="E27" s="88"/>
      <c r="F27" s="77">
        <v>1</v>
      </c>
      <c r="G27" s="77">
        <f t="shared" si="1"/>
        <v>76.430000000000007</v>
      </c>
      <c r="H27" s="47">
        <v>1</v>
      </c>
      <c r="I27" s="30">
        <v>0</v>
      </c>
      <c r="J27" s="30">
        <v>0</v>
      </c>
      <c r="K27" s="48">
        <v>0</v>
      </c>
      <c r="L27" s="49">
        <f>H27*'розрахунок балконів'!$N$2+I27*'розрахунок балконів'!$N$3+J27*'розрахунок балконів'!$N$4+K27*'розрахунок балконів'!$N$5</f>
        <v>1254</v>
      </c>
      <c r="M27" s="88">
        <f t="shared" si="4"/>
        <v>0</v>
      </c>
      <c r="N27" s="162">
        <f>IF(F27,L27*'розрахунок балконів'!$E$13,0)</f>
        <v>1602.8917382639204</v>
      </c>
      <c r="O27" s="162">
        <f>G27*'розрахунок квадрату стяжки'!$M$3</f>
        <v>2933.7738729180574</v>
      </c>
      <c r="P27" s="162">
        <f t="shared" si="2"/>
        <v>4536.6656111819775</v>
      </c>
      <c r="Q27" s="88"/>
      <c r="R27" s="170">
        <f t="shared" si="3"/>
        <v>-4536.6656111819775</v>
      </c>
    </row>
    <row r="28" spans="1:18" ht="15.75">
      <c r="A28" s="262"/>
      <c r="B28" s="264"/>
      <c r="C28" s="27" t="s">
        <v>175</v>
      </c>
      <c r="D28" s="51">
        <v>36.799999999999997</v>
      </c>
      <c r="E28" s="88"/>
      <c r="F28" s="77">
        <v>1</v>
      </c>
      <c r="G28" s="77">
        <f t="shared" si="1"/>
        <v>36.799999999999997</v>
      </c>
      <c r="H28" s="49">
        <v>1</v>
      </c>
      <c r="I28" s="49">
        <v>0</v>
      </c>
      <c r="J28" s="49">
        <v>0</v>
      </c>
      <c r="K28" s="49">
        <v>0</v>
      </c>
      <c r="L28" s="49">
        <f>H28*'розрахунок балконів'!$N$2+I28*'розрахунок балконів'!$N$3+J28*'розрахунок балконів'!$N$4+K28*'розрахунок балконів'!$N$5</f>
        <v>1254</v>
      </c>
      <c r="M28" s="88">
        <f t="shared" si="4"/>
        <v>0</v>
      </c>
      <c r="N28" s="162">
        <f>IF(F28,L28*'розрахунок балконів'!$E$13,0)</f>
        <v>1602.8917382639204</v>
      </c>
      <c r="O28" s="162">
        <f>G28*'розрахунок квадрату стяжки'!$M$3</f>
        <v>1412.5720073712482</v>
      </c>
      <c r="P28" s="162">
        <f t="shared" si="2"/>
        <v>3015.4637456351684</v>
      </c>
      <c r="Q28" s="88"/>
      <c r="R28" s="170">
        <f t="shared" si="3"/>
        <v>-3015.4637456351684</v>
      </c>
    </row>
    <row r="29" spans="1:18" ht="15.75">
      <c r="A29" s="262"/>
      <c r="B29" s="264"/>
      <c r="C29" s="80" t="s">
        <v>164</v>
      </c>
      <c r="D29" s="108">
        <v>65.08</v>
      </c>
      <c r="E29" s="90">
        <v>2.5</v>
      </c>
      <c r="F29" s="90">
        <v>0</v>
      </c>
      <c r="G29" s="90">
        <f t="shared" si="1"/>
        <v>0</v>
      </c>
      <c r="H29" s="109">
        <v>1</v>
      </c>
      <c r="I29" s="109">
        <v>0</v>
      </c>
      <c r="J29" s="109">
        <v>0</v>
      </c>
      <c r="K29" s="109">
        <v>1</v>
      </c>
      <c r="L29" s="109">
        <f>H29*'розрахунок балконів'!$N$2+I29*'розрахунок балконів'!$N$3+J29*'розрахунок балконів'!$N$4+K29*'розрахунок балконів'!$N$5</f>
        <v>2231.5</v>
      </c>
      <c r="M29" s="90">
        <f t="shared" si="4"/>
        <v>2231.5</v>
      </c>
      <c r="N29" s="164">
        <f>IF(F29,L29*'розрахунок балконів'!$E$13,0)</f>
        <v>0</v>
      </c>
      <c r="O29" s="164">
        <f>G29*'розрахунок квадрату стяжки'!$M$3</f>
        <v>0</v>
      </c>
      <c r="P29" s="164">
        <f t="shared" si="2"/>
        <v>0</v>
      </c>
      <c r="Q29" s="90"/>
      <c r="R29" s="122">
        <f t="shared" si="3"/>
        <v>0</v>
      </c>
    </row>
    <row r="30" spans="1:18" ht="15.75">
      <c r="A30" s="262"/>
      <c r="B30" s="264"/>
      <c r="C30" s="27" t="s">
        <v>176</v>
      </c>
      <c r="D30" s="51">
        <v>36.6</v>
      </c>
      <c r="E30" s="88"/>
      <c r="F30" s="77">
        <v>1</v>
      </c>
      <c r="G30" s="77">
        <f t="shared" si="1"/>
        <v>36.6</v>
      </c>
      <c r="H30" s="49">
        <v>1</v>
      </c>
      <c r="I30" s="49">
        <v>0</v>
      </c>
      <c r="J30" s="49">
        <v>0</v>
      </c>
      <c r="K30" s="49">
        <v>0</v>
      </c>
      <c r="L30" s="49">
        <f>H30*'розрахунок балконів'!$N$2+I30*'розрахунок балконів'!$N$3+J30*'розрахунок балконів'!$N$4+K30*'розрахунок балконів'!$N$5</f>
        <v>1254</v>
      </c>
      <c r="M30" s="88">
        <f t="shared" si="4"/>
        <v>0</v>
      </c>
      <c r="N30" s="162">
        <f>IF(F30,L30*'розрахунок балконів'!$E$13,0)</f>
        <v>1602.8917382639204</v>
      </c>
      <c r="O30" s="162">
        <f>G30*'розрахунок квадрату стяжки'!$M$3</f>
        <v>1404.8949855920569</v>
      </c>
      <c r="P30" s="162">
        <f t="shared" si="2"/>
        <v>3007.7867238559775</v>
      </c>
      <c r="Q30" s="88"/>
      <c r="R30" s="170">
        <f t="shared" si="3"/>
        <v>-3007.7867238559775</v>
      </c>
    </row>
    <row r="31" spans="1:18" ht="15.75">
      <c r="A31" s="262"/>
      <c r="B31" s="264"/>
      <c r="C31" s="80" t="s">
        <v>177</v>
      </c>
      <c r="D31" s="108">
        <v>38</v>
      </c>
      <c r="E31" s="90"/>
      <c r="F31" s="90">
        <v>0</v>
      </c>
      <c r="G31" s="90">
        <f t="shared" si="1"/>
        <v>0</v>
      </c>
      <c r="H31" s="109">
        <v>1</v>
      </c>
      <c r="I31" s="109">
        <v>0</v>
      </c>
      <c r="J31" s="109">
        <v>0</v>
      </c>
      <c r="K31" s="109">
        <v>0</v>
      </c>
      <c r="L31" s="109">
        <f>H31*'розрахунок балконів'!$N$2+I31*'розрахунок балконів'!$N$3+J31*'розрахунок балконів'!$N$4+K31*'розрахунок балконів'!$N$5</f>
        <v>1254</v>
      </c>
      <c r="M31" s="90">
        <f t="shared" si="4"/>
        <v>1254</v>
      </c>
      <c r="N31" s="164">
        <f>IF(F31,L31*'розрахунок балконів'!$E$13,0)</f>
        <v>0</v>
      </c>
      <c r="O31" s="164">
        <f>G31*'розрахунок квадрату стяжки'!$M$3</f>
        <v>0</v>
      </c>
      <c r="P31" s="164">
        <f t="shared" si="2"/>
        <v>0</v>
      </c>
      <c r="Q31" s="90"/>
      <c r="R31" s="122">
        <f t="shared" si="3"/>
        <v>0</v>
      </c>
    </row>
    <row r="32" spans="1:18" ht="15.75">
      <c r="A32" s="262"/>
      <c r="B32" s="264"/>
      <c r="C32" s="202" t="s">
        <v>178</v>
      </c>
      <c r="D32" s="203">
        <v>64.510000000000005</v>
      </c>
      <c r="E32" s="176"/>
      <c r="F32" s="176">
        <v>1</v>
      </c>
      <c r="G32" s="176">
        <f t="shared" si="1"/>
        <v>64.510000000000005</v>
      </c>
      <c r="H32" s="204">
        <v>1</v>
      </c>
      <c r="I32" s="204">
        <v>1</v>
      </c>
      <c r="J32" s="204">
        <v>0</v>
      </c>
      <c r="K32" s="204">
        <v>0</v>
      </c>
      <c r="L32" s="204">
        <f>H32*'розрахунок балконів'!$N$2+I32*'розрахунок балконів'!$N$3+J32*'розрахунок балконів'!$N$4+K32*'розрахунок балконів'!$N$5</f>
        <v>2731.5</v>
      </c>
      <c r="M32" s="176">
        <f t="shared" si="4"/>
        <v>0</v>
      </c>
      <c r="N32" s="205">
        <f>IF(F32,L32*'розрахунок балконів'!$E$13,0)</f>
        <v>3491.4663341849268</v>
      </c>
      <c r="O32" s="205">
        <f>G32*'розрахунок квадрату стяжки'!$M$3</f>
        <v>2476.2233748782401</v>
      </c>
      <c r="P32" s="205">
        <f t="shared" si="2"/>
        <v>5967.6897090631664</v>
      </c>
      <c r="Q32" s="176">
        <v>6180</v>
      </c>
      <c r="R32" s="180">
        <f t="shared" si="3"/>
        <v>212.31029093683355</v>
      </c>
    </row>
    <row r="33" spans="1:18" ht="15.75">
      <c r="A33" s="262"/>
      <c r="B33" s="264">
        <v>7</v>
      </c>
      <c r="C33" s="27" t="s">
        <v>179</v>
      </c>
      <c r="D33" s="51">
        <v>76.430000000000007</v>
      </c>
      <c r="E33" s="88"/>
      <c r="F33" s="77">
        <v>1</v>
      </c>
      <c r="G33" s="77">
        <f t="shared" si="1"/>
        <v>76.430000000000007</v>
      </c>
      <c r="H33" s="47">
        <v>1</v>
      </c>
      <c r="I33" s="30">
        <v>0</v>
      </c>
      <c r="J33" s="30">
        <v>0</v>
      </c>
      <c r="K33" s="48">
        <v>0</v>
      </c>
      <c r="L33" s="49">
        <f>H33*'розрахунок балконів'!$N$2+I33*'розрахунок балконів'!$N$3+J33*'розрахунок балконів'!$N$4+K33*'розрахунок балконів'!$N$5</f>
        <v>1254</v>
      </c>
      <c r="M33" s="88">
        <f t="shared" si="4"/>
        <v>0</v>
      </c>
      <c r="N33" s="162">
        <f>IF(F33,L33*'розрахунок балконів'!$E$13,0)</f>
        <v>1602.8917382639204</v>
      </c>
      <c r="O33" s="162">
        <f>G33*'розрахунок квадрату стяжки'!$M$3</f>
        <v>2933.7738729180574</v>
      </c>
      <c r="P33" s="162">
        <f t="shared" si="2"/>
        <v>4536.6656111819775</v>
      </c>
      <c r="Q33" s="88"/>
      <c r="R33" s="170">
        <f t="shared" si="3"/>
        <v>-4536.6656111819775</v>
      </c>
    </row>
    <row r="34" spans="1:18" ht="15.75">
      <c r="A34" s="262"/>
      <c r="B34" s="264"/>
      <c r="C34" s="27" t="s">
        <v>180</v>
      </c>
      <c r="D34" s="51">
        <v>36.799999999999997</v>
      </c>
      <c r="E34" s="88"/>
      <c r="F34" s="77">
        <v>1</v>
      </c>
      <c r="G34" s="77">
        <f t="shared" si="1"/>
        <v>36.799999999999997</v>
      </c>
      <c r="H34" s="49">
        <v>1</v>
      </c>
      <c r="I34" s="49">
        <v>0</v>
      </c>
      <c r="J34" s="49">
        <v>0</v>
      </c>
      <c r="K34" s="49">
        <v>0</v>
      </c>
      <c r="L34" s="49">
        <f>H34*'розрахунок балконів'!$N$2+I34*'розрахунок балконів'!$N$3+J34*'розрахунок балконів'!$N$4+K34*'розрахунок балконів'!$N$5</f>
        <v>1254</v>
      </c>
      <c r="M34" s="88">
        <f t="shared" si="4"/>
        <v>0</v>
      </c>
      <c r="N34" s="162">
        <f>IF(F34,L34*'розрахунок балконів'!$E$13,0)</f>
        <v>1602.8917382639204</v>
      </c>
      <c r="O34" s="162">
        <f>G34*'розрахунок квадрату стяжки'!$M$3</f>
        <v>1412.5720073712482</v>
      </c>
      <c r="P34" s="162">
        <f t="shared" si="2"/>
        <v>3015.4637456351684</v>
      </c>
      <c r="Q34" s="88"/>
      <c r="R34" s="170">
        <f t="shared" si="3"/>
        <v>-3015.4637456351684</v>
      </c>
    </row>
    <row r="35" spans="1:18" ht="15.75">
      <c r="A35" s="262"/>
      <c r="B35" s="264"/>
      <c r="C35" s="27" t="s">
        <v>181</v>
      </c>
      <c r="D35" s="51">
        <v>65.08</v>
      </c>
      <c r="E35" s="88"/>
      <c r="F35" s="77">
        <v>1</v>
      </c>
      <c r="G35" s="77">
        <f t="shared" si="1"/>
        <v>65.08</v>
      </c>
      <c r="H35" s="49">
        <v>1</v>
      </c>
      <c r="I35" s="49">
        <v>0</v>
      </c>
      <c r="J35" s="49">
        <v>0</v>
      </c>
      <c r="K35" s="49">
        <v>1</v>
      </c>
      <c r="L35" s="49">
        <f>H35*'розрахунок балконів'!$N$2+I35*'розрахунок балконів'!$N$3+J35*'розрахунок балконів'!$N$4+K35*'розрахунок балконів'!$N$5</f>
        <v>2231.5</v>
      </c>
      <c r="M35" s="88">
        <f t="shared" si="4"/>
        <v>0</v>
      </c>
      <c r="N35" s="162">
        <f>IF(F35,L35*'розрахунок балконів'!$E$13,0)</f>
        <v>2852.3547958021836</v>
      </c>
      <c r="O35" s="162">
        <f>G35*'розрахунок квадрату стяжки'!$M$3</f>
        <v>2498.102886948936</v>
      </c>
      <c r="P35" s="162">
        <f t="shared" si="2"/>
        <v>5350.4576827511191</v>
      </c>
      <c r="Q35" s="88"/>
      <c r="R35" s="170">
        <f t="shared" si="3"/>
        <v>-5350.4576827511191</v>
      </c>
    </row>
    <row r="36" spans="1:18" ht="15.75">
      <c r="A36" s="262"/>
      <c r="B36" s="264"/>
      <c r="C36" s="202" t="s">
        <v>182</v>
      </c>
      <c r="D36" s="203">
        <v>36.6</v>
      </c>
      <c r="E36" s="176"/>
      <c r="F36" s="176">
        <v>1</v>
      </c>
      <c r="G36" s="176">
        <f t="shared" si="1"/>
        <v>36.6</v>
      </c>
      <c r="H36" s="204">
        <v>1</v>
      </c>
      <c r="I36" s="204">
        <v>0</v>
      </c>
      <c r="J36" s="204">
        <v>0</v>
      </c>
      <c r="K36" s="204">
        <v>0</v>
      </c>
      <c r="L36" s="204">
        <f>H36*'розрахунок балконів'!$N$2+I36*'розрахунок балконів'!$N$3+J36*'розрахунок балконів'!$N$4+K36*'розрахунок балконів'!$N$5</f>
        <v>1254</v>
      </c>
      <c r="M36" s="176">
        <f t="shared" si="4"/>
        <v>0</v>
      </c>
      <c r="N36" s="205">
        <f>IF(F36,L36*'розрахунок балконів'!$E$13,0)</f>
        <v>1602.8917382639204</v>
      </c>
      <c r="O36" s="205">
        <f>G36*'розрахунок квадрату стяжки'!$M$3</f>
        <v>1404.8949855920569</v>
      </c>
      <c r="P36" s="205">
        <f t="shared" si="2"/>
        <v>3007.7867238559775</v>
      </c>
      <c r="Q36" s="176">
        <v>3100</v>
      </c>
      <c r="R36" s="180">
        <f t="shared" si="3"/>
        <v>92.213276144022529</v>
      </c>
    </row>
    <row r="37" spans="1:18" ht="15.75">
      <c r="A37" s="262"/>
      <c r="B37" s="264"/>
      <c r="C37" s="202" t="s">
        <v>183</v>
      </c>
      <c r="D37" s="203">
        <v>37.36</v>
      </c>
      <c r="E37" s="176"/>
      <c r="F37" s="176">
        <v>1</v>
      </c>
      <c r="G37" s="176">
        <f t="shared" si="1"/>
        <v>37.36</v>
      </c>
      <c r="H37" s="204">
        <v>1</v>
      </c>
      <c r="I37" s="204">
        <v>0</v>
      </c>
      <c r="J37" s="204">
        <v>0</v>
      </c>
      <c r="K37" s="204">
        <v>0</v>
      </c>
      <c r="L37" s="204">
        <f>H37*'розрахунок балконів'!$N$2+I37*'розрахунок балконів'!$N$3+J37*'розрахунок балконів'!$N$4+K37*'розрахунок балконів'!$N$5</f>
        <v>1254</v>
      </c>
      <c r="M37" s="176">
        <f t="shared" si="4"/>
        <v>0</v>
      </c>
      <c r="N37" s="205">
        <f>IF(F37,L37*'розрахунок балконів'!$E$13,0)</f>
        <v>1602.8917382639204</v>
      </c>
      <c r="O37" s="205">
        <f>G37*'розрахунок квадрату стяжки'!$M$3</f>
        <v>1434.0676683529846</v>
      </c>
      <c r="P37" s="205">
        <f t="shared" si="2"/>
        <v>3036.9594066169047</v>
      </c>
      <c r="Q37" s="176">
        <v>3145</v>
      </c>
      <c r="R37" s="180">
        <f t="shared" si="3"/>
        <v>108.04059338309526</v>
      </c>
    </row>
    <row r="38" spans="1:18" ht="15.75">
      <c r="A38" s="262"/>
      <c r="B38" s="264"/>
      <c r="C38" s="202" t="s">
        <v>184</v>
      </c>
      <c r="D38" s="203">
        <v>64.510000000000005</v>
      </c>
      <c r="E38" s="176"/>
      <c r="F38" s="176">
        <v>1</v>
      </c>
      <c r="G38" s="176">
        <f t="shared" si="1"/>
        <v>64.510000000000005</v>
      </c>
      <c r="H38" s="204">
        <v>1</v>
      </c>
      <c r="I38" s="204">
        <v>1</v>
      </c>
      <c r="J38" s="204">
        <v>0</v>
      </c>
      <c r="K38" s="204">
        <v>0</v>
      </c>
      <c r="L38" s="204">
        <f>H38*'розрахунок балконів'!$N$2+I38*'розрахунок балконів'!$N$3+J38*'розрахунок балконів'!$N$4+K38*'розрахунок балконів'!$N$5</f>
        <v>2731.5</v>
      </c>
      <c r="M38" s="176">
        <f t="shared" si="4"/>
        <v>0</v>
      </c>
      <c r="N38" s="205">
        <f>IF(F38,L38*'розрахунок балконів'!$E$13,0)</f>
        <v>3491.4663341849268</v>
      </c>
      <c r="O38" s="205">
        <f>G38*'розрахунок квадрату стяжки'!$M$3</f>
        <v>2476.2233748782401</v>
      </c>
      <c r="P38" s="205">
        <f t="shared" si="2"/>
        <v>5967.6897090631664</v>
      </c>
      <c r="Q38" s="176">
        <v>6107</v>
      </c>
      <c r="R38" s="180">
        <f t="shared" si="3"/>
        <v>139.31029093683355</v>
      </c>
    </row>
    <row r="39" spans="1:18" ht="15.75">
      <c r="A39" s="262"/>
      <c r="B39" s="264">
        <v>8</v>
      </c>
      <c r="C39" s="187" t="s">
        <v>185</v>
      </c>
      <c r="D39" s="188">
        <v>76.400000000000006</v>
      </c>
      <c r="E39" s="102"/>
      <c r="F39" s="102">
        <v>1</v>
      </c>
      <c r="G39" s="102">
        <f t="shared" si="1"/>
        <v>76.400000000000006</v>
      </c>
      <c r="H39" s="193">
        <v>1</v>
      </c>
      <c r="I39" s="103">
        <v>0</v>
      </c>
      <c r="J39" s="103">
        <v>0</v>
      </c>
      <c r="K39" s="194">
        <v>0</v>
      </c>
      <c r="L39" s="189">
        <f>H39*'розрахунок балконів'!$N$2+I39*'розрахунок балконів'!$N$3+J39*'розрахунок балконів'!$N$4+K39*'розрахунок балконів'!$N$5</f>
        <v>1254</v>
      </c>
      <c r="M39" s="102">
        <f t="shared" si="4"/>
        <v>0</v>
      </c>
      <c r="N39" s="190">
        <f>IF(F39,L39*'розрахунок балконів'!$E$13,0)</f>
        <v>1602.8917382639204</v>
      </c>
      <c r="O39" s="190">
        <f>G39*'розрахунок квадрату стяжки'!$M$3</f>
        <v>2932.6223196511787</v>
      </c>
      <c r="P39" s="190">
        <f t="shared" si="2"/>
        <v>4535.5140579150993</v>
      </c>
      <c r="Q39" s="102">
        <v>1550</v>
      </c>
      <c r="R39" s="186">
        <f t="shared" si="3"/>
        <v>-2985.5140579150993</v>
      </c>
    </row>
    <row r="40" spans="1:18" ht="15.75">
      <c r="A40" s="262"/>
      <c r="B40" s="264"/>
      <c r="C40" s="80" t="s">
        <v>186</v>
      </c>
      <c r="D40" s="108">
        <v>36.799999999999997</v>
      </c>
      <c r="E40" s="90">
        <v>2.5</v>
      </c>
      <c r="F40" s="90">
        <v>0</v>
      </c>
      <c r="G40" s="90">
        <f t="shared" si="1"/>
        <v>0</v>
      </c>
      <c r="H40" s="109">
        <v>1</v>
      </c>
      <c r="I40" s="109">
        <v>0</v>
      </c>
      <c r="J40" s="109">
        <v>0</v>
      </c>
      <c r="K40" s="109">
        <v>0</v>
      </c>
      <c r="L40" s="109">
        <f>H40*'розрахунок балконів'!$N$2+I40*'розрахунок балконів'!$N$3+J40*'розрахунок балконів'!$N$4+K40*'розрахунок балконів'!$N$5</f>
        <v>1254</v>
      </c>
      <c r="M40" s="90">
        <f t="shared" si="4"/>
        <v>1254</v>
      </c>
      <c r="N40" s="164">
        <f>IF(F40,L40*'розрахунок балконів'!$E$13,0)</f>
        <v>0</v>
      </c>
      <c r="O40" s="164">
        <f>G40*'розрахунок квадрату стяжки'!$M$3</f>
        <v>0</v>
      </c>
      <c r="P40" s="164">
        <f t="shared" si="2"/>
        <v>0</v>
      </c>
      <c r="Q40" s="90"/>
      <c r="R40" s="122">
        <f t="shared" si="3"/>
        <v>0</v>
      </c>
    </row>
    <row r="41" spans="1:18" ht="15.75">
      <c r="A41" s="262"/>
      <c r="B41" s="264"/>
      <c r="C41" s="27" t="s">
        <v>187</v>
      </c>
      <c r="D41" s="51">
        <v>65.08</v>
      </c>
      <c r="E41" s="88">
        <v>2.5</v>
      </c>
      <c r="F41" s="77">
        <v>1</v>
      </c>
      <c r="G41" s="77">
        <f t="shared" si="1"/>
        <v>67.58</v>
      </c>
      <c r="H41" s="49">
        <v>1</v>
      </c>
      <c r="I41" s="49">
        <v>0</v>
      </c>
      <c r="J41" s="49">
        <v>0</v>
      </c>
      <c r="K41" s="49">
        <v>1</v>
      </c>
      <c r="L41" s="49">
        <f>H41*'розрахунок балконів'!$N$2+I41*'розрахунок балконів'!$N$3+J41*'розрахунок балконів'!$N$4+K41*'розрахунок балконів'!$N$5</f>
        <v>2231.5</v>
      </c>
      <c r="M41" s="88">
        <f t="shared" si="4"/>
        <v>0</v>
      </c>
      <c r="N41" s="162">
        <f>IF(F41,L41*'розрахунок балконів'!$E$13,0)</f>
        <v>2852.3547958021836</v>
      </c>
      <c r="O41" s="162">
        <f>G41*'розрахунок квадрату стяжки'!$M$3</f>
        <v>2594.0656591888305</v>
      </c>
      <c r="P41" s="162">
        <f t="shared" si="2"/>
        <v>5446.4204549910137</v>
      </c>
      <c r="Q41" s="88"/>
      <c r="R41" s="170">
        <f t="shared" si="3"/>
        <v>-5446.4204549910137</v>
      </c>
    </row>
    <row r="42" spans="1:18" ht="15.75">
      <c r="A42" s="262"/>
      <c r="B42" s="264"/>
      <c r="C42" s="27" t="s">
        <v>188</v>
      </c>
      <c r="D42" s="51">
        <v>36.6</v>
      </c>
      <c r="E42" s="88"/>
      <c r="F42" s="77">
        <v>1</v>
      </c>
      <c r="G42" s="77">
        <f t="shared" si="1"/>
        <v>36.6</v>
      </c>
      <c r="H42" s="49">
        <v>1</v>
      </c>
      <c r="I42" s="49">
        <v>0</v>
      </c>
      <c r="J42" s="49">
        <v>0</v>
      </c>
      <c r="K42" s="49">
        <v>0</v>
      </c>
      <c r="L42" s="49">
        <f>H42*'розрахунок балконів'!$N$2+I42*'розрахунок балконів'!$N$3+J42*'розрахунок балконів'!$N$4+K42*'розрахунок балконів'!$N$5</f>
        <v>1254</v>
      </c>
      <c r="M42" s="88">
        <f t="shared" si="4"/>
        <v>0</v>
      </c>
      <c r="N42" s="162">
        <f>IF(F42,L42*'розрахунок балконів'!$E$13,0)</f>
        <v>1602.8917382639204</v>
      </c>
      <c r="O42" s="162">
        <f>G42*'розрахунок квадрату стяжки'!$M$3</f>
        <v>1404.8949855920569</v>
      </c>
      <c r="P42" s="162">
        <f t="shared" si="2"/>
        <v>3007.7867238559775</v>
      </c>
      <c r="Q42" s="88"/>
      <c r="R42" s="170">
        <f t="shared" si="3"/>
        <v>-3007.7867238559775</v>
      </c>
    </row>
    <row r="43" spans="1:18" ht="15.75">
      <c r="A43" s="262"/>
      <c r="B43" s="264"/>
      <c r="C43" s="80" t="s">
        <v>189</v>
      </c>
      <c r="D43" s="108">
        <v>37.32</v>
      </c>
      <c r="E43" s="90"/>
      <c r="F43" s="90">
        <v>0</v>
      </c>
      <c r="G43" s="90">
        <f t="shared" si="1"/>
        <v>0</v>
      </c>
      <c r="H43" s="109">
        <v>1</v>
      </c>
      <c r="I43" s="109">
        <v>0</v>
      </c>
      <c r="J43" s="109">
        <v>0</v>
      </c>
      <c r="K43" s="109">
        <v>0</v>
      </c>
      <c r="L43" s="109">
        <f>H43*'розрахунок балконів'!$N$2+I43*'розрахунок балконів'!$N$3+J43*'розрахунок балконів'!$N$4+K43*'розрахунок балконів'!$N$5</f>
        <v>1254</v>
      </c>
      <c r="M43" s="90">
        <f t="shared" si="4"/>
        <v>1254</v>
      </c>
      <c r="N43" s="164">
        <f>IF(F43,L43*'розрахунок балконів'!$E$13,0)</f>
        <v>0</v>
      </c>
      <c r="O43" s="164">
        <f>G43*'розрахунок квадрату стяжки'!$M$3</f>
        <v>0</v>
      </c>
      <c r="P43" s="164">
        <f t="shared" si="2"/>
        <v>0</v>
      </c>
      <c r="Q43" s="90"/>
      <c r="R43" s="122">
        <f t="shared" si="3"/>
        <v>0</v>
      </c>
    </row>
    <row r="44" spans="1:18" ht="15.75">
      <c r="A44" s="262"/>
      <c r="B44" s="264"/>
      <c r="C44" s="202" t="s">
        <v>190</v>
      </c>
      <c r="D44" s="203">
        <v>58.32</v>
      </c>
      <c r="E44" s="176"/>
      <c r="F44" s="176">
        <v>1</v>
      </c>
      <c r="G44" s="176">
        <f t="shared" si="1"/>
        <v>58.32</v>
      </c>
      <c r="H44" s="204">
        <v>1</v>
      </c>
      <c r="I44" s="204">
        <v>1</v>
      </c>
      <c r="J44" s="204">
        <v>0</v>
      </c>
      <c r="K44" s="204">
        <v>0</v>
      </c>
      <c r="L44" s="204">
        <f>H44*'розрахунок балконів'!$N$2+I44*'розрахунок балконів'!$N$3+J44*'розрахунок балконів'!$N$4+K44*'розрахунок балконів'!$N$5</f>
        <v>2731.5</v>
      </c>
      <c r="M44" s="176">
        <f t="shared" si="4"/>
        <v>0</v>
      </c>
      <c r="N44" s="205">
        <f>IF(F44,L44*'розрахунок балконів'!$E$13,0)</f>
        <v>3491.4663341849268</v>
      </c>
      <c r="O44" s="205">
        <f>G44*'розрахунок квадрату стяжки'!$M$3</f>
        <v>2238.619550812261</v>
      </c>
      <c r="P44" s="205">
        <f t="shared" si="2"/>
        <v>5730.0858849971883</v>
      </c>
      <c r="Q44" s="176">
        <v>5870</v>
      </c>
      <c r="R44" s="180">
        <f t="shared" si="3"/>
        <v>139.91411500281174</v>
      </c>
    </row>
    <row r="45" spans="1:18" ht="15.75">
      <c r="A45" s="262"/>
      <c r="B45" s="264">
        <v>9</v>
      </c>
      <c r="C45" s="202" t="s">
        <v>191</v>
      </c>
      <c r="D45" s="203">
        <v>76.430000000000007</v>
      </c>
      <c r="E45" s="176"/>
      <c r="F45" s="176">
        <v>1</v>
      </c>
      <c r="G45" s="176">
        <f t="shared" si="1"/>
        <v>76.430000000000007</v>
      </c>
      <c r="H45" s="229">
        <v>1</v>
      </c>
      <c r="I45" s="222">
        <v>0</v>
      </c>
      <c r="J45" s="222">
        <v>0</v>
      </c>
      <c r="K45" s="230">
        <v>0</v>
      </c>
      <c r="L45" s="204">
        <f>H45*'розрахунок балконів'!$N$2+I45*'розрахунок балконів'!$N$3+J45*'розрахунок балконів'!$N$4+K45*'розрахунок балконів'!$N$5</f>
        <v>1254</v>
      </c>
      <c r="M45" s="176">
        <f t="shared" si="4"/>
        <v>0</v>
      </c>
      <c r="N45" s="205">
        <f>IF(F45,L45*'розрахунок балконів'!$E$13,0)</f>
        <v>1602.8917382639204</v>
      </c>
      <c r="O45" s="205">
        <f>G45*'розрахунок квадрату стяжки'!$M$3</f>
        <v>2933.7738729180574</v>
      </c>
      <c r="P45" s="205">
        <f t="shared" si="2"/>
        <v>4536.6656111819775</v>
      </c>
      <c r="Q45" s="176">
        <f>1550+3153</f>
        <v>4703</v>
      </c>
      <c r="R45" s="180">
        <f t="shared" si="3"/>
        <v>166.33438881802249</v>
      </c>
    </row>
    <row r="46" spans="1:18" ht="15.75">
      <c r="A46" s="262"/>
      <c r="B46" s="264"/>
      <c r="C46" s="27" t="s">
        <v>188</v>
      </c>
      <c r="D46" s="51">
        <v>36.799999999999997</v>
      </c>
      <c r="E46" s="88"/>
      <c r="F46" s="77">
        <v>1</v>
      </c>
      <c r="G46" s="77">
        <f t="shared" si="1"/>
        <v>36.799999999999997</v>
      </c>
      <c r="H46" s="49">
        <v>1</v>
      </c>
      <c r="I46" s="49">
        <v>0</v>
      </c>
      <c r="J46" s="49">
        <v>0</v>
      </c>
      <c r="K46" s="49">
        <v>0</v>
      </c>
      <c r="L46" s="49">
        <f>H46*'розрахунок балконів'!$N$2+I46*'розрахунок балконів'!$N$3+J46*'розрахунок балконів'!$N$4+K46*'розрахунок балконів'!$N$5</f>
        <v>1254</v>
      </c>
      <c r="M46" s="88">
        <f t="shared" si="4"/>
        <v>0</v>
      </c>
      <c r="N46" s="162">
        <f>IF(F46,L46*'розрахунок балконів'!$E$13,0)</f>
        <v>1602.8917382639204</v>
      </c>
      <c r="O46" s="162">
        <f>G46*'розрахунок квадрату стяжки'!$M$3</f>
        <v>1412.5720073712482</v>
      </c>
      <c r="P46" s="162">
        <f t="shared" si="2"/>
        <v>3015.4637456351684</v>
      </c>
      <c r="Q46" s="88"/>
      <c r="R46" s="170">
        <f t="shared" si="3"/>
        <v>-3015.4637456351684</v>
      </c>
    </row>
    <row r="47" spans="1:18" ht="15.75">
      <c r="A47" s="262"/>
      <c r="B47" s="264"/>
      <c r="C47" s="27" t="s">
        <v>192</v>
      </c>
      <c r="D47" s="51">
        <v>65.040000000000006</v>
      </c>
      <c r="E47" s="88"/>
      <c r="F47" s="77">
        <v>1</v>
      </c>
      <c r="G47" s="77">
        <f t="shared" si="1"/>
        <v>65.040000000000006</v>
      </c>
      <c r="H47" s="49">
        <v>1</v>
      </c>
      <c r="I47" s="49">
        <v>0</v>
      </c>
      <c r="J47" s="49">
        <v>0</v>
      </c>
      <c r="K47" s="49">
        <v>1</v>
      </c>
      <c r="L47" s="49">
        <f>H47*'розрахунок балконів'!$N$2+I47*'розрахунок балконів'!$N$3+J47*'розрахунок балконів'!$N$4+K47*'розрахунок балконів'!$N$5</f>
        <v>2231.5</v>
      </c>
      <c r="M47" s="88">
        <f t="shared" si="4"/>
        <v>0</v>
      </c>
      <c r="N47" s="162">
        <f>IF(F47,L47*'розрахунок балконів'!$E$13,0)</f>
        <v>2852.3547958021836</v>
      </c>
      <c r="O47" s="162">
        <f>G47*'розрахунок квадрату стяжки'!$M$3</f>
        <v>2496.5674825930978</v>
      </c>
      <c r="P47" s="162">
        <f t="shared" si="2"/>
        <v>5348.922278395281</v>
      </c>
      <c r="Q47" s="88"/>
      <c r="R47" s="170">
        <f t="shared" si="3"/>
        <v>-5348.922278395281</v>
      </c>
    </row>
    <row r="48" spans="1:18" ht="15.75">
      <c r="A48" s="262"/>
      <c r="B48" s="264"/>
      <c r="C48" s="27" t="s">
        <v>193</v>
      </c>
      <c r="D48" s="51">
        <v>36.6</v>
      </c>
      <c r="E48" s="88"/>
      <c r="F48" s="77">
        <v>1</v>
      </c>
      <c r="G48" s="77">
        <f t="shared" si="1"/>
        <v>36.6</v>
      </c>
      <c r="H48" s="49">
        <v>1</v>
      </c>
      <c r="I48" s="49">
        <v>0</v>
      </c>
      <c r="J48" s="49">
        <v>0</v>
      </c>
      <c r="K48" s="49">
        <v>0</v>
      </c>
      <c r="L48" s="49">
        <f>H48*'розрахунок балконів'!$N$2+I48*'розрахунок балконів'!$N$3+J48*'розрахунок балконів'!$N$4+K48*'розрахунок балконів'!$N$5</f>
        <v>1254</v>
      </c>
      <c r="M48" s="88">
        <f t="shared" si="4"/>
        <v>0</v>
      </c>
      <c r="N48" s="162">
        <f>IF(F48,L48*'розрахунок балконів'!$E$13,0)</f>
        <v>1602.8917382639204</v>
      </c>
      <c r="O48" s="162">
        <f>G48*'розрахунок квадрату стяжки'!$M$3</f>
        <v>1404.8949855920569</v>
      </c>
      <c r="P48" s="162">
        <f t="shared" si="2"/>
        <v>3007.7867238559775</v>
      </c>
      <c r="Q48" s="88"/>
      <c r="R48" s="170">
        <f t="shared" si="3"/>
        <v>-3007.7867238559775</v>
      </c>
    </row>
    <row r="49" spans="1:19" ht="15.75">
      <c r="A49" s="262"/>
      <c r="B49" s="264"/>
      <c r="C49" s="27" t="s">
        <v>194</v>
      </c>
      <c r="D49" s="51">
        <v>37.32</v>
      </c>
      <c r="E49" s="88">
        <v>2.5</v>
      </c>
      <c r="F49" s="77">
        <v>1</v>
      </c>
      <c r="G49" s="77">
        <f t="shared" si="1"/>
        <v>39.82</v>
      </c>
      <c r="H49" s="49">
        <v>1</v>
      </c>
      <c r="I49" s="49">
        <v>0</v>
      </c>
      <c r="J49" s="49">
        <v>0</v>
      </c>
      <c r="K49" s="49">
        <v>0</v>
      </c>
      <c r="L49" s="49">
        <f>H49*'розрахунок балконів'!$N$2+I49*'розрахунок балконів'!$N$3+J49*'розрахунок балконів'!$N$4+K49*'розрахунок балконів'!$N$5</f>
        <v>1254</v>
      </c>
      <c r="M49" s="88">
        <f t="shared" si="4"/>
        <v>0</v>
      </c>
      <c r="N49" s="162">
        <f>IF(F49,L49*'розрахунок балконів'!$E$13,0)</f>
        <v>1602.8917382639204</v>
      </c>
      <c r="O49" s="162">
        <f>G49*'розрахунок квадрату стяжки'!$M$3</f>
        <v>1528.4950362370409</v>
      </c>
      <c r="P49" s="162">
        <f t="shared" si="2"/>
        <v>3131.3867745009611</v>
      </c>
      <c r="Q49" s="88"/>
      <c r="R49" s="170">
        <f t="shared" si="3"/>
        <v>-3131.3867745009611</v>
      </c>
    </row>
    <row r="50" spans="1:19" ht="15.75">
      <c r="A50" s="262"/>
      <c r="B50" s="264"/>
      <c r="C50" s="80" t="s">
        <v>195</v>
      </c>
      <c r="D50" s="108">
        <v>64.510000000000005</v>
      </c>
      <c r="E50" s="90"/>
      <c r="F50" s="90">
        <v>0</v>
      </c>
      <c r="G50" s="90">
        <f t="shared" si="1"/>
        <v>0</v>
      </c>
      <c r="H50" s="109">
        <v>1</v>
      </c>
      <c r="I50" s="109">
        <v>1</v>
      </c>
      <c r="J50" s="109">
        <v>0</v>
      </c>
      <c r="K50" s="109">
        <v>0</v>
      </c>
      <c r="L50" s="109">
        <f>H50*'розрахунок балконів'!$N$2+I50*'розрахунок балконів'!$N$3+J50*'розрахунок балконів'!$N$4+K50*'розрахунок балконів'!$N$5</f>
        <v>2731.5</v>
      </c>
      <c r="M50" s="90">
        <f t="shared" si="4"/>
        <v>2731.5</v>
      </c>
      <c r="N50" s="164">
        <f>IF(F50,L50*'розрахунок балконів'!$E$13,0)</f>
        <v>0</v>
      </c>
      <c r="O50" s="164">
        <f>G50*'розрахунок квадрату стяжки'!$M$3</f>
        <v>0</v>
      </c>
      <c r="P50" s="164">
        <f>(N50+O50)</f>
        <v>0</v>
      </c>
      <c r="Q50" s="231"/>
      <c r="R50" s="122">
        <f t="shared" si="3"/>
        <v>0</v>
      </c>
    </row>
    <row r="51" spans="1:19" ht="15.75">
      <c r="A51" s="262"/>
      <c r="B51" s="264">
        <v>10</v>
      </c>
      <c r="C51" s="80" t="s">
        <v>196</v>
      </c>
      <c r="D51" s="108">
        <v>76.430000000000007</v>
      </c>
      <c r="E51" s="90"/>
      <c r="F51" s="90">
        <v>0</v>
      </c>
      <c r="G51" s="90">
        <f t="shared" si="1"/>
        <v>0</v>
      </c>
      <c r="H51" s="110">
        <v>1</v>
      </c>
      <c r="I51" s="81">
        <v>0</v>
      </c>
      <c r="J51" s="81">
        <v>0</v>
      </c>
      <c r="K51" s="111">
        <v>0</v>
      </c>
      <c r="L51" s="109">
        <f>H51*'розрахунок балконів'!$N$2+I51*'розрахунок балконів'!$N$3+J51*'розрахунок балконів'!$N$4+K51*'розрахунок балконів'!$N$5</f>
        <v>1254</v>
      </c>
      <c r="M51" s="90">
        <f t="shared" si="4"/>
        <v>1254</v>
      </c>
      <c r="N51" s="164">
        <f>IF(F51,L51*'розрахунок балконів'!$E$13,0)</f>
        <v>0</v>
      </c>
      <c r="O51" s="164">
        <f>G51*'розрахунок квадрату стяжки'!$M$3</f>
        <v>0</v>
      </c>
      <c r="P51" s="164">
        <f t="shared" ref="P51:P56" si="5">(N51+O51)*0.7</f>
        <v>0</v>
      </c>
      <c r="Q51" s="90"/>
      <c r="R51" s="122">
        <f t="shared" si="3"/>
        <v>0</v>
      </c>
      <c r="S51" s="166">
        <v>0.7</v>
      </c>
    </row>
    <row r="52" spans="1:19" ht="15.75">
      <c r="A52" s="262"/>
      <c r="B52" s="264"/>
      <c r="C52" s="112" t="s">
        <v>197</v>
      </c>
      <c r="D52" s="108">
        <v>36.799999999999997</v>
      </c>
      <c r="E52" s="90"/>
      <c r="F52" s="90">
        <v>0</v>
      </c>
      <c r="G52" s="90">
        <f t="shared" si="1"/>
        <v>0</v>
      </c>
      <c r="H52" s="109">
        <v>1</v>
      </c>
      <c r="I52" s="109">
        <v>0</v>
      </c>
      <c r="J52" s="109">
        <v>0</v>
      </c>
      <c r="K52" s="109">
        <v>0</v>
      </c>
      <c r="L52" s="109">
        <f>H52*'розрахунок балконів'!$N$2+I52*'розрахунок балконів'!$N$3+J52*'розрахунок балконів'!$N$4+K52*'розрахунок балконів'!$N$5</f>
        <v>1254</v>
      </c>
      <c r="M52" s="90">
        <f t="shared" si="4"/>
        <v>1254</v>
      </c>
      <c r="N52" s="164">
        <f>IF(F52,L52*'розрахунок балконів'!$E$13,0)</f>
        <v>0</v>
      </c>
      <c r="O52" s="164">
        <f>G52*'розрахунок квадрату стяжки'!$M$3</f>
        <v>0</v>
      </c>
      <c r="P52" s="164">
        <f t="shared" si="5"/>
        <v>0</v>
      </c>
      <c r="Q52" s="90"/>
      <c r="R52" s="122">
        <f t="shared" si="3"/>
        <v>0</v>
      </c>
      <c r="S52" s="166">
        <v>0.7</v>
      </c>
    </row>
    <row r="53" spans="1:19" ht="15.75">
      <c r="A53" s="262"/>
      <c r="B53" s="264"/>
      <c r="C53" s="187" t="s">
        <v>198</v>
      </c>
      <c r="D53" s="188">
        <v>65.040000000000006</v>
      </c>
      <c r="E53" s="102"/>
      <c r="F53" s="102">
        <v>1</v>
      </c>
      <c r="G53" s="102">
        <f t="shared" si="1"/>
        <v>65.040000000000006</v>
      </c>
      <c r="H53" s="189">
        <v>1</v>
      </c>
      <c r="I53" s="189">
        <v>0</v>
      </c>
      <c r="J53" s="189">
        <v>0</v>
      </c>
      <c r="K53" s="189">
        <v>1</v>
      </c>
      <c r="L53" s="189">
        <f>H53*'розрахунок балконів'!$N$2+I53*'розрахунок балконів'!$N$3+J53*'розрахунок балконів'!$N$4+K53*'розрахунок балконів'!$N$5</f>
        <v>2231.5</v>
      </c>
      <c r="M53" s="102">
        <f t="shared" si="4"/>
        <v>0</v>
      </c>
      <c r="N53" s="190">
        <f>IF(F53,L53*'розрахунок балконів'!$E$13,0)</f>
        <v>2852.3547958021836</v>
      </c>
      <c r="O53" s="190">
        <f>G53*'розрахунок квадрату стяжки'!$M$3</f>
        <v>2496.5674825930978</v>
      </c>
      <c r="P53" s="190">
        <f t="shared" si="5"/>
        <v>3744.2455948766965</v>
      </c>
      <c r="Q53" s="102">
        <v>1627</v>
      </c>
      <c r="R53" s="186">
        <f t="shared" si="3"/>
        <v>-2117.2455948766965</v>
      </c>
      <c r="S53" s="166">
        <v>0.7</v>
      </c>
    </row>
    <row r="54" spans="1:19" ht="15.75">
      <c r="A54" s="262"/>
      <c r="B54" s="264"/>
      <c r="C54" s="59" t="s">
        <v>199</v>
      </c>
      <c r="D54" s="108">
        <v>36.6</v>
      </c>
      <c r="E54" s="90"/>
      <c r="F54" s="90">
        <v>0</v>
      </c>
      <c r="G54" s="90">
        <f t="shared" si="1"/>
        <v>0</v>
      </c>
      <c r="H54" s="109">
        <v>1</v>
      </c>
      <c r="I54" s="109">
        <v>0</v>
      </c>
      <c r="J54" s="109">
        <v>0</v>
      </c>
      <c r="K54" s="109">
        <v>0</v>
      </c>
      <c r="L54" s="109">
        <f>H54*'розрахунок балконів'!$N$2+I54*'розрахунок балконів'!$N$3+J54*'розрахунок балконів'!$N$4+K54*'розрахунок балконів'!$N$5</f>
        <v>1254</v>
      </c>
      <c r="M54" s="90">
        <f t="shared" si="4"/>
        <v>1254</v>
      </c>
      <c r="N54" s="164">
        <f>IF(F54,L54*'розрахунок балконів'!$E$13,0)</f>
        <v>0</v>
      </c>
      <c r="O54" s="164">
        <f>G54*'розрахунок квадрату стяжки'!$M$3</f>
        <v>0</v>
      </c>
      <c r="P54" s="164">
        <f t="shared" si="5"/>
        <v>0</v>
      </c>
      <c r="Q54" s="90"/>
      <c r="R54" s="122">
        <f t="shared" si="3"/>
        <v>0</v>
      </c>
      <c r="S54" s="166">
        <v>0.7</v>
      </c>
    </row>
    <row r="55" spans="1:19" ht="15.75">
      <c r="A55" s="262"/>
      <c r="B55" s="264"/>
      <c r="C55" s="202" t="s">
        <v>200</v>
      </c>
      <c r="D55" s="203">
        <v>37.32</v>
      </c>
      <c r="E55" s="176"/>
      <c r="F55" s="176">
        <v>1</v>
      </c>
      <c r="G55" s="176">
        <f t="shared" si="1"/>
        <v>37.32</v>
      </c>
      <c r="H55" s="204">
        <v>1</v>
      </c>
      <c r="I55" s="204">
        <v>0</v>
      </c>
      <c r="J55" s="204">
        <v>0</v>
      </c>
      <c r="K55" s="204">
        <v>0</v>
      </c>
      <c r="L55" s="204">
        <f>H55*'розрахунок балконів'!$N$2+I55*'розрахунок балконів'!$N$3+J55*'розрахунок балконів'!$N$4+K55*'розрахунок балконів'!$N$5</f>
        <v>1254</v>
      </c>
      <c r="M55" s="176">
        <f t="shared" si="4"/>
        <v>0</v>
      </c>
      <c r="N55" s="205">
        <f>IF(F55,L55*'розрахунок балконів'!$E$13,0)</f>
        <v>1602.8917382639204</v>
      </c>
      <c r="O55" s="205">
        <f>G55*'розрахунок квадрату стяжки'!$M$3</f>
        <v>1432.5322639971464</v>
      </c>
      <c r="P55" s="205">
        <f t="shared" si="5"/>
        <v>2124.7968015827464</v>
      </c>
      <c r="Q55" s="176">
        <v>2199</v>
      </c>
      <c r="R55" s="180">
        <f t="shared" si="3"/>
        <v>74.203198417253589</v>
      </c>
      <c r="S55" s="166">
        <v>0.7</v>
      </c>
    </row>
    <row r="56" spans="1:19" ht="15.75">
      <c r="A56" s="262"/>
      <c r="B56" s="264"/>
      <c r="C56" s="202" t="s">
        <v>200</v>
      </c>
      <c r="D56" s="203">
        <v>64.510000000000005</v>
      </c>
      <c r="E56" s="176"/>
      <c r="F56" s="176">
        <v>1</v>
      </c>
      <c r="G56" s="176">
        <f t="shared" si="1"/>
        <v>64.510000000000005</v>
      </c>
      <c r="H56" s="204">
        <v>1</v>
      </c>
      <c r="I56" s="204">
        <v>1</v>
      </c>
      <c r="J56" s="204">
        <v>0</v>
      </c>
      <c r="K56" s="204">
        <v>0</v>
      </c>
      <c r="L56" s="204">
        <f>H56*'розрахунок балконів'!$N$2+I56*'розрахунок балконів'!$N$3+J56*'розрахунок балконів'!$N$4+K56*'розрахунок балконів'!$N$5</f>
        <v>2731.5</v>
      </c>
      <c r="M56" s="176">
        <f t="shared" si="4"/>
        <v>0</v>
      </c>
      <c r="N56" s="205">
        <f>IF(F56,L56*'розрахунок балконів'!$E$13,0)</f>
        <v>3491.4663341849268</v>
      </c>
      <c r="O56" s="205">
        <f>G56*'розрахунок квадрату стяжки'!$M$3</f>
        <v>2476.2233748782401</v>
      </c>
      <c r="P56" s="205">
        <f t="shared" si="5"/>
        <v>4177.3827963442163</v>
      </c>
      <c r="Q56" s="176">
        <v>4322</v>
      </c>
      <c r="R56" s="180">
        <f t="shared" si="3"/>
        <v>144.61720365578367</v>
      </c>
      <c r="S56" s="166">
        <v>0.7</v>
      </c>
    </row>
    <row r="57" spans="1:19" ht="15.75">
      <c r="A57" s="21"/>
      <c r="B57" s="21"/>
      <c r="C57" s="21"/>
      <c r="D57" s="50">
        <f>SUM(D3:D56)</f>
        <v>2836.5300000000007</v>
      </c>
      <c r="E57">
        <f>SUM(E13:E56)</f>
        <v>22.5</v>
      </c>
      <c r="G57" s="116">
        <f>SUM(G3:G56)</f>
        <v>2301.09</v>
      </c>
      <c r="H57" s="50">
        <f t="shared" ref="H57:M57" si="6">SUM(H3:H56)</f>
        <v>54</v>
      </c>
      <c r="I57" s="50">
        <f t="shared" si="6"/>
        <v>5</v>
      </c>
      <c r="J57" s="50">
        <f t="shared" si="6"/>
        <v>0</v>
      </c>
      <c r="K57" s="50">
        <f t="shared" si="6"/>
        <v>9</v>
      </c>
      <c r="L57" s="50">
        <f t="shared" si="6"/>
        <v>83901</v>
      </c>
      <c r="M57" s="50">
        <f t="shared" si="6"/>
        <v>17226.5</v>
      </c>
      <c r="N57" s="163">
        <f>SUM(N3:N56)</f>
        <v>85224.884531800402</v>
      </c>
      <c r="O57" s="163">
        <f>SUM(O3:O56)</f>
        <v>88327.59022939959</v>
      </c>
      <c r="P57" s="163">
        <f>SUM(P3:P56)</f>
        <v>169246.86396428419</v>
      </c>
      <c r="Q57" s="163">
        <f>SUM(Q3:Q56)</f>
        <v>83996</v>
      </c>
      <c r="R57" s="163">
        <f>SUM(R3:R56)</f>
        <v>-85250.863964284232</v>
      </c>
    </row>
    <row r="58" spans="1:19">
      <c r="A58" s="261"/>
      <c r="B58" s="23"/>
      <c r="C58" s="20"/>
      <c r="D58" s="23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</row>
    <row r="59" spans="1:19">
      <c r="A59" s="261"/>
      <c r="B59" s="23"/>
      <c r="C59" s="20"/>
      <c r="D59" s="23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</row>
    <row r="60" spans="1:19">
      <c r="A60" s="261"/>
      <c r="B60" s="23"/>
      <c r="C60" s="20"/>
      <c r="D60" s="23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</row>
    <row r="61" spans="1:19"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</row>
    <row r="62" spans="1:19"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</row>
    <row r="64" spans="1:19">
      <c r="G64" t="s">
        <v>269</v>
      </c>
    </row>
  </sheetData>
  <mergeCells count="12">
    <mergeCell ref="A1:P1"/>
    <mergeCell ref="A58:A60"/>
    <mergeCell ref="A3:A56"/>
    <mergeCell ref="B3:B8"/>
    <mergeCell ref="B9:B14"/>
    <mergeCell ref="B15:B20"/>
    <mergeCell ref="B21:B26"/>
    <mergeCell ref="B27:B32"/>
    <mergeCell ref="B33:B38"/>
    <mergeCell ref="B39:B44"/>
    <mergeCell ref="B45:B50"/>
    <mergeCell ref="B51:B56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I10" sqref="I10:J10"/>
    </sheetView>
  </sheetViews>
  <sheetFormatPr defaultRowHeight="15"/>
  <cols>
    <col min="3" max="3" width="28.85546875" bestFit="1" customWidth="1"/>
    <col min="8" max="8" width="13" customWidth="1"/>
  </cols>
  <sheetData>
    <row r="1" spans="1:10" ht="64.5">
      <c r="A1" s="14" t="s">
        <v>0</v>
      </c>
      <c r="B1" s="14" t="s">
        <v>1</v>
      </c>
      <c r="C1" s="14" t="s">
        <v>2</v>
      </c>
      <c r="D1" s="14" t="s">
        <v>3</v>
      </c>
      <c r="E1" s="14" t="s">
        <v>260</v>
      </c>
      <c r="F1" s="14" t="s">
        <v>270</v>
      </c>
      <c r="G1" s="14" t="s">
        <v>240</v>
      </c>
      <c r="H1" s="144" t="s">
        <v>262</v>
      </c>
      <c r="I1" s="57" t="s">
        <v>281</v>
      </c>
      <c r="J1" s="77" t="s">
        <v>282</v>
      </c>
    </row>
    <row r="2" spans="1:10">
      <c r="A2" s="265" t="s">
        <v>271</v>
      </c>
      <c r="B2" s="265"/>
      <c r="C2" s="90" t="s">
        <v>272</v>
      </c>
      <c r="D2" s="90">
        <v>250</v>
      </c>
      <c r="E2" s="90"/>
      <c r="F2" s="90">
        <v>0</v>
      </c>
      <c r="G2" s="90">
        <f>D2*F2</f>
        <v>0</v>
      </c>
      <c r="H2" s="90"/>
      <c r="I2" s="90"/>
      <c r="J2" s="90">
        <f>I2-H2</f>
        <v>0</v>
      </c>
    </row>
    <row r="3" spans="1:10">
      <c r="A3" s="265"/>
      <c r="B3" s="265"/>
      <c r="C3" s="88" t="s">
        <v>273</v>
      </c>
      <c r="D3" s="88">
        <v>120</v>
      </c>
      <c r="E3" s="88"/>
      <c r="F3" s="88">
        <v>1</v>
      </c>
      <c r="G3" s="88">
        <f t="shared" ref="G3:G10" si="0">D3*F3</f>
        <v>120</v>
      </c>
      <c r="H3" s="88">
        <f>G3*'розрахунок квадрату стяжки'!$M$3</f>
        <v>4606.2130675149401</v>
      </c>
      <c r="I3" s="88"/>
      <c r="J3" s="77">
        <f t="shared" ref="J3:J10" si="1">I3-H3</f>
        <v>-4606.2130675149401</v>
      </c>
    </row>
    <row r="4" spans="1:10">
      <c r="A4" s="265"/>
      <c r="B4" s="265"/>
      <c r="C4" s="88" t="s">
        <v>274</v>
      </c>
      <c r="D4" s="88">
        <v>145</v>
      </c>
      <c r="E4" s="88"/>
      <c r="F4" s="88">
        <v>1</v>
      </c>
      <c r="G4" s="88">
        <v>145</v>
      </c>
      <c r="H4" s="88">
        <f>G4*'розрахунок квадрату стяжки'!$M$3</f>
        <v>5565.8407899138856</v>
      </c>
      <c r="I4" s="88"/>
      <c r="J4" s="77">
        <f t="shared" si="1"/>
        <v>-5565.8407899138856</v>
      </c>
    </row>
    <row r="5" spans="1:10">
      <c r="A5" s="265"/>
      <c r="B5" s="265"/>
      <c r="C5" s="88" t="s">
        <v>275</v>
      </c>
      <c r="D5" s="88">
        <v>410</v>
      </c>
      <c r="E5" s="88"/>
      <c r="F5" s="88">
        <v>1</v>
      </c>
      <c r="G5" s="88">
        <f t="shared" si="0"/>
        <v>410</v>
      </c>
      <c r="H5" s="88">
        <f>G5*'розрахунок квадрату стяжки'!$M$3</f>
        <v>15737.894647342713</v>
      </c>
      <c r="I5" s="88"/>
      <c r="J5" s="77">
        <f t="shared" si="1"/>
        <v>-15737.894647342713</v>
      </c>
    </row>
    <row r="6" spans="1:10">
      <c r="A6" s="265"/>
      <c r="B6" s="265"/>
      <c r="C6" s="88" t="s">
        <v>276</v>
      </c>
      <c r="D6" s="88">
        <v>78.98</v>
      </c>
      <c r="E6" s="88"/>
      <c r="F6" s="88">
        <v>1</v>
      </c>
      <c r="G6" s="88">
        <f>D6*F6</f>
        <v>78.98</v>
      </c>
      <c r="H6" s="88">
        <f>G6*'розрахунок квадрату стяжки'!$M$3</f>
        <v>3031.6559006027501</v>
      </c>
      <c r="I6" s="88"/>
      <c r="J6" s="77">
        <f t="shared" si="1"/>
        <v>-3031.6559006027501</v>
      </c>
    </row>
    <row r="7" spans="1:10">
      <c r="A7" s="265"/>
      <c r="B7" s="265"/>
      <c r="C7" s="88" t="s">
        <v>277</v>
      </c>
      <c r="D7" s="88">
        <v>35</v>
      </c>
      <c r="E7" s="88"/>
      <c r="F7" s="88">
        <v>1</v>
      </c>
      <c r="G7" s="88">
        <f t="shared" si="0"/>
        <v>35</v>
      </c>
      <c r="H7" s="88">
        <f>G7*'розрахунок квадрату стяжки'!$M$3</f>
        <v>1343.4788113585241</v>
      </c>
      <c r="I7" s="88"/>
      <c r="J7" s="77">
        <f t="shared" si="1"/>
        <v>-1343.4788113585241</v>
      </c>
    </row>
    <row r="8" spans="1:10">
      <c r="A8" s="265"/>
      <c r="B8" s="265"/>
      <c r="C8" s="88" t="s">
        <v>278</v>
      </c>
      <c r="D8" s="88">
        <v>180</v>
      </c>
      <c r="E8" s="88"/>
      <c r="F8" s="88">
        <v>1</v>
      </c>
      <c r="G8" s="88">
        <f t="shared" si="0"/>
        <v>180</v>
      </c>
      <c r="H8" s="88">
        <f>G8*'розрахунок квадрату стяжки'!$M$3</f>
        <v>6909.3196012724102</v>
      </c>
      <c r="I8" s="88"/>
      <c r="J8" s="77">
        <f t="shared" si="1"/>
        <v>-6909.3196012724102</v>
      </c>
    </row>
    <row r="9" spans="1:10">
      <c r="A9" s="265"/>
      <c r="B9" s="265"/>
      <c r="C9" s="88" t="s">
        <v>279</v>
      </c>
      <c r="D9" s="88">
        <v>85</v>
      </c>
      <c r="E9" s="88"/>
      <c r="F9" s="88">
        <v>1</v>
      </c>
      <c r="G9" s="88">
        <f t="shared" si="0"/>
        <v>85</v>
      </c>
      <c r="H9" s="88">
        <f>G9*'розрахунок квадрату стяжки'!$M$3</f>
        <v>3262.734256156416</v>
      </c>
      <c r="I9" s="88"/>
      <c r="J9" s="77">
        <f t="shared" si="1"/>
        <v>-3262.734256156416</v>
      </c>
    </row>
    <row r="10" spans="1:10">
      <c r="A10" s="265"/>
      <c r="B10" s="265"/>
      <c r="C10" s="90" t="s">
        <v>280</v>
      </c>
      <c r="D10" s="90">
        <v>50</v>
      </c>
      <c r="E10" s="90"/>
      <c r="F10" s="90">
        <v>0</v>
      </c>
      <c r="G10" s="90">
        <f t="shared" si="0"/>
        <v>0</v>
      </c>
      <c r="H10" s="90">
        <f>G10*'розрахунок квадрату стяжки'!$M$3</f>
        <v>0</v>
      </c>
      <c r="I10" s="90"/>
      <c r="J10" s="90">
        <f t="shared" si="1"/>
        <v>0</v>
      </c>
    </row>
    <row r="11" spans="1:10">
      <c r="D11">
        <f>SUM(D2:D10)</f>
        <v>1353.98</v>
      </c>
      <c r="G11" s="6">
        <f>SUM(G2:G10)</f>
        <v>1053.98</v>
      </c>
      <c r="H11">
        <f>SUM(H2:H10)</f>
        <v>40457.137074161634</v>
      </c>
      <c r="J11">
        <f>SUM(J2:J10)</f>
        <v>-40457.137074161634</v>
      </c>
    </row>
  </sheetData>
  <mergeCells count="1">
    <mergeCell ref="A2:B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F26" sqref="F26"/>
    </sheetView>
  </sheetViews>
  <sheetFormatPr defaultRowHeight="15"/>
  <cols>
    <col min="2" max="2" width="17.140625" customWidth="1"/>
    <col min="3" max="3" width="15.85546875" bestFit="1" customWidth="1"/>
    <col min="4" max="4" width="13.5703125" customWidth="1"/>
    <col min="5" max="5" width="16.7109375" customWidth="1"/>
    <col min="6" max="6" width="16.28515625" customWidth="1"/>
    <col min="8" max="8" width="11.85546875" bestFit="1" customWidth="1"/>
    <col min="10" max="10" width="11.42578125" bestFit="1" customWidth="1"/>
    <col min="11" max="11" width="10.42578125" bestFit="1" customWidth="1"/>
    <col min="12" max="12" width="16.7109375" customWidth="1"/>
    <col min="13" max="13" width="12.5703125" customWidth="1"/>
  </cols>
  <sheetData>
    <row r="1" spans="1:14">
      <c r="B1" s="3" t="s">
        <v>219</v>
      </c>
      <c r="C1" s="3" t="s">
        <v>208</v>
      </c>
      <c r="D1" t="s">
        <v>217</v>
      </c>
      <c r="E1" t="s">
        <v>210</v>
      </c>
      <c r="F1" t="s">
        <v>214</v>
      </c>
      <c r="G1" t="s">
        <v>209</v>
      </c>
      <c r="H1" t="s">
        <v>215</v>
      </c>
      <c r="I1" t="s">
        <v>211</v>
      </c>
      <c r="J1" t="s">
        <v>216</v>
      </c>
      <c r="K1" t="s">
        <v>213</v>
      </c>
      <c r="L1" t="s">
        <v>212</v>
      </c>
      <c r="M1" t="s">
        <v>218</v>
      </c>
      <c r="N1" t="s">
        <v>201</v>
      </c>
    </row>
    <row r="2" spans="1:14">
      <c r="B2" t="s">
        <v>204</v>
      </c>
      <c r="C2" s="19">
        <v>110</v>
      </c>
      <c r="D2">
        <v>6.2</v>
      </c>
      <c r="E2">
        <f>C2*250/1000</f>
        <v>27.5</v>
      </c>
      <c r="F2">
        <v>3.2</v>
      </c>
      <c r="G2">
        <f>E2*5</f>
        <v>137.5</v>
      </c>
      <c r="H2">
        <v>0.32</v>
      </c>
      <c r="I2">
        <v>1</v>
      </c>
      <c r="J2">
        <v>10</v>
      </c>
      <c r="K2">
        <v>2.5</v>
      </c>
      <c r="L2">
        <v>150</v>
      </c>
      <c r="M2">
        <v>55</v>
      </c>
      <c r="N2">
        <f>C2*D2+E2*F2+G2*H2+I2*J2+K2*L2+M2</f>
        <v>1254</v>
      </c>
    </row>
    <row r="3" spans="1:14">
      <c r="B3" t="s">
        <v>205</v>
      </c>
      <c r="C3">
        <v>125</v>
      </c>
      <c r="D3">
        <v>6.2</v>
      </c>
      <c r="E3">
        <f t="shared" ref="E3:E5" si="0">C3*250/1000</f>
        <v>31.25</v>
      </c>
      <c r="F3">
        <v>3.2</v>
      </c>
      <c r="G3">
        <f t="shared" ref="G3:G5" si="1">E3*5</f>
        <v>156.25</v>
      </c>
      <c r="H3">
        <v>0.32</v>
      </c>
      <c r="I3">
        <v>1</v>
      </c>
      <c r="J3">
        <v>10</v>
      </c>
      <c r="K3">
        <v>3.25</v>
      </c>
      <c r="L3">
        <v>150</v>
      </c>
      <c r="M3">
        <v>55</v>
      </c>
      <c r="N3">
        <f t="shared" ref="N3:N5" si="2">C3*D3+E3*F3+G3*H3+I3*J3+K3*L3+M3</f>
        <v>1477.5</v>
      </c>
    </row>
    <row r="4" spans="1:14">
      <c r="B4" t="s">
        <v>206</v>
      </c>
      <c r="C4" s="10">
        <v>54</v>
      </c>
      <c r="D4">
        <v>6.2</v>
      </c>
      <c r="E4">
        <f t="shared" si="0"/>
        <v>13.5</v>
      </c>
      <c r="F4">
        <v>3.2</v>
      </c>
      <c r="G4">
        <f t="shared" si="1"/>
        <v>67.5</v>
      </c>
      <c r="H4">
        <v>0.32</v>
      </c>
      <c r="I4">
        <v>1</v>
      </c>
      <c r="J4">
        <v>10</v>
      </c>
      <c r="K4">
        <v>0.5</v>
      </c>
      <c r="L4">
        <v>150</v>
      </c>
      <c r="M4">
        <v>55</v>
      </c>
      <c r="N4">
        <f t="shared" si="2"/>
        <v>539.6</v>
      </c>
    </row>
    <row r="5" spans="1:14">
      <c r="B5" t="s">
        <v>207</v>
      </c>
      <c r="C5">
        <v>100</v>
      </c>
      <c r="D5">
        <v>6.2</v>
      </c>
      <c r="E5">
        <f t="shared" si="0"/>
        <v>25</v>
      </c>
      <c r="F5">
        <v>3.2</v>
      </c>
      <c r="G5">
        <f t="shared" si="1"/>
        <v>125</v>
      </c>
      <c r="H5">
        <v>0.32</v>
      </c>
      <c r="I5">
        <v>1</v>
      </c>
      <c r="J5">
        <v>10</v>
      </c>
      <c r="K5">
        <v>1.1499999999999999</v>
      </c>
      <c r="L5">
        <v>150</v>
      </c>
      <c r="M5">
        <v>55</v>
      </c>
      <c r="N5">
        <f t="shared" si="2"/>
        <v>977.5</v>
      </c>
    </row>
    <row r="7" spans="1:14">
      <c r="A7" s="77"/>
      <c r="B7" s="77" t="s">
        <v>228</v>
      </c>
      <c r="C7" s="77" t="s">
        <v>234</v>
      </c>
      <c r="D7" s="77" t="s">
        <v>254</v>
      </c>
      <c r="E7" s="77" t="s">
        <v>255</v>
      </c>
    </row>
    <row r="8" spans="1:14">
      <c r="A8" s="77">
        <v>1</v>
      </c>
      <c r="B8" s="77" t="s">
        <v>229</v>
      </c>
      <c r="C8" s="77">
        <f>підїзд1!L48</f>
        <v>72615</v>
      </c>
      <c r="D8" s="77">
        <f>підїзд1!M48</f>
        <v>8501.5</v>
      </c>
      <c r="E8" s="121">
        <f>(D8/C8)*100</f>
        <v>11.707636163327136</v>
      </c>
      <c r="H8" t="s">
        <v>228</v>
      </c>
      <c r="I8" t="s">
        <v>204</v>
      </c>
      <c r="J8" t="s">
        <v>205</v>
      </c>
      <c r="K8" t="s">
        <v>206</v>
      </c>
      <c r="L8" t="s">
        <v>207</v>
      </c>
    </row>
    <row r="9" spans="1:14">
      <c r="A9" s="77">
        <v>2</v>
      </c>
      <c r="B9" s="77" t="s">
        <v>230</v>
      </c>
      <c r="C9" s="77">
        <f>підїзд2!L39</f>
        <v>84983.2</v>
      </c>
      <c r="D9" s="77">
        <f>підїзд2!M39</f>
        <v>13444.4</v>
      </c>
      <c r="E9" s="121">
        <f t="shared" ref="E9:E12" si="3">(D9/C9)*100</f>
        <v>15.820067966374532</v>
      </c>
      <c r="G9">
        <v>1</v>
      </c>
      <c r="H9" t="s">
        <v>229</v>
      </c>
      <c r="I9">
        <v>45</v>
      </c>
      <c r="J9">
        <v>5</v>
      </c>
      <c r="K9">
        <f>підїзд1!J56</f>
        <v>0</v>
      </c>
      <c r="L9">
        <v>9</v>
      </c>
      <c r="M9">
        <f>(I9*$K$2+J9*$K$3+K9*$K$4+L9*K5)*150</f>
        <v>20865</v>
      </c>
    </row>
    <row r="10" spans="1:14">
      <c r="A10" s="78">
        <v>3</v>
      </c>
      <c r="B10" s="77" t="s">
        <v>231</v>
      </c>
      <c r="C10" s="78">
        <f>підїзд3!L48</f>
        <v>65227.5</v>
      </c>
      <c r="D10" s="77">
        <f>підїзд3!M48</f>
        <v>16726.5</v>
      </c>
      <c r="E10" s="121">
        <f t="shared" si="3"/>
        <v>25.643325284580893</v>
      </c>
      <c r="G10">
        <v>2</v>
      </c>
      <c r="H10" t="s">
        <v>230</v>
      </c>
      <c r="I10">
        <v>54</v>
      </c>
      <c r="J10">
        <f>підїзд2!I47</f>
        <v>0</v>
      </c>
      <c r="K10">
        <v>32</v>
      </c>
      <c r="L10">
        <v>0</v>
      </c>
      <c r="M10">
        <f>(I10*$K$2+J10*$K$3+K10*$K$4+L10*K6)*150</f>
        <v>22650</v>
      </c>
    </row>
    <row r="11" spans="1:14">
      <c r="A11" s="78">
        <v>4</v>
      </c>
      <c r="B11" s="77" t="s">
        <v>232</v>
      </c>
      <c r="C11" s="77">
        <f>підїзд4!L30</f>
        <v>39839.19999999999</v>
      </c>
      <c r="D11" s="77">
        <f>підїзд4!M30</f>
        <v>9332.7999999999993</v>
      </c>
      <c r="E11" s="121">
        <f t="shared" si="3"/>
        <v>23.426173216329648</v>
      </c>
      <c r="M11">
        <f>SUM(M9:M10)</f>
        <v>43515</v>
      </c>
    </row>
    <row r="12" spans="1:14">
      <c r="A12" s="78">
        <v>5</v>
      </c>
      <c r="B12" s="77" t="s">
        <v>233</v>
      </c>
      <c r="C12" s="77">
        <f>підїзд5!L57</f>
        <v>83901</v>
      </c>
      <c r="D12" s="77">
        <f>підїзд5!M57</f>
        <v>17226.5</v>
      </c>
      <c r="E12" s="121">
        <f t="shared" si="3"/>
        <v>20.531936448910024</v>
      </c>
    </row>
    <row r="13" spans="1:14">
      <c r="A13" s="77"/>
      <c r="B13" s="77"/>
      <c r="C13" s="77">
        <f>SUM(C8:C12)</f>
        <v>346565.9</v>
      </c>
      <c r="D13" s="77">
        <f>SUM(D8:D12)</f>
        <v>65231.7</v>
      </c>
      <c r="E13" s="121">
        <f>1.09+D13/C13</f>
        <v>1.2782230767654867</v>
      </c>
    </row>
    <row r="15" spans="1:14">
      <c r="B15" t="s">
        <v>228</v>
      </c>
      <c r="C15" t="s">
        <v>204</v>
      </c>
      <c r="D15" t="s">
        <v>205</v>
      </c>
      <c r="E15" t="s">
        <v>206</v>
      </c>
      <c r="F15" t="s">
        <v>207</v>
      </c>
      <c r="G15" t="s">
        <v>236</v>
      </c>
      <c r="H15" t="s">
        <v>235</v>
      </c>
      <c r="I15" t="s">
        <v>237</v>
      </c>
      <c r="J15" t="s">
        <v>238</v>
      </c>
    </row>
    <row r="16" spans="1:14">
      <c r="A16">
        <v>1</v>
      </c>
      <c r="B16" t="s">
        <v>229</v>
      </c>
      <c r="C16">
        <f>підїзд1!H48</f>
        <v>45</v>
      </c>
      <c r="D16">
        <f>підїзд1!I48</f>
        <v>5</v>
      </c>
      <c r="E16">
        <f>підїзд1!J48</f>
        <v>0</v>
      </c>
      <c r="F16">
        <f>підїзд1!K48</f>
        <v>9</v>
      </c>
      <c r="G16">
        <f>C16*$C$2+D16*$C$3+E16*$C$4+F16*$C$5</f>
        <v>6475</v>
      </c>
      <c r="H16">
        <f>C16*$E$2+D16*$E$3+E16*$E$4+F16*$E$5</f>
        <v>1618.75</v>
      </c>
      <c r="I16">
        <f>C16*$G$2+D16*G3+E16*$G$4+F16*$G$5</f>
        <v>8093.75</v>
      </c>
      <c r="J16">
        <f>C16*$K$2*$L$2+D16*$K$3*$L$3+E16*$K$4*$L$4+F16*$K$5*$L$5+55*(C16+D16+E16+F16)</f>
        <v>24110</v>
      </c>
    </row>
    <row r="17" spans="1:10">
      <c r="A17">
        <v>2</v>
      </c>
      <c r="B17" t="s">
        <v>230</v>
      </c>
      <c r="C17">
        <f>підїзд2!H39</f>
        <v>54</v>
      </c>
      <c r="D17">
        <f>підїзд2!I39</f>
        <v>0</v>
      </c>
      <c r="E17">
        <f>підїзд2!J39</f>
        <v>32</v>
      </c>
      <c r="F17">
        <f>підїзд2!K39</f>
        <v>0</v>
      </c>
      <c r="G17">
        <f>C17*$C$2+D17*$C$3+E17*$C$4+F17*$C$5</f>
        <v>7668</v>
      </c>
      <c r="H17">
        <f>C17*$E$2+D17*$E$3+E17*$E$4+F17*$E$5</f>
        <v>1917</v>
      </c>
      <c r="I17">
        <f>C17*$G$2+D17*G4+E17*$G$4+F17*$G$5</f>
        <v>9585</v>
      </c>
      <c r="J17">
        <f t="shared" ref="J17:J18" si="4">C17*$K$2*$L$2+D17*$K$3*$L$3+E17*$K$4*$L$4+F17*$K$5*$L$5+55*(C17+D17+E17+F17)</f>
        <v>27380</v>
      </c>
    </row>
    <row r="18" spans="1:10">
      <c r="A18" s="3">
        <v>3</v>
      </c>
      <c r="B18" t="s">
        <v>231</v>
      </c>
      <c r="C18">
        <f>підїзд3!H48</f>
        <v>45</v>
      </c>
      <c r="D18">
        <f>підїзд3!I48</f>
        <v>0</v>
      </c>
      <c r="E18">
        <f>підїзд3!J48</f>
        <v>0</v>
      </c>
      <c r="F18">
        <f>підїзд3!K48</f>
        <v>9</v>
      </c>
      <c r="G18">
        <f t="shared" ref="G18" si="5">C18*$C$2+D18*$C$3+E18*$C$4+F18*$C$5</f>
        <v>5850</v>
      </c>
      <c r="H18">
        <f t="shared" ref="H18" si="6">C18*$E$2+D18*$E$3+E18*$E$4+F18*$E$5</f>
        <v>1462.5</v>
      </c>
      <c r="I18">
        <f t="shared" ref="I18" si="7">C18*$G$2+D18*G5+E18*$G$4+F18*$G$5</f>
        <v>7312.5</v>
      </c>
      <c r="J18">
        <f t="shared" si="4"/>
        <v>21397.5</v>
      </c>
    </row>
    <row r="19" spans="1:10">
      <c r="A19" s="3">
        <v>4</v>
      </c>
      <c r="B19" t="s">
        <v>232</v>
      </c>
      <c r="C19">
        <f>підїзд4!H30</f>
        <v>18</v>
      </c>
      <c r="D19">
        <f>підїзд4!I30</f>
        <v>0</v>
      </c>
      <c r="E19">
        <f>підїзд4!J30</f>
        <v>32</v>
      </c>
      <c r="F19">
        <f>підїзд4!K30</f>
        <v>0</v>
      </c>
      <c r="G19">
        <f t="shared" ref="G19" si="8">C19*$C$2+D19*$C$3+E19*$C$4+F19*$C$5</f>
        <v>3708</v>
      </c>
      <c r="H19">
        <f t="shared" ref="H19" si="9">C19*$E$2+D19*$E$3+E19*$E$4+F19*$E$5</f>
        <v>927</v>
      </c>
      <c r="I19">
        <f t="shared" ref="I19" si="10">C19*$G$2+D19*G6+E19*$G$4+F19*$G$5</f>
        <v>4635</v>
      </c>
      <c r="J19">
        <f t="shared" ref="J19" si="11">C19*$K$2*$L$2+D19*$K$3*$L$3+E19*$K$4*$L$4+F19*$K$5*$L$5+55*(C19+D19+E19+F19)</f>
        <v>11900</v>
      </c>
    </row>
    <row r="20" spans="1:10">
      <c r="A20" s="3">
        <v>5</v>
      </c>
      <c r="B20" t="s">
        <v>233</v>
      </c>
      <c r="C20">
        <f>підїзд5!H57</f>
        <v>54</v>
      </c>
      <c r="D20">
        <f>підїзд5!I57</f>
        <v>5</v>
      </c>
      <c r="E20">
        <f>підїзд5!J57</f>
        <v>0</v>
      </c>
      <c r="F20">
        <f>підїзд5!K57</f>
        <v>9</v>
      </c>
      <c r="G20">
        <f t="shared" ref="G20" si="12">C20*$C$2+D20*$C$3+E20*$C$4+F20*$C$5</f>
        <v>7465</v>
      </c>
      <c r="H20">
        <f t="shared" ref="H20" si="13">C20*$E$2+D20*$E$3+E20*$E$4+F20*$E$5</f>
        <v>1866.25</v>
      </c>
      <c r="I20">
        <f t="shared" ref="I20" si="14">C20*$G$2+D20*G7+E20*$G$4+F20*$G$5</f>
        <v>8550</v>
      </c>
      <c r="J20">
        <f t="shared" ref="J20" si="15">C20*$K$2*$L$2+D20*$K$3*$L$3+E20*$K$4*$L$4+F20*$K$5*$L$5+55*(C20+D20+E20+F20)</f>
        <v>27980</v>
      </c>
    </row>
    <row r="21" spans="1:10">
      <c r="C21">
        <f t="shared" ref="C21:J21" si="16">SUM(C16:C20)</f>
        <v>216</v>
      </c>
      <c r="D21">
        <f t="shared" si="16"/>
        <v>10</v>
      </c>
      <c r="E21">
        <f t="shared" si="16"/>
        <v>64</v>
      </c>
      <c r="F21">
        <f t="shared" si="16"/>
        <v>27</v>
      </c>
      <c r="G21">
        <f t="shared" si="16"/>
        <v>31166</v>
      </c>
      <c r="H21">
        <f t="shared" si="16"/>
        <v>7791.5</v>
      </c>
      <c r="I21">
        <f t="shared" si="16"/>
        <v>38176.25</v>
      </c>
      <c r="J21">
        <f t="shared" si="16"/>
        <v>112767.5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M3" sqref="M3"/>
    </sheetView>
  </sheetViews>
  <sheetFormatPr defaultRowHeight="15"/>
  <cols>
    <col min="2" max="2" width="22.28515625" bestFit="1" customWidth="1"/>
    <col min="3" max="3" width="10.42578125" bestFit="1" customWidth="1"/>
    <col min="4" max="4" width="14" bestFit="1" customWidth="1"/>
    <col min="5" max="5" width="10" bestFit="1" customWidth="1"/>
    <col min="6" max="6" width="11.7109375" bestFit="1" customWidth="1"/>
    <col min="7" max="7" width="7.85546875" bestFit="1" customWidth="1"/>
    <col min="10" max="10" width="14.28515625" bestFit="1" customWidth="1"/>
    <col min="12" max="12" width="30.140625" customWidth="1"/>
    <col min="13" max="13" width="15.28515625" customWidth="1"/>
  </cols>
  <sheetData>
    <row r="1" spans="1:13">
      <c r="A1" s="266" t="s">
        <v>242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</row>
    <row r="2" spans="1:13">
      <c r="B2" t="s">
        <v>243</v>
      </c>
      <c r="C2" t="s">
        <v>213</v>
      </c>
      <c r="D2" t="s">
        <v>244</v>
      </c>
      <c r="E2" t="s">
        <v>245</v>
      </c>
      <c r="F2" t="s">
        <v>246</v>
      </c>
      <c r="G2" t="s">
        <v>247</v>
      </c>
      <c r="H2" t="s">
        <v>248</v>
      </c>
      <c r="I2" t="s">
        <v>249</v>
      </c>
      <c r="J2" t="s">
        <v>212</v>
      </c>
      <c r="K2" t="s">
        <v>250</v>
      </c>
      <c r="L2" t="s">
        <v>266</v>
      </c>
      <c r="M2" t="s">
        <v>252</v>
      </c>
    </row>
    <row r="3" spans="1:13">
      <c r="B3">
        <v>195</v>
      </c>
      <c r="C3">
        <v>660</v>
      </c>
      <c r="D3">
        <v>2.94</v>
      </c>
      <c r="E3">
        <f>C3*0.1*4*50</f>
        <v>13200</v>
      </c>
      <c r="F3">
        <v>0.32</v>
      </c>
      <c r="G3">
        <f>E3*4</f>
        <v>52800</v>
      </c>
      <c r="H3">
        <v>10</v>
      </c>
      <c r="I3">
        <v>1000</v>
      </c>
      <c r="J3">
        <v>80</v>
      </c>
      <c r="K3">
        <f>B3*C3+D3*E3+F3*G3+H3*I3+J3*C3</f>
        <v>247204</v>
      </c>
      <c r="L3">
        <f>138139+30000</f>
        <v>168139</v>
      </c>
      <c r="M3">
        <f>(K3+L3)/B11</f>
        <v>38.385108895957835</v>
      </c>
    </row>
    <row r="4" spans="1:13">
      <c r="A4" s="77" t="s">
        <v>228</v>
      </c>
      <c r="B4" s="77" t="s">
        <v>241</v>
      </c>
    </row>
    <row r="5" spans="1:13">
      <c r="A5" s="77">
        <v>1</v>
      </c>
      <c r="B5" s="77">
        <f>підїзд1!G48</f>
        <v>2247.1299999999997</v>
      </c>
    </row>
    <row r="6" spans="1:13">
      <c r="A6" s="77">
        <v>2</v>
      </c>
      <c r="B6" s="77">
        <f>підїзд2!G39</f>
        <v>2004.93</v>
      </c>
    </row>
    <row r="7" spans="1:13">
      <c r="A7" s="78">
        <v>3</v>
      </c>
      <c r="B7" s="77">
        <f>підїзд3!G48</f>
        <v>1985.349999999999</v>
      </c>
    </row>
    <row r="8" spans="1:13">
      <c r="A8" s="78">
        <v>4</v>
      </c>
      <c r="B8" s="77">
        <f>підїзд4!G30</f>
        <v>1227.9399999999998</v>
      </c>
    </row>
    <row r="9" spans="1:13">
      <c r="A9" s="78">
        <v>5</v>
      </c>
      <c r="B9" s="77">
        <f>підїзд5!G57</f>
        <v>2301.09</v>
      </c>
    </row>
    <row r="10" spans="1:13">
      <c r="A10" s="77" t="s">
        <v>271</v>
      </c>
      <c r="B10" s="77">
        <f>комерція!G11</f>
        <v>1053.98</v>
      </c>
    </row>
    <row r="11" spans="1:13">
      <c r="A11" s="77" t="s">
        <v>251</v>
      </c>
      <c r="B11" s="77">
        <f>SUM(B5:B10)</f>
        <v>10820.419999999998</v>
      </c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topLeftCell="A2" workbookViewId="0">
      <selection activeCell="D10" sqref="D10"/>
    </sheetView>
  </sheetViews>
  <sheetFormatPr defaultRowHeight="15"/>
  <cols>
    <col min="2" max="2" width="11" customWidth="1"/>
    <col min="3" max="3" width="21.42578125" bestFit="1" customWidth="1"/>
    <col min="4" max="4" width="11.140625" customWidth="1"/>
  </cols>
  <sheetData>
    <row r="3" spans="1:4">
      <c r="A3" s="77"/>
      <c r="B3" s="77" t="s">
        <v>228</v>
      </c>
      <c r="C3" s="77" t="s">
        <v>265</v>
      </c>
      <c r="D3" t="s">
        <v>283</v>
      </c>
    </row>
    <row r="4" spans="1:4">
      <c r="A4" s="77">
        <v>1</v>
      </c>
      <c r="B4" s="77" t="s">
        <v>229</v>
      </c>
      <c r="C4" s="121">
        <f>підїзд1!P48</f>
        <v>161607.76170527149</v>
      </c>
      <c r="D4" s="119">
        <f>підїзд1!Q48</f>
        <v>70044</v>
      </c>
    </row>
    <row r="5" spans="1:4">
      <c r="A5" s="77">
        <v>2</v>
      </c>
      <c r="B5" s="77" t="s">
        <v>230</v>
      </c>
      <c r="C5" s="121">
        <f>підїзд2!P39</f>
        <v>164749.35895142169</v>
      </c>
      <c r="D5" s="119">
        <f>підїзд2!Q39</f>
        <v>84690</v>
      </c>
    </row>
    <row r="6" spans="1:4">
      <c r="A6" s="78">
        <v>3</v>
      </c>
      <c r="B6" s="77" t="s">
        <v>231</v>
      </c>
      <c r="C6" s="165">
        <f>підїзд3!P48</f>
        <v>134748.14664981136</v>
      </c>
      <c r="D6" s="119">
        <f>підїзд3!Q48</f>
        <v>51042</v>
      </c>
    </row>
    <row r="7" spans="1:4">
      <c r="A7" s="78">
        <v>4</v>
      </c>
      <c r="B7" s="77" t="s">
        <v>232</v>
      </c>
      <c r="C7" s="121">
        <f>підїзд4!P30</f>
        <v>84778.189693441818</v>
      </c>
      <c r="D7" s="119">
        <f>підїзд4!Q30</f>
        <v>37977</v>
      </c>
    </row>
    <row r="8" spans="1:4">
      <c r="A8" s="78">
        <v>5</v>
      </c>
      <c r="B8" s="77" t="s">
        <v>233</v>
      </c>
      <c r="C8" s="121">
        <f>підїзд5!P57</f>
        <v>169246.86396428419</v>
      </c>
      <c r="D8" s="119">
        <f>підїзд5!Q57</f>
        <v>83996</v>
      </c>
    </row>
    <row r="9" spans="1:4">
      <c r="A9" s="77">
        <v>6</v>
      </c>
      <c r="B9" s="77" t="s">
        <v>271</v>
      </c>
      <c r="C9" s="77">
        <f>комерція!H11</f>
        <v>40457.137074161634</v>
      </c>
      <c r="D9">
        <f>комерція!I11</f>
        <v>0</v>
      </c>
    </row>
    <row r="10" spans="1:4">
      <c r="C10" s="119">
        <f>SUM(C4:C9)</f>
        <v>755587.45803839224</v>
      </c>
      <c r="D10" s="119">
        <f>SUM(D4:D9)</f>
        <v>327749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підїзд1</vt:lpstr>
      <vt:lpstr>підїзд2</vt:lpstr>
      <vt:lpstr>підїзд3</vt:lpstr>
      <vt:lpstr>підїзд4</vt:lpstr>
      <vt:lpstr>підїзд5</vt:lpstr>
      <vt:lpstr>комерція</vt:lpstr>
      <vt:lpstr>розрахунок балконів</vt:lpstr>
      <vt:lpstr>розрахунок квадрату стяжки</vt:lpstr>
      <vt:lpstr>загальна сума збору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Certified Windows</dc:creator>
  <cp:lastModifiedBy>Certified Windows</cp:lastModifiedBy>
  <dcterms:created xsi:type="dcterms:W3CDTF">2022-06-19T19:41:17Z</dcterms:created>
  <dcterms:modified xsi:type="dcterms:W3CDTF">2023-02-23T03:04:06Z</dcterms:modified>
</cp:coreProperties>
</file>