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weaa/Box Sync/Cultures/didactic-spork/"/>
    </mc:Choice>
  </mc:AlternateContent>
  <xr:revisionPtr revIDLastSave="0" documentId="13_ncr:1_{1751CD93-249D-C94F-82D1-A44A1FFC481C}" xr6:coauthVersionLast="47" xr6:coauthVersionMax="47" xr10:uidLastSave="{00000000-0000-0000-0000-000000000000}"/>
  <bookViews>
    <workbookView xWindow="0" yWindow="500" windowWidth="25600" windowHeight="14240" xr2:uid="{4977FE44-2347-624B-99C9-C0C352789CC4}"/>
  </bookViews>
  <sheets>
    <sheet name="Concentration" sheetId="1" r:id="rId1"/>
    <sheet name="Copy number" sheetId="2" r:id="rId2"/>
    <sheet name="Standards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1" i="1" l="1"/>
  <c r="D53" i="1"/>
  <c r="B48" i="1"/>
  <c r="F17" i="1"/>
  <c r="E43" i="1"/>
  <c r="F43" i="1" s="1"/>
  <c r="E40" i="1"/>
  <c r="F40" i="1" s="1"/>
  <c r="E37" i="1"/>
  <c r="F37" i="1" s="1"/>
  <c r="E34" i="1"/>
  <c r="F34" i="1" s="1"/>
  <c r="E5" i="3"/>
  <c r="E6" i="3"/>
  <c r="E7" i="3"/>
  <c r="E8" i="3"/>
  <c r="E9" i="3"/>
  <c r="E10" i="3"/>
  <c r="E11" i="3"/>
  <c r="E12" i="3"/>
  <c r="E13" i="3"/>
  <c r="E14" i="3"/>
  <c r="E15" i="3"/>
  <c r="B21" i="2"/>
  <c r="B22" i="2"/>
  <c r="C22" i="2" s="1"/>
  <c r="B20" i="2"/>
  <c r="C20" i="2" s="1"/>
  <c r="B18" i="2"/>
  <c r="B19" i="2"/>
  <c r="B17" i="2"/>
  <c r="B15" i="2"/>
  <c r="C15" i="2" s="1"/>
  <c r="B16" i="2"/>
  <c r="C16" i="2" s="1"/>
  <c r="B14" i="2"/>
  <c r="B12" i="2"/>
  <c r="B13" i="2"/>
  <c r="B11" i="2"/>
  <c r="B9" i="2"/>
  <c r="B10" i="2"/>
  <c r="C10" i="2" s="1"/>
  <c r="B8" i="2"/>
  <c r="C8" i="2" s="1"/>
  <c r="B6" i="2"/>
  <c r="B7" i="2"/>
  <c r="B5" i="2"/>
  <c r="C11" i="2"/>
  <c r="C12" i="2"/>
  <c r="B3" i="2"/>
  <c r="C3" i="2" s="1"/>
  <c r="B4" i="2"/>
  <c r="B2" i="2"/>
  <c r="C2" i="2" s="1"/>
  <c r="C5" i="2"/>
  <c r="E4" i="3"/>
  <c r="E3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2" i="3"/>
  <c r="D85" i="2"/>
  <c r="F85" i="2" s="1"/>
  <c r="D84" i="2"/>
  <c r="F84" i="2" s="1"/>
  <c r="D83" i="2"/>
  <c r="F83" i="2" s="1"/>
  <c r="D82" i="2"/>
  <c r="F82" i="2" s="1"/>
  <c r="D81" i="2"/>
  <c r="F81" i="2" s="1"/>
  <c r="D80" i="2"/>
  <c r="F80" i="2" s="1"/>
  <c r="D79" i="2"/>
  <c r="F79" i="2" s="1"/>
  <c r="D78" i="2"/>
  <c r="F78" i="2" s="1"/>
  <c r="D77" i="2"/>
  <c r="F77" i="2" s="1"/>
  <c r="D76" i="2"/>
  <c r="F76" i="2" s="1"/>
  <c r="D75" i="2"/>
  <c r="F75" i="2" s="1"/>
  <c r="D74" i="2"/>
  <c r="F74" i="2" s="1"/>
  <c r="F73" i="2"/>
  <c r="D73" i="2"/>
  <c r="D72" i="2"/>
  <c r="F72" i="2" s="1"/>
  <c r="D71" i="2"/>
  <c r="F71" i="2" s="1"/>
  <c r="D70" i="2"/>
  <c r="F70" i="2" s="1"/>
  <c r="D69" i="2"/>
  <c r="F69" i="2" s="1"/>
  <c r="D68" i="2"/>
  <c r="F68" i="2" s="1"/>
  <c r="D62" i="2"/>
  <c r="F62" i="2" s="1"/>
  <c r="D63" i="2"/>
  <c r="F63" i="2" s="1"/>
  <c r="D64" i="2"/>
  <c r="F64" i="2" s="1"/>
  <c r="D65" i="2"/>
  <c r="F65" i="2" s="1"/>
  <c r="D66" i="2"/>
  <c r="F66" i="2" s="1"/>
  <c r="D67" i="2"/>
  <c r="F67" i="2" s="1"/>
  <c r="D61" i="2"/>
  <c r="F61" i="2" s="1"/>
  <c r="D60" i="2"/>
  <c r="F60" i="2" s="1"/>
  <c r="D59" i="2"/>
  <c r="F59" i="2" s="1"/>
  <c r="D58" i="2"/>
  <c r="F58" i="2" s="1"/>
  <c r="D57" i="2"/>
  <c r="F57" i="2" s="1"/>
  <c r="D56" i="2"/>
  <c r="F56" i="2" s="1"/>
  <c r="F53" i="2"/>
  <c r="D55" i="2"/>
  <c r="F55" i="2" s="1"/>
  <c r="D54" i="2"/>
  <c r="F54" i="2" s="1"/>
  <c r="D53" i="2"/>
  <c r="D52" i="2"/>
  <c r="F52" i="2" s="1"/>
  <c r="D51" i="2"/>
  <c r="F51" i="2" s="1"/>
  <c r="D50" i="2"/>
  <c r="F50" i="2" s="1"/>
  <c r="D44" i="2"/>
  <c r="F44" i="2" s="1"/>
  <c r="D45" i="2"/>
  <c r="F45" i="2" s="1"/>
  <c r="D46" i="2"/>
  <c r="F46" i="2" s="1"/>
  <c r="D47" i="2"/>
  <c r="F47" i="2" s="1"/>
  <c r="G47" i="2" s="1"/>
  <c r="J47" i="2" s="1"/>
  <c r="D48" i="2"/>
  <c r="F48" i="2" s="1"/>
  <c r="D49" i="2"/>
  <c r="F49" i="2" s="1"/>
  <c r="D39" i="2"/>
  <c r="F39" i="2" s="1"/>
  <c r="D40" i="2"/>
  <c r="F40" i="2" s="1"/>
  <c r="D41" i="2"/>
  <c r="F41" i="2" s="1"/>
  <c r="D42" i="2"/>
  <c r="F42" i="2" s="1"/>
  <c r="D43" i="2"/>
  <c r="F43" i="2" s="1"/>
  <c r="D38" i="2"/>
  <c r="F38" i="2" s="1"/>
  <c r="D34" i="2"/>
  <c r="D31" i="1"/>
  <c r="E20" i="2"/>
  <c r="F20" i="2" s="1"/>
  <c r="E17" i="2"/>
  <c r="F17" i="2" s="1"/>
  <c r="E14" i="2"/>
  <c r="F14" i="2" s="1"/>
  <c r="E11" i="2"/>
  <c r="F11" i="2" s="1"/>
  <c r="E8" i="2"/>
  <c r="F8" i="2" s="1"/>
  <c r="E5" i="2"/>
  <c r="F5" i="2" s="1"/>
  <c r="E2" i="2"/>
  <c r="C18" i="2"/>
  <c r="C9" i="2"/>
  <c r="C21" i="2"/>
  <c r="C19" i="2"/>
  <c r="C13" i="2"/>
  <c r="C4" i="2"/>
  <c r="C6" i="2"/>
  <c r="C7" i="2"/>
  <c r="C14" i="2"/>
  <c r="C17" i="2"/>
  <c r="G50" i="2" l="1"/>
  <c r="J50" i="2" s="1"/>
  <c r="K50" i="2"/>
  <c r="G77" i="2"/>
  <c r="J77" i="2" s="1"/>
  <c r="K77" i="2"/>
  <c r="K80" i="2"/>
  <c r="G80" i="2"/>
  <c r="J80" i="2" s="1"/>
  <c r="K53" i="2"/>
  <c r="K59" i="2"/>
  <c r="G59" i="2"/>
  <c r="J59" i="2" s="1"/>
  <c r="K62" i="2"/>
  <c r="G62" i="2"/>
  <c r="J62" i="2" s="1"/>
  <c r="K71" i="2"/>
  <c r="G71" i="2"/>
  <c r="J71" i="2" s="1"/>
  <c r="K74" i="2"/>
  <c r="G74" i="2"/>
  <c r="J74" i="2" s="1"/>
  <c r="K44" i="2"/>
  <c r="K56" i="2"/>
  <c r="G56" i="2"/>
  <c r="J56" i="2" s="1"/>
  <c r="G65" i="2"/>
  <c r="J65" i="2" s="1"/>
  <c r="K65" i="2"/>
  <c r="K68" i="2"/>
  <c r="G68" i="2"/>
  <c r="J68" i="2" s="1"/>
  <c r="K83" i="2"/>
  <c r="G83" i="2"/>
  <c r="J83" i="2" s="1"/>
  <c r="G44" i="2"/>
  <c r="J44" i="2" s="1"/>
  <c r="K47" i="2"/>
  <c r="G53" i="2"/>
  <c r="J53" i="2" s="1"/>
  <c r="K41" i="2"/>
  <c r="G41" i="2"/>
  <c r="J41" i="2" s="1"/>
  <c r="G38" i="2"/>
  <c r="J38" i="2" s="1"/>
  <c r="K38" i="2"/>
  <c r="F14" i="1" l="1"/>
  <c r="F11" i="1"/>
  <c r="F8" i="1"/>
  <c r="F5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D28" i="1" l="1"/>
  <c r="G40" i="1" l="1"/>
  <c r="H40" i="1" s="1"/>
  <c r="G43" i="1"/>
  <c r="H43" i="1" s="1"/>
  <c r="G37" i="1"/>
  <c r="H37" i="1" s="1"/>
  <c r="G34" i="1"/>
  <c r="G17" i="1"/>
  <c r="G14" i="1"/>
  <c r="G11" i="1"/>
  <c r="G8" i="1"/>
  <c r="G5" i="1"/>
  <c r="H34" i="1" l="1"/>
  <c r="D50" i="1" s="1"/>
  <c r="D52" i="1"/>
</calcChain>
</file>

<file path=xl/sharedStrings.xml><?xml version="1.0" encoding="utf-8"?>
<sst xmlns="http://schemas.openxmlformats.org/spreadsheetml/2006/main" count="245" uniqueCount="123">
  <si>
    <t>Name</t>
  </si>
  <si>
    <t>Standard 1</t>
  </si>
  <si>
    <t>Standard 2</t>
  </si>
  <si>
    <t>Standard 3</t>
  </si>
  <si>
    <t>Standard 4</t>
  </si>
  <si>
    <t>Standard 5</t>
  </si>
  <si>
    <t>Standard 6</t>
  </si>
  <si>
    <t>Average fragment length library</t>
  </si>
  <si>
    <t>Length standard</t>
  </si>
  <si>
    <t>Y-intercept</t>
  </si>
  <si>
    <t>Length ratio</t>
  </si>
  <si>
    <t>DNA (pM)</t>
  </si>
  <si>
    <t>Average Cq</t>
  </si>
  <si>
    <t>-</t>
  </si>
  <si>
    <t>Dilution</t>
  </si>
  <si>
    <t>Library</t>
  </si>
  <si>
    <t>Cq score</t>
  </si>
  <si>
    <t>Conc. (pM)</t>
  </si>
  <si>
    <t>Conc. size-adj (pM)</t>
  </si>
  <si>
    <t>DNA (log pM)</t>
  </si>
  <si>
    <t>NTC1</t>
  </si>
  <si>
    <t>NTC2</t>
  </si>
  <si>
    <t>NTC3</t>
  </si>
  <si>
    <t>Cq*</t>
  </si>
  <si>
    <t>ΔCq**</t>
  </si>
  <si>
    <t>**Should be 3.1-3.6 for a 10-fold template dilution series</t>
  </si>
  <si>
    <t>*Exclude outliers with &gt; 0.2 Cq difference from the mean</t>
  </si>
  <si>
    <t>Reaction efficiency (range 90 - 110%)</t>
  </si>
  <si>
    <t>Slope (range -3.1 and -3.6)</t>
  </si>
  <si>
    <t>Standard 7</t>
  </si>
  <si>
    <t>Standard 8</t>
  </si>
  <si>
    <t>Standard 9</t>
  </si>
  <si>
    <t>Copy number</t>
  </si>
  <si>
    <t>Log copy number</t>
  </si>
  <si>
    <t>Well</t>
  </si>
  <si>
    <t>Average quan.</t>
  </si>
  <si>
    <t>Sd copy number</t>
  </si>
  <si>
    <t>Bf3</t>
  </si>
  <si>
    <t>A4</t>
  </si>
  <si>
    <t>A5</t>
  </si>
  <si>
    <t>A6</t>
  </si>
  <si>
    <t>A7</t>
  </si>
  <si>
    <t>A8</t>
  </si>
  <si>
    <t>A9</t>
  </si>
  <si>
    <t>B4</t>
  </si>
  <si>
    <t>B5</t>
  </si>
  <si>
    <t>B6</t>
  </si>
  <si>
    <t>B7</t>
  </si>
  <si>
    <t>B8</t>
  </si>
  <si>
    <t>B9</t>
  </si>
  <si>
    <t>Bf4</t>
  </si>
  <si>
    <t>Bf5</t>
  </si>
  <si>
    <t>C4</t>
  </si>
  <si>
    <t>C5</t>
  </si>
  <si>
    <t>C6</t>
  </si>
  <si>
    <t>C7</t>
  </si>
  <si>
    <t>C8</t>
  </si>
  <si>
    <t>C9</t>
  </si>
  <si>
    <t>Bf8</t>
  </si>
  <si>
    <t>D4</t>
  </si>
  <si>
    <t>D5</t>
  </si>
  <si>
    <t>D6</t>
  </si>
  <si>
    <t>D7</t>
  </si>
  <si>
    <t>D8</t>
  </si>
  <si>
    <t>D9</t>
  </si>
  <si>
    <t>Bf9</t>
  </si>
  <si>
    <t>E4</t>
  </si>
  <si>
    <t>E5</t>
  </si>
  <si>
    <t>E6</t>
  </si>
  <si>
    <t>E7</t>
  </si>
  <si>
    <t>E8</t>
  </si>
  <si>
    <t>E9</t>
  </si>
  <si>
    <t>Bf13</t>
  </si>
  <si>
    <t>G4</t>
  </si>
  <si>
    <t>G5</t>
  </si>
  <si>
    <t>G6</t>
  </si>
  <si>
    <t>G7</t>
  </si>
  <si>
    <t>G8</t>
  </si>
  <si>
    <t>G9</t>
  </si>
  <si>
    <t>Bf17</t>
  </si>
  <si>
    <t>H4</t>
  </si>
  <si>
    <t>H5</t>
  </si>
  <si>
    <t>H6</t>
  </si>
  <si>
    <t>H7</t>
  </si>
  <si>
    <t>H8</t>
  </si>
  <si>
    <t>H9</t>
  </si>
  <si>
    <t>C2</t>
  </si>
  <si>
    <t>C10</t>
  </si>
  <si>
    <t>C11</t>
  </si>
  <si>
    <t>C12</t>
  </si>
  <si>
    <t>D10</t>
  </si>
  <si>
    <t>D11</t>
  </si>
  <si>
    <t>D12</t>
  </si>
  <si>
    <t>Primer</t>
  </si>
  <si>
    <t>Arc_915F/1095R</t>
  </si>
  <si>
    <t>Bact_908F/1075R</t>
  </si>
  <si>
    <r>
      <t>Conc. [ng µl</t>
    </r>
    <r>
      <rPr>
        <vertAlign val="superscript"/>
        <sz val="12"/>
        <color theme="1"/>
        <rFont val="HelveticaNeue"/>
      </rPr>
      <t>-1</t>
    </r>
    <r>
      <rPr>
        <sz val="12"/>
        <color theme="1"/>
        <rFont val="HelveticaNeue"/>
        <family val="2"/>
      </rPr>
      <t>]</t>
    </r>
  </si>
  <si>
    <t>Fragment length [bp]</t>
  </si>
  <si>
    <t>Avogadro</t>
  </si>
  <si>
    <r>
      <t>Copy number (µl</t>
    </r>
    <r>
      <rPr>
        <vertAlign val="superscript"/>
        <sz val="12"/>
        <color theme="1"/>
        <rFont val="HelveticaNeue"/>
      </rPr>
      <t>-1</t>
    </r>
    <r>
      <rPr>
        <sz val="12"/>
        <color theme="1"/>
        <rFont val="HelveticaNeue"/>
        <family val="2"/>
      </rPr>
      <t>)</t>
    </r>
  </si>
  <si>
    <t>Bact_908F/1075R (Patrik)</t>
  </si>
  <si>
    <t>Copy number standard</t>
  </si>
  <si>
    <t>Lib 1:5000</t>
  </si>
  <si>
    <t>Lib 1:10000</t>
  </si>
  <si>
    <t>Lib 1:1000</t>
  </si>
  <si>
    <r>
      <t>Quantity [µl</t>
    </r>
    <r>
      <rPr>
        <b/>
        <vertAlign val="superscript"/>
        <sz val="12"/>
        <color theme="1"/>
        <rFont val="HelveticaNeue"/>
      </rPr>
      <t>-1</t>
    </r>
    <r>
      <rPr>
        <b/>
        <sz val="12"/>
        <color theme="1"/>
        <rFont val="HelveticaNeue"/>
      </rPr>
      <t>]</t>
    </r>
  </si>
  <si>
    <t>Elution vol. [µl]</t>
  </si>
  <si>
    <t>Sample mass. [g]</t>
  </si>
  <si>
    <r>
      <t>Copy number [g</t>
    </r>
    <r>
      <rPr>
        <b/>
        <vertAlign val="superscript"/>
        <sz val="12"/>
        <color theme="1"/>
        <rFont val="HelveticaNeue"/>
      </rPr>
      <t>-1</t>
    </r>
    <r>
      <rPr>
        <b/>
        <sz val="12"/>
        <color theme="1"/>
        <rFont val="HelveticaNeue"/>
      </rPr>
      <t>]</t>
    </r>
  </si>
  <si>
    <r>
      <t>Quantity adj. [µl</t>
    </r>
    <r>
      <rPr>
        <b/>
        <vertAlign val="superscript"/>
        <sz val="12"/>
        <color theme="1"/>
        <rFont val="HelveticaNeue"/>
      </rPr>
      <t>-1</t>
    </r>
    <r>
      <rPr>
        <b/>
        <sz val="12"/>
        <color theme="1"/>
        <rFont val="HelveticaNeue"/>
      </rPr>
      <t>]</t>
    </r>
  </si>
  <si>
    <t>Arc_Kubo (Kamal)</t>
  </si>
  <si>
    <t>Arc_Kubo (Patrik)</t>
  </si>
  <si>
    <t>Bact_Nadkarni</t>
  </si>
  <si>
    <t>Library 1 1:1000</t>
  </si>
  <si>
    <t>Library 1 1:10000</t>
  </si>
  <si>
    <t>Library 2 1:1000</t>
  </si>
  <si>
    <t>Library 2 1:10000</t>
  </si>
  <si>
    <t>Working concentration lib 1 (nM)</t>
  </si>
  <si>
    <t>Working concentration lib 2 (nM)</t>
  </si>
  <si>
    <t>Conc. undiluted (nM)</t>
  </si>
  <si>
    <t>Working concentration lib 1 [ng µl-1]</t>
  </si>
  <si>
    <t>Working concentration lib 2 [ng µl-1]</t>
  </si>
  <si>
    <t>Molar mass DNA (ng nmol-1)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</si>
</sst>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HelveticaNeue"/>
      <family val="2"/>
    </font>
    <font>
      <sz val="8"/>
      <name val="HelveticaNeue"/>
      <family val="2"/>
    </font>
    <font>
      <sz val="12"/>
      <color theme="1"/>
      <name val="Helvetica Neue"/>
      <family val="2"/>
    </font>
    <font>
      <vertAlign val="superscript"/>
      <sz val="12"/>
      <color theme="1"/>
      <name val="HelveticaNeue"/>
    </font>
    <font>
      <b/>
      <sz val="12"/>
      <color theme="1"/>
      <name val="HelveticaNeue"/>
    </font>
    <font>
      <b/>
      <vertAlign val="superscript"/>
      <sz val="12"/>
      <color theme="1"/>
      <name val="HelveticaNeu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11" fontId="0" fillId="0" borderId="0" xfId="0" applyNumberFormat="1"/>
    <xf numFmtId="0" fontId="2" fillId="0" borderId="0" xfId="0" applyFont="1"/>
    <xf numFmtId="11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r>
              <a:rPr lang="en-US" sz="1000" b="1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rPr>
              <a:t>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/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endParaRPr lang="en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Concentration!$D$1</c:f>
              <c:strCache>
                <c:ptCount val="1"/>
                <c:pt idx="0">
                  <c:v>Cq*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4249597407601337E-2"/>
                  <c:y val="-0.460221928594542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Helvetica Neue" panose="02000503000000020004" pitchFamily="2" charset="0"/>
                      <a:ea typeface="Helvetica Neue" panose="02000503000000020004" pitchFamily="2" charset="0"/>
                      <a:cs typeface="Helvetica Neue" panose="02000503000000020004" pitchFamily="2" charset="0"/>
                    </a:defRPr>
                  </a:pPr>
                  <a:endParaRPr lang="en-SE"/>
                </a:p>
              </c:txPr>
            </c:trendlineLbl>
          </c:trendline>
          <c:xVal>
            <c:numRef>
              <c:f>Concentration!$C$2:$C$19</c:f>
              <c:numCache>
                <c:formatCode>General</c:formatCode>
                <c:ptCount val="18"/>
                <c:pt idx="0">
                  <c:v>1.3010299956639813</c:v>
                </c:pt>
                <c:pt idx="1">
                  <c:v>1.3010299956639813</c:v>
                </c:pt>
                <c:pt idx="2">
                  <c:v>1.3010299956639813</c:v>
                </c:pt>
                <c:pt idx="3">
                  <c:v>0.3010299956639812</c:v>
                </c:pt>
                <c:pt idx="4">
                  <c:v>0.3010299956639812</c:v>
                </c:pt>
                <c:pt idx="5">
                  <c:v>0.3010299956639812</c:v>
                </c:pt>
                <c:pt idx="6">
                  <c:v>-0.69897000433601875</c:v>
                </c:pt>
                <c:pt idx="7">
                  <c:v>-0.69897000433601875</c:v>
                </c:pt>
                <c:pt idx="8">
                  <c:v>-0.69897000433601875</c:v>
                </c:pt>
                <c:pt idx="9">
                  <c:v>-1.6989700043360187</c:v>
                </c:pt>
                <c:pt idx="10">
                  <c:v>-1.6989700043360187</c:v>
                </c:pt>
                <c:pt idx="11">
                  <c:v>-1.6989700043360187</c:v>
                </c:pt>
                <c:pt idx="12">
                  <c:v>-2.6989700043360187</c:v>
                </c:pt>
                <c:pt idx="13">
                  <c:v>-2.6989700043360187</c:v>
                </c:pt>
                <c:pt idx="14">
                  <c:v>-2.6989700043360187</c:v>
                </c:pt>
                <c:pt idx="15">
                  <c:v>-3.6989700043360187</c:v>
                </c:pt>
                <c:pt idx="16">
                  <c:v>-3.6989700043360187</c:v>
                </c:pt>
                <c:pt idx="17">
                  <c:v>-3.6989700043360187</c:v>
                </c:pt>
              </c:numCache>
            </c:numRef>
          </c:xVal>
          <c:yVal>
            <c:numRef>
              <c:f>Concentration!$D$2:$D$19</c:f>
              <c:numCache>
                <c:formatCode>General</c:formatCode>
                <c:ptCount val="18"/>
                <c:pt idx="0">
                  <c:v>7.79</c:v>
                </c:pt>
                <c:pt idx="1">
                  <c:v>8.84</c:v>
                </c:pt>
                <c:pt idx="2">
                  <c:v>8.5</c:v>
                </c:pt>
                <c:pt idx="3">
                  <c:v>12</c:v>
                </c:pt>
                <c:pt idx="4">
                  <c:v>12.12</c:v>
                </c:pt>
                <c:pt idx="5">
                  <c:v>11.66</c:v>
                </c:pt>
                <c:pt idx="6">
                  <c:v>15.13</c:v>
                </c:pt>
                <c:pt idx="7">
                  <c:v>15.49</c:v>
                </c:pt>
                <c:pt idx="8">
                  <c:v>15.61</c:v>
                </c:pt>
                <c:pt idx="9">
                  <c:v>18.149999999999999</c:v>
                </c:pt>
                <c:pt idx="13">
                  <c:v>21.7</c:v>
                </c:pt>
                <c:pt idx="14">
                  <c:v>22.06</c:v>
                </c:pt>
                <c:pt idx="15">
                  <c:v>25.65</c:v>
                </c:pt>
                <c:pt idx="16">
                  <c:v>25.68</c:v>
                </c:pt>
                <c:pt idx="17">
                  <c:v>25.97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85-0A44-91A2-5CD80D9F8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075055"/>
        <c:axId val="992077487"/>
      </c:scatterChart>
      <c:valAx>
        <c:axId val="992075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en-GB" b="1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Log concentration (pM)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SE"/>
          </a:p>
        </c:txPr>
        <c:crossAx val="992077487"/>
        <c:crossesAt val="0"/>
        <c:crossBetween val="midCat"/>
      </c:valAx>
      <c:valAx>
        <c:axId val="99207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en-GB" b="1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Cq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SE"/>
          </a:p>
        </c:txPr>
        <c:crossAx val="99207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r>
              <a:rPr lang="en-US" sz="1000" b="1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rPr>
              <a:t>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/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endParaRPr lang="en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'Copy number'!$D$1</c:f>
              <c:strCache>
                <c:ptCount val="1"/>
                <c:pt idx="0">
                  <c:v>Cq*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4249597407601337E-2"/>
                  <c:y val="-0.460221928594542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Helvetica Neue" panose="02000503000000020004" pitchFamily="2" charset="0"/>
                      <a:ea typeface="Helvetica Neue" panose="02000503000000020004" pitchFamily="2" charset="0"/>
                      <a:cs typeface="Helvetica Neue" panose="02000503000000020004" pitchFamily="2" charset="0"/>
                    </a:defRPr>
                  </a:pPr>
                  <a:endParaRPr lang="en-SE"/>
                </a:p>
              </c:txPr>
            </c:trendlineLbl>
          </c:trendline>
          <c:xVal>
            <c:numRef>
              <c:f>'Copy number'!$C$2:$C$19</c:f>
              <c:numCache>
                <c:formatCode>General</c:formatCode>
                <c:ptCount val="18"/>
                <c:pt idx="0">
                  <c:v>8.1715271656016704</c:v>
                </c:pt>
                <c:pt idx="1">
                  <c:v>8.1715271656016704</c:v>
                </c:pt>
                <c:pt idx="2">
                  <c:v>8.1715271656016704</c:v>
                </c:pt>
                <c:pt idx="3">
                  <c:v>7.1715271656016695</c:v>
                </c:pt>
                <c:pt idx="4">
                  <c:v>7.1715271656016695</c:v>
                </c:pt>
                <c:pt idx="5">
                  <c:v>7.1715271656016695</c:v>
                </c:pt>
                <c:pt idx="6">
                  <c:v>6.1715271656016695</c:v>
                </c:pt>
                <c:pt idx="7">
                  <c:v>6.1715271656016695</c:v>
                </c:pt>
                <c:pt idx="8">
                  <c:v>6.1715271656016695</c:v>
                </c:pt>
                <c:pt idx="9">
                  <c:v>5.1715271656016695</c:v>
                </c:pt>
                <c:pt idx="10">
                  <c:v>5.1715271656016695</c:v>
                </c:pt>
                <c:pt idx="11">
                  <c:v>5.1715271656016695</c:v>
                </c:pt>
                <c:pt idx="12">
                  <c:v>4.1715271656016695</c:v>
                </c:pt>
                <c:pt idx="13">
                  <c:v>4.1715271656016695</c:v>
                </c:pt>
                <c:pt idx="14">
                  <c:v>4.1715271656016695</c:v>
                </c:pt>
                <c:pt idx="15">
                  <c:v>3.1715271656016695</c:v>
                </c:pt>
                <c:pt idx="16">
                  <c:v>3.1715271656016695</c:v>
                </c:pt>
                <c:pt idx="17">
                  <c:v>3.1715271656016695</c:v>
                </c:pt>
              </c:numCache>
            </c:numRef>
          </c:xVal>
          <c:yVal>
            <c:numRef>
              <c:f>'Copy number'!$D$2:$D$19</c:f>
              <c:numCache>
                <c:formatCode>General</c:formatCode>
                <c:ptCount val="1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9.31</c:v>
                </c:pt>
                <c:pt idx="4">
                  <c:v>9.35</c:v>
                </c:pt>
                <c:pt idx="5">
                  <c:v>9.36</c:v>
                </c:pt>
                <c:pt idx="6">
                  <c:v>12.84</c:v>
                </c:pt>
                <c:pt idx="7">
                  <c:v>12.85</c:v>
                </c:pt>
                <c:pt idx="8">
                  <c:v>12.88</c:v>
                </c:pt>
                <c:pt idx="9">
                  <c:v>16.32</c:v>
                </c:pt>
                <c:pt idx="10">
                  <c:v>16.43</c:v>
                </c:pt>
                <c:pt idx="11">
                  <c:v>16.420000000000002</c:v>
                </c:pt>
                <c:pt idx="12">
                  <c:v>19.84</c:v>
                </c:pt>
                <c:pt idx="13">
                  <c:v>19.86</c:v>
                </c:pt>
                <c:pt idx="14">
                  <c:v>19.88</c:v>
                </c:pt>
                <c:pt idx="15">
                  <c:v>22.87</c:v>
                </c:pt>
                <c:pt idx="16">
                  <c:v>23.27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DD-7340-88D5-357D5C761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075055"/>
        <c:axId val="992077487"/>
      </c:scatterChart>
      <c:valAx>
        <c:axId val="992075055"/>
        <c:scaling>
          <c:orientation val="minMax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en-GB" b="1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Log copy number (µl-1)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SE"/>
          </a:p>
        </c:txPr>
        <c:crossAx val="992077487"/>
        <c:crossesAt val="0"/>
        <c:crossBetween val="midCat"/>
      </c:valAx>
      <c:valAx>
        <c:axId val="99207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en-GB" b="1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Cq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SE"/>
          </a:p>
        </c:txPr>
        <c:crossAx val="99207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34788</xdr:colOff>
      <xdr:row>0</xdr:row>
      <xdr:rowOff>29265</xdr:rowOff>
    </xdr:from>
    <xdr:to>
      <xdr:col>13</xdr:col>
      <xdr:colOff>327716</xdr:colOff>
      <xdr:row>18</xdr:row>
      <xdr:rowOff>80065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0D29D3-5D72-F0F4-8245-7E98249EC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635000</xdr:colOff>
      <xdr:row>1</xdr:row>
      <xdr:rowOff>50800</xdr:rowOff>
    </xdr:from>
    <xdr:to>
      <xdr:col>10</xdr:col>
      <xdr:colOff>647700</xdr:colOff>
      <xdr:row>21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65B865-34FF-5442-AF80-6424D981E6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1677E-53A7-424B-B98D-D9DA9A594827}">
  <dimension ref="A1:H53"/>
  <sheetViews>
    <sheetView tabSelected="1" topLeftCell="A31" zoomScale="109" workbookViewId="0">
      <selection activeCell="G48" sqref="G48"/>
    </sheetView>
  </sheetViews>
  <sheetFormatPr baseColWidth="10" defaultRowHeight="16"/>
  <cols>
    <col min="1" max="1" width="25.140625" bestFit="1" customWidth="1"/>
    <col min="2" max="3" width="13.28515625" customWidth="1"/>
    <col min="6" max="6" width="12" bestFit="1" customWidth="1"/>
    <col min="7" max="7" width="16.140625" bestFit="1" customWidth="1"/>
    <col min="8" max="8" width="17.140625" bestFit="1" customWidth="1"/>
  </cols>
  <sheetData>
    <row r="1" spans="1:7">
      <c r="A1" s="1" t="s">
        <v>0</v>
      </c>
      <c r="B1" s="1" t="s">
        <v>11</v>
      </c>
      <c r="C1" s="1" t="s">
        <v>19</v>
      </c>
      <c r="D1" s="1" t="s">
        <v>23</v>
      </c>
      <c r="E1" s="1"/>
      <c r="F1" s="1" t="s">
        <v>12</v>
      </c>
      <c r="G1" s="3" t="s">
        <v>24</v>
      </c>
    </row>
    <row r="2" spans="1:7">
      <c r="A2" s="1" t="s">
        <v>1</v>
      </c>
      <c r="B2" s="1">
        <v>20</v>
      </c>
      <c r="C2" s="1">
        <f>LOG(B2)</f>
        <v>1.3010299956639813</v>
      </c>
      <c r="D2" s="1">
        <v>7.79</v>
      </c>
      <c r="E2" s="1"/>
      <c r="F2">
        <f>AVERAGE(D2:D4)</f>
        <v>8.3766666666666669</v>
      </c>
      <c r="G2" t="s">
        <v>13</v>
      </c>
    </row>
    <row r="3" spans="1:7">
      <c r="A3" s="1" t="s">
        <v>1</v>
      </c>
      <c r="B3" s="1">
        <v>20</v>
      </c>
      <c r="C3" s="1">
        <f t="shared" ref="C3:C19" si="0">LOG(B3)</f>
        <v>1.3010299956639813</v>
      </c>
      <c r="D3" s="1">
        <v>8.84</v>
      </c>
      <c r="E3" s="1"/>
    </row>
    <row r="4" spans="1:7">
      <c r="A4" s="1" t="s">
        <v>1</v>
      </c>
      <c r="B4" s="1">
        <v>20</v>
      </c>
      <c r="C4" s="1">
        <f t="shared" si="0"/>
        <v>1.3010299956639813</v>
      </c>
      <c r="D4" s="1">
        <v>8.5</v>
      </c>
      <c r="E4" s="1"/>
    </row>
    <row r="5" spans="1:7">
      <c r="A5" s="1" t="s">
        <v>2</v>
      </c>
      <c r="B5" s="1">
        <v>2</v>
      </c>
      <c r="C5" s="1">
        <f t="shared" si="0"/>
        <v>0.3010299956639812</v>
      </c>
      <c r="D5" s="1">
        <v>12</v>
      </c>
      <c r="E5" s="1"/>
      <c r="F5">
        <f>AVERAGE(D5:D7)</f>
        <v>11.926666666666668</v>
      </c>
      <c r="G5">
        <f>F5-F2</f>
        <v>3.5500000000000007</v>
      </c>
    </row>
    <row r="6" spans="1:7">
      <c r="A6" s="1" t="s">
        <v>2</v>
      </c>
      <c r="B6" s="1">
        <v>2</v>
      </c>
      <c r="C6" s="1">
        <f t="shared" si="0"/>
        <v>0.3010299956639812</v>
      </c>
      <c r="D6" s="1">
        <v>12.12</v>
      </c>
      <c r="E6" s="1"/>
    </row>
    <row r="7" spans="1:7">
      <c r="A7" s="1" t="s">
        <v>2</v>
      </c>
      <c r="B7" s="1">
        <v>2</v>
      </c>
      <c r="C7" s="1">
        <f t="shared" si="0"/>
        <v>0.3010299956639812</v>
      </c>
      <c r="D7" s="1">
        <v>11.66</v>
      </c>
      <c r="E7" s="1"/>
    </row>
    <row r="8" spans="1:7">
      <c r="A8" s="1" t="s">
        <v>3</v>
      </c>
      <c r="B8" s="1">
        <v>0.2</v>
      </c>
      <c r="C8" s="1">
        <f t="shared" si="0"/>
        <v>-0.69897000433601875</v>
      </c>
      <c r="D8" s="1">
        <v>15.13</v>
      </c>
      <c r="E8" s="1"/>
      <c r="F8">
        <f>AVERAGE(D8:D10)</f>
        <v>15.410000000000002</v>
      </c>
      <c r="G8">
        <f>F8-F5</f>
        <v>3.4833333333333343</v>
      </c>
    </row>
    <row r="9" spans="1:7">
      <c r="A9" s="1" t="s">
        <v>3</v>
      </c>
      <c r="B9" s="1">
        <v>0.2</v>
      </c>
      <c r="C9" s="1">
        <f t="shared" si="0"/>
        <v>-0.69897000433601875</v>
      </c>
      <c r="D9" s="1">
        <v>15.49</v>
      </c>
      <c r="E9" s="1"/>
    </row>
    <row r="10" spans="1:7">
      <c r="A10" s="1" t="s">
        <v>3</v>
      </c>
      <c r="B10" s="1">
        <v>0.2</v>
      </c>
      <c r="C10" s="1">
        <f t="shared" si="0"/>
        <v>-0.69897000433601875</v>
      </c>
      <c r="D10" s="1">
        <v>15.61</v>
      </c>
      <c r="E10" s="1"/>
    </row>
    <row r="11" spans="1:7">
      <c r="A11" s="1" t="s">
        <v>4</v>
      </c>
      <c r="B11" s="1">
        <v>0.02</v>
      </c>
      <c r="C11" s="1">
        <f t="shared" si="0"/>
        <v>-1.6989700043360187</v>
      </c>
      <c r="D11" s="1">
        <v>18.149999999999999</v>
      </c>
      <c r="E11" s="1"/>
      <c r="F11">
        <f>AVERAGE(D11:D13)</f>
        <v>18.149999999999999</v>
      </c>
      <c r="G11">
        <f>F11-F8</f>
        <v>2.7399999999999967</v>
      </c>
    </row>
    <row r="12" spans="1:7">
      <c r="A12" s="1" t="s">
        <v>4</v>
      </c>
      <c r="B12" s="1">
        <v>0.02</v>
      </c>
      <c r="C12" s="1">
        <f t="shared" si="0"/>
        <v>-1.6989700043360187</v>
      </c>
      <c r="D12" s="1"/>
      <c r="E12" s="1"/>
    </row>
    <row r="13" spans="1:7">
      <c r="A13" s="1" t="s">
        <v>4</v>
      </c>
      <c r="B13" s="1">
        <v>0.02</v>
      </c>
      <c r="C13" s="1">
        <f t="shared" si="0"/>
        <v>-1.6989700043360187</v>
      </c>
      <c r="D13" s="1"/>
      <c r="E13" s="1"/>
    </row>
    <row r="14" spans="1:7">
      <c r="A14" s="1" t="s">
        <v>5</v>
      </c>
      <c r="B14" s="1">
        <v>2E-3</v>
      </c>
      <c r="C14" s="1">
        <f t="shared" si="0"/>
        <v>-2.6989700043360187</v>
      </c>
      <c r="D14" s="1"/>
      <c r="E14" s="1"/>
      <c r="F14">
        <f>AVERAGE(D14:D16)</f>
        <v>21.88</v>
      </c>
      <c r="G14">
        <f>F14-F11</f>
        <v>3.7300000000000004</v>
      </c>
    </row>
    <row r="15" spans="1:7">
      <c r="A15" s="1" t="s">
        <v>5</v>
      </c>
      <c r="B15" s="1">
        <v>2E-3</v>
      </c>
      <c r="C15" s="1">
        <f t="shared" si="0"/>
        <v>-2.6989700043360187</v>
      </c>
      <c r="D15" s="1">
        <v>21.7</v>
      </c>
      <c r="E15" s="1"/>
    </row>
    <row r="16" spans="1:7">
      <c r="A16" s="1" t="s">
        <v>5</v>
      </c>
      <c r="B16" s="1">
        <v>2E-3</v>
      </c>
      <c r="C16" s="1">
        <f t="shared" si="0"/>
        <v>-2.6989700043360187</v>
      </c>
      <c r="D16" s="1">
        <v>22.06</v>
      </c>
      <c r="E16" s="1"/>
    </row>
    <row r="17" spans="1:7">
      <c r="A17" s="1" t="s">
        <v>6</v>
      </c>
      <c r="B17" s="1">
        <v>2.0000000000000001E-4</v>
      </c>
      <c r="C17" s="1">
        <f t="shared" si="0"/>
        <v>-3.6989700043360187</v>
      </c>
      <c r="D17" s="1">
        <v>25.65</v>
      </c>
      <c r="E17" s="1"/>
      <c r="F17">
        <f>AVERAGE(D17:D19)</f>
        <v>25.766666666666666</v>
      </c>
      <c r="G17">
        <f>F17-F14</f>
        <v>3.8866666666666667</v>
      </c>
    </row>
    <row r="18" spans="1:7">
      <c r="A18" s="1" t="s">
        <v>6</v>
      </c>
      <c r="B18" s="1">
        <v>2.0000000000000001E-4</v>
      </c>
      <c r="C18" s="1">
        <f t="shared" si="0"/>
        <v>-3.6989700043360187</v>
      </c>
      <c r="D18" s="1">
        <v>25.68</v>
      </c>
      <c r="E18" s="1"/>
    </row>
    <row r="19" spans="1:7">
      <c r="A19" s="1" t="s">
        <v>6</v>
      </c>
      <c r="B19" s="1">
        <v>2.0000000000000001E-4</v>
      </c>
      <c r="C19" s="1">
        <f t="shared" si="0"/>
        <v>-3.6989700043360187</v>
      </c>
      <c r="D19" s="1">
        <v>25.97</v>
      </c>
      <c r="E19" s="1"/>
    </row>
    <row r="20" spans="1:7">
      <c r="A20" s="1" t="s">
        <v>20</v>
      </c>
      <c r="B20" s="1"/>
      <c r="C20" s="1"/>
      <c r="D20" s="1">
        <v>35</v>
      </c>
      <c r="E20" s="1"/>
    </row>
    <row r="21" spans="1:7">
      <c r="A21" s="1" t="s">
        <v>21</v>
      </c>
      <c r="B21" s="1"/>
      <c r="C21" s="1"/>
      <c r="D21" s="1"/>
      <c r="E21" s="1"/>
    </row>
    <row r="22" spans="1:7">
      <c r="A22" s="1" t="s">
        <v>22</v>
      </c>
      <c r="B22" s="1"/>
      <c r="C22" s="1"/>
      <c r="D22" s="1"/>
      <c r="E22" s="1"/>
    </row>
    <row r="23" spans="1:7">
      <c r="A23" s="1" t="s">
        <v>26</v>
      </c>
      <c r="B23" s="1"/>
      <c r="C23" s="1"/>
      <c r="D23" s="1"/>
      <c r="E23" s="1"/>
    </row>
    <row r="24" spans="1:7">
      <c r="A24" s="1" t="s">
        <v>25</v>
      </c>
    </row>
    <row r="26" spans="1:7">
      <c r="A26" s="1" t="s">
        <v>7</v>
      </c>
      <c r="B26" s="1"/>
      <c r="C26" s="1"/>
      <c r="D26" s="1">
        <v>600</v>
      </c>
      <c r="E26" s="1"/>
    </row>
    <row r="27" spans="1:7">
      <c r="A27" s="1" t="s">
        <v>8</v>
      </c>
      <c r="B27" s="1"/>
      <c r="C27" s="1"/>
      <c r="D27" s="1">
        <v>452</v>
      </c>
      <c r="E27" s="1"/>
    </row>
    <row r="28" spans="1:7">
      <c r="A28" s="1" t="s">
        <v>10</v>
      </c>
      <c r="B28" s="1"/>
      <c r="C28" s="1"/>
      <c r="D28" s="1">
        <f>D27/D26</f>
        <v>0.7533333333333333</v>
      </c>
      <c r="E28" s="1"/>
    </row>
    <row r="29" spans="1:7">
      <c r="A29" s="1" t="s">
        <v>28</v>
      </c>
      <c r="B29" s="1"/>
      <c r="C29" s="1"/>
      <c r="D29" s="1">
        <v>-3.4340999999999999</v>
      </c>
      <c r="E29" s="1"/>
    </row>
    <row r="30" spans="1:7">
      <c r="A30" s="1" t="s">
        <v>9</v>
      </c>
      <c r="B30" s="1"/>
      <c r="C30" s="1"/>
      <c r="D30" s="1">
        <v>12.878</v>
      </c>
      <c r="E30" s="1"/>
    </row>
    <row r="31" spans="1:7">
      <c r="A31" s="1" t="s">
        <v>27</v>
      </c>
      <c r="B31" s="1"/>
      <c r="C31" s="1"/>
      <c r="D31" s="1">
        <f>(10^(-1/D29)-1)*100</f>
        <v>95.522666454235747</v>
      </c>
      <c r="E31" s="1"/>
    </row>
    <row r="32" spans="1:7">
      <c r="A32" s="1"/>
      <c r="B32" s="1"/>
      <c r="C32" s="1"/>
      <c r="D32" s="1"/>
      <c r="E32" s="1"/>
    </row>
    <row r="33" spans="1:8">
      <c r="A33" s="1" t="s">
        <v>15</v>
      </c>
      <c r="B33" s="1" t="s">
        <v>14</v>
      </c>
      <c r="C33" s="1"/>
      <c r="D33" s="1" t="s">
        <v>16</v>
      </c>
      <c r="E33" s="1" t="s">
        <v>12</v>
      </c>
      <c r="F33" s="1" t="s">
        <v>17</v>
      </c>
      <c r="G33" s="1" t="s">
        <v>18</v>
      </c>
      <c r="H33" s="1" t="s">
        <v>119</v>
      </c>
    </row>
    <row r="34" spans="1:8">
      <c r="A34" s="1" t="s">
        <v>113</v>
      </c>
      <c r="B34" s="1">
        <v>1000</v>
      </c>
      <c r="C34" s="1"/>
      <c r="D34" s="1">
        <v>6</v>
      </c>
      <c r="E34" s="1">
        <f>AVERAGE(D34:D36)</f>
        <v>6</v>
      </c>
      <c r="F34" s="2">
        <f>10^((E34-D$30)/D$29)</f>
        <v>100.65925961731259</v>
      </c>
      <c r="G34" s="2">
        <f>F34*D28</f>
        <v>75.829975578375482</v>
      </c>
      <c r="H34" s="2">
        <f>(G34*B34)/1000</f>
        <v>75.829975578375482</v>
      </c>
    </row>
    <row r="35" spans="1:8">
      <c r="A35" s="1" t="s">
        <v>113</v>
      </c>
      <c r="B35" s="1">
        <v>1000</v>
      </c>
      <c r="C35" s="1"/>
      <c r="D35" s="1">
        <v>6</v>
      </c>
      <c r="E35" s="1"/>
      <c r="F35" s="2"/>
      <c r="G35" s="2"/>
      <c r="H35" s="2"/>
    </row>
    <row r="36" spans="1:8">
      <c r="A36" s="1" t="s">
        <v>113</v>
      </c>
      <c r="B36" s="1">
        <v>1000</v>
      </c>
      <c r="C36" s="1"/>
      <c r="D36" s="1">
        <v>6</v>
      </c>
      <c r="E36" s="1"/>
      <c r="F36" s="2"/>
      <c r="G36" s="2"/>
      <c r="H36" s="2"/>
    </row>
    <row r="37" spans="1:8">
      <c r="A37" s="1" t="s">
        <v>114</v>
      </c>
      <c r="B37" s="1">
        <v>10000</v>
      </c>
      <c r="C37" s="1"/>
      <c r="D37" s="1">
        <v>9.52</v>
      </c>
      <c r="E37" s="1">
        <f>AVERAGE(D37:D39)</f>
        <v>9.5</v>
      </c>
      <c r="F37" s="2">
        <f>10^((E37-D$30)/D$29)</f>
        <v>9.6308327750630429</v>
      </c>
      <c r="G37" s="2">
        <f>F37*D28</f>
        <v>7.2552273572141583</v>
      </c>
      <c r="H37" s="2">
        <f>(G37*B37/1000)</f>
        <v>72.552273572141587</v>
      </c>
    </row>
    <row r="38" spans="1:8">
      <c r="A38" s="1" t="s">
        <v>114</v>
      </c>
      <c r="B38" s="1">
        <v>10000</v>
      </c>
      <c r="C38" s="1"/>
      <c r="D38" s="1">
        <v>9.4499999999999993</v>
      </c>
      <c r="E38" s="1"/>
      <c r="F38" s="2"/>
      <c r="G38" s="2"/>
      <c r="H38" s="2"/>
    </row>
    <row r="39" spans="1:8">
      <c r="A39" s="1" t="s">
        <v>114</v>
      </c>
      <c r="B39" s="1">
        <v>10000</v>
      </c>
      <c r="D39" s="1">
        <v>9.5299999999999994</v>
      </c>
      <c r="E39" s="1"/>
      <c r="F39" s="2"/>
      <c r="G39" s="2"/>
      <c r="H39" s="2"/>
    </row>
    <row r="40" spans="1:8">
      <c r="A40" s="1" t="s">
        <v>115</v>
      </c>
      <c r="B40" s="1">
        <v>1000</v>
      </c>
      <c r="D40" s="1">
        <v>7.81</v>
      </c>
      <c r="E40" s="1">
        <f>AVERAGE(D40:D42)</f>
        <v>7.7733333333333334</v>
      </c>
      <c r="F40" s="2">
        <f>10^((E40-D$30)/D$29)</f>
        <v>30.652379061800463</v>
      </c>
      <c r="G40" s="2">
        <f t="shared" ref="G40:G43" si="1">F40*$D$28</f>
        <v>23.091458893223013</v>
      </c>
      <c r="H40" s="2">
        <f>(G40*B40)/1000</f>
        <v>23.091458893223013</v>
      </c>
    </row>
    <row r="41" spans="1:8">
      <c r="A41" s="1" t="s">
        <v>115</v>
      </c>
      <c r="B41" s="1">
        <v>1000</v>
      </c>
      <c r="D41" s="1">
        <v>7.73</v>
      </c>
      <c r="E41" s="1"/>
      <c r="F41" s="2"/>
      <c r="G41" s="2"/>
      <c r="H41" s="2"/>
    </row>
    <row r="42" spans="1:8">
      <c r="A42" s="1" t="s">
        <v>115</v>
      </c>
      <c r="B42" s="1">
        <v>1000</v>
      </c>
      <c r="D42" s="1">
        <v>7.78</v>
      </c>
      <c r="E42" s="1"/>
      <c r="F42" s="2"/>
      <c r="G42" s="2"/>
      <c r="H42" s="2"/>
    </row>
    <row r="43" spans="1:8">
      <c r="A43" s="1" t="s">
        <v>116</v>
      </c>
      <c r="B43" s="1">
        <v>10000</v>
      </c>
      <c r="D43" s="1">
        <v>11.26</v>
      </c>
      <c r="E43" s="1">
        <f>AVERAGE(D43:D45)</f>
        <v>11.216666666666667</v>
      </c>
      <c r="F43" s="2">
        <f>10^((E43-D$30)/D$29)</f>
        <v>3.0463196201799421</v>
      </c>
      <c r="G43" s="2">
        <f t="shared" si="1"/>
        <v>2.2948941138688896</v>
      </c>
      <c r="H43" s="2">
        <f>(G43*B43)/1000</f>
        <v>22.948941138688898</v>
      </c>
    </row>
    <row r="44" spans="1:8">
      <c r="A44" s="1" t="s">
        <v>116</v>
      </c>
      <c r="B44" s="1">
        <v>10000</v>
      </c>
      <c r="D44" s="1">
        <v>11.2</v>
      </c>
      <c r="E44" s="1"/>
      <c r="F44" s="2"/>
      <c r="G44" s="2"/>
      <c r="H44" s="2"/>
    </row>
    <row r="45" spans="1:8">
      <c r="A45" s="1" t="s">
        <v>116</v>
      </c>
      <c r="B45" s="1">
        <v>10000</v>
      </c>
      <c r="D45" s="1">
        <v>11.19</v>
      </c>
      <c r="E45" s="1"/>
      <c r="F45" s="2"/>
      <c r="G45" s="2"/>
      <c r="H45" s="2"/>
    </row>
    <row r="48" spans="1:8">
      <c r="A48" s="1" t="s">
        <v>122</v>
      </c>
      <c r="B48" s="2">
        <f>660*D26</f>
        <v>396000</v>
      </c>
    </row>
    <row r="50" spans="1:5">
      <c r="A50" s="1" t="s">
        <v>117</v>
      </c>
      <c r="B50" s="1"/>
      <c r="C50" s="1"/>
      <c r="D50" s="2">
        <f>AVERAGE(H34,H37)</f>
        <v>74.191124575258527</v>
      </c>
      <c r="E50" s="2"/>
    </row>
    <row r="51" spans="1:5">
      <c r="A51" s="1" t="s">
        <v>120</v>
      </c>
      <c r="B51" s="1"/>
      <c r="C51" s="1"/>
      <c r="D51" s="2">
        <f>(D50*B48)/1000000</f>
        <v>29.379685331802374</v>
      </c>
      <c r="E51" s="2"/>
    </row>
    <row r="52" spans="1:5">
      <c r="A52" s="1" t="s">
        <v>118</v>
      </c>
      <c r="D52" s="2">
        <f>AVERAGE(H40,H43)</f>
        <v>23.020200015955957</v>
      </c>
    </row>
    <row r="53" spans="1:5">
      <c r="A53" s="1" t="s">
        <v>121</v>
      </c>
      <c r="D53" s="2">
        <f>(D52*B48)/1000000</f>
        <v>9.1159992063185591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97535-BFA0-5E49-ACA2-6AFED2530CCB}">
  <dimension ref="A1:M86"/>
  <sheetViews>
    <sheetView topLeftCell="A31" workbookViewId="0">
      <selection activeCell="D37" sqref="D37"/>
    </sheetView>
  </sheetViews>
  <sheetFormatPr baseColWidth="10" defaultRowHeight="16"/>
  <cols>
    <col min="2" max="2" width="11.42578125" bestFit="1" customWidth="1"/>
    <col min="3" max="3" width="14.42578125" bestFit="1" customWidth="1"/>
    <col min="4" max="4" width="12" bestFit="1" customWidth="1"/>
    <col min="6" max="6" width="16.28515625" bestFit="1" customWidth="1"/>
    <col min="7" max="7" width="11.85546875" bestFit="1" customWidth="1"/>
    <col min="8" max="8" width="12.7109375" bestFit="1" customWidth="1"/>
    <col min="9" max="9" width="14.85546875" bestFit="1" customWidth="1"/>
    <col min="10" max="10" width="15.5703125" bestFit="1" customWidth="1"/>
    <col min="11" max="11" width="13.5703125" bestFit="1" customWidth="1"/>
  </cols>
  <sheetData>
    <row r="1" spans="1:6">
      <c r="A1" s="1" t="s">
        <v>0</v>
      </c>
      <c r="B1" s="1" t="s">
        <v>32</v>
      </c>
      <c r="C1" s="1" t="s">
        <v>33</v>
      </c>
      <c r="D1" s="1" t="s">
        <v>23</v>
      </c>
      <c r="E1" s="1" t="s">
        <v>12</v>
      </c>
      <c r="F1" s="1" t="s">
        <v>24</v>
      </c>
    </row>
    <row r="2" spans="1:6">
      <c r="A2" s="1" t="s">
        <v>3</v>
      </c>
      <c r="B2" s="4">
        <f>$D$35/1000</f>
        <v>148431872.29437226</v>
      </c>
      <c r="C2" s="1">
        <f>LOG(B2)</f>
        <v>8.1715271656016704</v>
      </c>
      <c r="D2" s="1">
        <v>6</v>
      </c>
      <c r="E2" s="1">
        <f>AVERAGE(D2:D4)</f>
        <v>6</v>
      </c>
      <c r="F2" s="1" t="s">
        <v>13</v>
      </c>
    </row>
    <row r="3" spans="1:6">
      <c r="A3" s="1" t="s">
        <v>3</v>
      </c>
      <c r="B3" s="4">
        <f t="shared" ref="B3:B4" si="0">$D$35/1000</f>
        <v>148431872.29437226</v>
      </c>
      <c r="C3" s="1">
        <f t="shared" ref="C3:C22" si="1">LOG(B3)</f>
        <v>8.1715271656016704</v>
      </c>
      <c r="D3" s="1">
        <v>6</v>
      </c>
      <c r="E3" s="1"/>
      <c r="F3" s="1"/>
    </row>
    <row r="4" spans="1:6">
      <c r="A4" s="1" t="s">
        <v>3</v>
      </c>
      <c r="B4" s="4">
        <f t="shared" si="0"/>
        <v>148431872.29437226</v>
      </c>
      <c r="C4" s="1">
        <f t="shared" si="1"/>
        <v>8.1715271656016704</v>
      </c>
      <c r="D4" s="1">
        <v>6</v>
      </c>
      <c r="E4" s="1"/>
      <c r="F4" s="1"/>
    </row>
    <row r="5" spans="1:6">
      <c r="A5" s="1" t="s">
        <v>4</v>
      </c>
      <c r="B5" s="4">
        <f>$D$35/10000</f>
        <v>14843187.229437225</v>
      </c>
      <c r="C5" s="1">
        <f t="shared" si="1"/>
        <v>7.1715271656016695</v>
      </c>
      <c r="D5" s="1">
        <v>9.31</v>
      </c>
      <c r="E5" s="1">
        <f>AVERAGE(D5:D7)</f>
        <v>9.34</v>
      </c>
      <c r="F5" s="1">
        <f>E5-E2</f>
        <v>3.34</v>
      </c>
    </row>
    <row r="6" spans="1:6">
      <c r="A6" s="1" t="s">
        <v>4</v>
      </c>
      <c r="B6" s="4">
        <f t="shared" ref="B6:B7" si="2">$D$35/10000</f>
        <v>14843187.229437225</v>
      </c>
      <c r="C6" s="1">
        <f t="shared" si="1"/>
        <v>7.1715271656016695</v>
      </c>
      <c r="D6" s="1">
        <v>9.35</v>
      </c>
      <c r="E6" s="1"/>
      <c r="F6" s="1"/>
    </row>
    <row r="7" spans="1:6">
      <c r="A7" s="1" t="s">
        <v>4</v>
      </c>
      <c r="B7" s="4">
        <f t="shared" si="2"/>
        <v>14843187.229437225</v>
      </c>
      <c r="C7" s="1">
        <f t="shared" si="1"/>
        <v>7.1715271656016695</v>
      </c>
      <c r="D7" s="1">
        <v>9.36</v>
      </c>
      <c r="E7" s="1"/>
      <c r="F7" s="1"/>
    </row>
    <row r="8" spans="1:6">
      <c r="A8" s="1" t="s">
        <v>5</v>
      </c>
      <c r="B8" s="4">
        <f>$D$35/100000</f>
        <v>1484318.7229437225</v>
      </c>
      <c r="C8" s="1">
        <f t="shared" si="1"/>
        <v>6.1715271656016695</v>
      </c>
      <c r="D8" s="1">
        <v>12.84</v>
      </c>
      <c r="E8" s="1">
        <f>AVERAGE(D8:D10)</f>
        <v>12.856666666666667</v>
      </c>
      <c r="F8" s="1">
        <f>E8-E5</f>
        <v>3.5166666666666675</v>
      </c>
    </row>
    <row r="9" spans="1:6">
      <c r="A9" s="1" t="s">
        <v>5</v>
      </c>
      <c r="B9" s="4">
        <f t="shared" ref="B9:B10" si="3">$D$35/100000</f>
        <v>1484318.7229437225</v>
      </c>
      <c r="C9" s="1">
        <f t="shared" si="1"/>
        <v>6.1715271656016695</v>
      </c>
      <c r="D9" s="1">
        <v>12.85</v>
      </c>
      <c r="E9" s="1"/>
      <c r="F9" s="1"/>
    </row>
    <row r="10" spans="1:6">
      <c r="A10" s="1" t="s">
        <v>5</v>
      </c>
      <c r="B10" s="4">
        <f t="shared" si="3"/>
        <v>1484318.7229437225</v>
      </c>
      <c r="C10" s="1">
        <f t="shared" si="1"/>
        <v>6.1715271656016695</v>
      </c>
      <c r="D10" s="1">
        <v>12.88</v>
      </c>
      <c r="E10" s="1"/>
      <c r="F10" s="1"/>
    </row>
    <row r="11" spans="1:6">
      <c r="A11" s="1" t="s">
        <v>6</v>
      </c>
      <c r="B11" s="4">
        <f>$D$35/1000000</f>
        <v>148431.87229437227</v>
      </c>
      <c r="C11" s="1">
        <f t="shared" si="1"/>
        <v>5.1715271656016695</v>
      </c>
      <c r="D11" s="1">
        <v>16.32</v>
      </c>
      <c r="E11" s="1">
        <f>AVERAGE(D11:D13)</f>
        <v>16.39</v>
      </c>
      <c r="F11" s="1">
        <f>E11-E8</f>
        <v>3.5333333333333332</v>
      </c>
    </row>
    <row r="12" spans="1:6">
      <c r="A12" s="1" t="s">
        <v>6</v>
      </c>
      <c r="B12" s="4">
        <f t="shared" ref="B12:B13" si="4">$D$35/1000000</f>
        <v>148431.87229437227</v>
      </c>
      <c r="C12" s="1">
        <f t="shared" si="1"/>
        <v>5.1715271656016695</v>
      </c>
      <c r="D12" s="1">
        <v>16.43</v>
      </c>
      <c r="E12" s="1"/>
      <c r="F12" s="1"/>
    </row>
    <row r="13" spans="1:6">
      <c r="A13" s="1" t="s">
        <v>6</v>
      </c>
      <c r="B13" s="4">
        <f t="shared" si="4"/>
        <v>148431.87229437227</v>
      </c>
      <c r="C13" s="1">
        <f t="shared" si="1"/>
        <v>5.1715271656016695</v>
      </c>
      <c r="D13" s="1">
        <v>16.420000000000002</v>
      </c>
      <c r="E13" s="1"/>
      <c r="F13" s="1"/>
    </row>
    <row r="14" spans="1:6">
      <c r="A14" s="1" t="s">
        <v>29</v>
      </c>
      <c r="B14" s="4">
        <f>$D$35/10000000</f>
        <v>14843.187229437226</v>
      </c>
      <c r="C14" s="1">
        <f t="shared" si="1"/>
        <v>4.1715271656016695</v>
      </c>
      <c r="D14" s="1">
        <v>19.84</v>
      </c>
      <c r="E14" s="1">
        <f>AVERAGE(D14:D16)</f>
        <v>19.86</v>
      </c>
      <c r="F14" s="1">
        <f>E14-E11</f>
        <v>3.4699999999999989</v>
      </c>
    </row>
    <row r="15" spans="1:6">
      <c r="A15" s="1" t="s">
        <v>29</v>
      </c>
      <c r="B15" s="4">
        <f t="shared" ref="B15:B16" si="5">$D$35/10000000</f>
        <v>14843.187229437226</v>
      </c>
      <c r="C15" s="1">
        <f t="shared" si="1"/>
        <v>4.1715271656016695</v>
      </c>
      <c r="D15" s="1">
        <v>19.86</v>
      </c>
      <c r="E15" s="1"/>
      <c r="F15" s="1"/>
    </row>
    <row r="16" spans="1:6">
      <c r="A16" s="1" t="s">
        <v>29</v>
      </c>
      <c r="B16" s="4">
        <f t="shared" si="5"/>
        <v>14843.187229437226</v>
      </c>
      <c r="C16" s="1">
        <f t="shared" si="1"/>
        <v>4.1715271656016695</v>
      </c>
      <c r="D16" s="1">
        <v>19.88</v>
      </c>
      <c r="E16" s="1"/>
      <c r="F16" s="1"/>
    </row>
    <row r="17" spans="1:6">
      <c r="A17" s="1" t="s">
        <v>30</v>
      </c>
      <c r="B17" s="4">
        <f>$D$35/100000000</f>
        <v>1484.3187229437226</v>
      </c>
      <c r="C17" s="1">
        <f t="shared" si="1"/>
        <v>3.1715271656016695</v>
      </c>
      <c r="D17" s="1">
        <v>22.87</v>
      </c>
      <c r="E17" s="1">
        <f>AVERAGE(D17:D19)</f>
        <v>23.07</v>
      </c>
      <c r="F17" s="1">
        <f>E17-E14</f>
        <v>3.2100000000000009</v>
      </c>
    </row>
    <row r="18" spans="1:6">
      <c r="A18" s="1" t="s">
        <v>30</v>
      </c>
      <c r="B18" s="4">
        <f t="shared" ref="B18:B19" si="6">$D$35/100000000</f>
        <v>1484.3187229437226</v>
      </c>
      <c r="C18" s="1">
        <f t="shared" si="1"/>
        <v>3.1715271656016695</v>
      </c>
      <c r="D18" s="1">
        <v>23.27</v>
      </c>
      <c r="E18" s="1"/>
      <c r="F18" s="1"/>
    </row>
    <row r="19" spans="1:6">
      <c r="A19" s="1" t="s">
        <v>30</v>
      </c>
      <c r="B19" s="4">
        <f t="shared" si="6"/>
        <v>1484.3187229437226</v>
      </c>
      <c r="C19" s="1">
        <f t="shared" si="1"/>
        <v>3.1715271656016695</v>
      </c>
      <c r="D19" s="1"/>
      <c r="E19" s="1"/>
      <c r="F19" s="1"/>
    </row>
    <row r="20" spans="1:6">
      <c r="A20" s="1" t="s">
        <v>31</v>
      </c>
      <c r="B20" s="4">
        <f>$D$35/1000000000</f>
        <v>148.43187229437225</v>
      </c>
      <c r="C20" s="1">
        <f t="shared" si="1"/>
        <v>2.1715271656016695</v>
      </c>
      <c r="D20" s="1">
        <v>26.04</v>
      </c>
      <c r="E20" s="1">
        <f>AVERAGE(D20:D22)</f>
        <v>26.553333333333331</v>
      </c>
      <c r="F20" s="1">
        <f>E20-E17</f>
        <v>3.4833333333333307</v>
      </c>
    </row>
    <row r="21" spans="1:6">
      <c r="A21" s="1" t="s">
        <v>31</v>
      </c>
      <c r="B21" s="4">
        <f t="shared" ref="B21:B22" si="7">$D$35/1000000000</f>
        <v>148.43187229437225</v>
      </c>
      <c r="C21" s="1">
        <f t="shared" si="1"/>
        <v>2.1715271656016695</v>
      </c>
      <c r="D21" s="1">
        <v>26.96</v>
      </c>
      <c r="E21" s="1"/>
      <c r="F21" s="1"/>
    </row>
    <row r="22" spans="1:6">
      <c r="A22" s="1" t="s">
        <v>31</v>
      </c>
      <c r="B22" s="4">
        <f t="shared" si="7"/>
        <v>148.43187229437225</v>
      </c>
      <c r="C22" s="1">
        <f t="shared" si="1"/>
        <v>2.1715271656016695</v>
      </c>
      <c r="D22" s="1">
        <v>26.66</v>
      </c>
      <c r="E22" s="1"/>
      <c r="F22" s="1"/>
    </row>
    <row r="23" spans="1:6">
      <c r="A23" s="1" t="s">
        <v>20</v>
      </c>
      <c r="B23" s="1"/>
      <c r="C23" s="1"/>
      <c r="D23" s="1">
        <v>31.74</v>
      </c>
      <c r="E23" s="1"/>
      <c r="F23" s="1"/>
    </row>
    <row r="24" spans="1:6">
      <c r="A24" s="1" t="s">
        <v>21</v>
      </c>
      <c r="B24" s="1"/>
      <c r="C24" s="1"/>
      <c r="D24" s="1">
        <v>31.03</v>
      </c>
      <c r="E24" s="1"/>
      <c r="F24" s="1"/>
    </row>
    <row r="25" spans="1:6">
      <c r="A25" s="1" t="s">
        <v>22</v>
      </c>
      <c r="B25" s="1"/>
      <c r="C25" s="1"/>
      <c r="D25" s="1">
        <v>25.97</v>
      </c>
      <c r="E25" s="1"/>
      <c r="F25" s="1"/>
    </row>
    <row r="26" spans="1:6">
      <c r="A26" s="1" t="s">
        <v>26</v>
      </c>
      <c r="B26" s="1"/>
      <c r="C26" s="1"/>
      <c r="D26" s="1"/>
      <c r="E26" s="1"/>
      <c r="F26" s="1"/>
    </row>
    <row r="27" spans="1:6">
      <c r="A27" s="1" t="s">
        <v>25</v>
      </c>
      <c r="B27" s="1"/>
      <c r="C27" s="1"/>
      <c r="D27" s="1"/>
      <c r="E27" s="1"/>
      <c r="F27" s="1"/>
    </row>
    <row r="29" spans="1:6">
      <c r="A29" t="s">
        <v>7</v>
      </c>
      <c r="D29">
        <v>600</v>
      </c>
    </row>
    <row r="30" spans="1:6">
      <c r="A30" t="s">
        <v>8</v>
      </c>
      <c r="D30">
        <v>452</v>
      </c>
    </row>
    <row r="31" spans="1:6">
      <c r="A31" t="s">
        <v>10</v>
      </c>
      <c r="D31">
        <v>0.7533333333333333</v>
      </c>
    </row>
    <row r="32" spans="1:6">
      <c r="A32" t="s">
        <v>28</v>
      </c>
      <c r="D32">
        <v>-3.4481000000000002</v>
      </c>
    </row>
    <row r="33" spans="1:13">
      <c r="A33" t="s">
        <v>9</v>
      </c>
      <c r="D33">
        <v>33.087000000000003</v>
      </c>
    </row>
    <row r="34" spans="1:13">
      <c r="A34" t="s">
        <v>27</v>
      </c>
      <c r="D34">
        <f>(10^(-1/D32)-1)*100</f>
        <v>94.991100668872704</v>
      </c>
    </row>
    <row r="35" spans="1:13">
      <c r="A35" t="s">
        <v>101</v>
      </c>
      <c r="D35">
        <v>148431872294.37225</v>
      </c>
    </row>
    <row r="37" spans="1:13" ht="18">
      <c r="A37" s="5" t="s">
        <v>0</v>
      </c>
      <c r="B37" s="5" t="s">
        <v>34</v>
      </c>
      <c r="C37" s="5" t="s">
        <v>16</v>
      </c>
      <c r="D37" s="5" t="s">
        <v>105</v>
      </c>
      <c r="E37" s="5" t="s">
        <v>14</v>
      </c>
      <c r="F37" s="5" t="s">
        <v>109</v>
      </c>
      <c r="G37" s="5" t="s">
        <v>35</v>
      </c>
      <c r="H37" s="5" t="s">
        <v>106</v>
      </c>
      <c r="I37" s="5" t="s">
        <v>107</v>
      </c>
      <c r="J37" s="5" t="s">
        <v>108</v>
      </c>
      <c r="K37" s="5" t="s">
        <v>36</v>
      </c>
    </row>
    <row r="38" spans="1:13">
      <c r="A38" s="1" t="s">
        <v>37</v>
      </c>
      <c r="B38" s="1" t="s">
        <v>38</v>
      </c>
      <c r="C38" s="1">
        <v>22.52</v>
      </c>
      <c r="D38" s="4">
        <f>10^((C38-$D$33)/$D$32)</f>
        <v>1160.3427522462312</v>
      </c>
      <c r="E38" s="1">
        <v>1</v>
      </c>
      <c r="F38" s="4">
        <f>D38*E38</f>
        <v>1160.3427522462312</v>
      </c>
      <c r="G38" s="4">
        <f>AVERAGE(F38:F40)</f>
        <v>1068.1805701311021</v>
      </c>
      <c r="H38" s="1">
        <v>50</v>
      </c>
      <c r="I38" s="1">
        <v>2</v>
      </c>
      <c r="J38" s="4">
        <f>(G38*H38)/I38</f>
        <v>26704.51425327755</v>
      </c>
      <c r="K38" s="4">
        <f>STDEV(F38:F40)</f>
        <v>80.106090601209459</v>
      </c>
      <c r="L38" s="1"/>
      <c r="M38" s="1"/>
    </row>
    <row r="39" spans="1:13">
      <c r="A39" s="1" t="s">
        <v>37</v>
      </c>
      <c r="B39" s="1" t="s">
        <v>39</v>
      </c>
      <c r="C39" s="1">
        <v>22.72</v>
      </c>
      <c r="D39" s="4">
        <f t="shared" ref="D39:D85" si="8">10^((C39-$D$33)/$D$32)</f>
        <v>1015.2741664621968</v>
      </c>
      <c r="E39" s="1">
        <v>1</v>
      </c>
      <c r="F39" s="4">
        <f t="shared" ref="F39:F85" si="9">D39*E39</f>
        <v>1015.2741664621968</v>
      </c>
      <c r="G39" s="1"/>
      <c r="H39" s="1"/>
      <c r="I39" s="1"/>
      <c r="J39" s="1"/>
      <c r="K39" s="4"/>
      <c r="L39" s="1"/>
      <c r="M39" s="1"/>
    </row>
    <row r="40" spans="1:13">
      <c r="A40" s="1" t="s">
        <v>37</v>
      </c>
      <c r="B40" s="1" t="s">
        <v>40</v>
      </c>
      <c r="C40" s="1">
        <v>22.7</v>
      </c>
      <c r="D40" s="4">
        <f t="shared" si="8"/>
        <v>1028.9247916848785</v>
      </c>
      <c r="E40" s="1">
        <v>1</v>
      </c>
      <c r="F40" s="4">
        <f t="shared" si="9"/>
        <v>1028.9247916848785</v>
      </c>
      <c r="G40" s="1"/>
      <c r="H40" s="1"/>
      <c r="I40" s="1"/>
      <c r="J40" s="1"/>
      <c r="K40" s="4"/>
      <c r="L40" s="1"/>
      <c r="M40" s="1"/>
    </row>
    <row r="41" spans="1:13">
      <c r="A41" s="1" t="s">
        <v>37</v>
      </c>
      <c r="B41" s="1" t="s">
        <v>41</v>
      </c>
      <c r="C41" s="1">
        <v>26.14</v>
      </c>
      <c r="D41" s="4">
        <f t="shared" si="8"/>
        <v>103.45053747386712</v>
      </c>
      <c r="E41" s="1">
        <v>10</v>
      </c>
      <c r="F41" s="4">
        <f t="shared" si="9"/>
        <v>1034.5053747386712</v>
      </c>
      <c r="G41" s="4">
        <f>AVERAGE(F41:F43)</f>
        <v>898.30186382066995</v>
      </c>
      <c r="H41" s="1">
        <v>50</v>
      </c>
      <c r="I41" s="1">
        <v>2</v>
      </c>
      <c r="J41" s="4">
        <f>(G41*H41)/I41</f>
        <v>22457.546595516749</v>
      </c>
      <c r="K41" s="4">
        <f>STDEV(F41:F43)</f>
        <v>120.02115658801767</v>
      </c>
      <c r="L41" s="1"/>
      <c r="M41" s="1"/>
    </row>
    <row r="42" spans="1:13">
      <c r="A42" s="1" t="s">
        <v>37</v>
      </c>
      <c r="B42" s="1" t="s">
        <v>42</v>
      </c>
      <c r="C42" s="1">
        <v>26.43</v>
      </c>
      <c r="D42" s="4">
        <f t="shared" si="8"/>
        <v>85.237060088964398</v>
      </c>
      <c r="E42" s="1">
        <v>10</v>
      </c>
      <c r="F42" s="4">
        <f t="shared" si="9"/>
        <v>852.37060088964404</v>
      </c>
      <c r="G42" s="1"/>
      <c r="H42" s="1"/>
      <c r="I42" s="1"/>
      <c r="J42" s="4"/>
      <c r="K42" s="4"/>
      <c r="L42" s="1"/>
      <c r="M42" s="1"/>
    </row>
    <row r="43" spans="1:13">
      <c r="A43" s="1" t="s">
        <v>37</v>
      </c>
      <c r="B43" s="1" t="s">
        <v>43</v>
      </c>
      <c r="C43" s="1">
        <v>26.51</v>
      </c>
      <c r="D43" s="4">
        <f t="shared" si="8"/>
        <v>80.802961583369452</v>
      </c>
      <c r="E43" s="1">
        <v>10</v>
      </c>
      <c r="F43" s="4">
        <f t="shared" si="9"/>
        <v>808.02961583369449</v>
      </c>
      <c r="G43" s="1"/>
      <c r="H43" s="1"/>
      <c r="I43" s="1"/>
      <c r="J43" s="4"/>
      <c r="K43" s="4"/>
      <c r="L43" s="1"/>
      <c r="M43" s="1"/>
    </row>
    <row r="44" spans="1:13">
      <c r="A44" s="1" t="s">
        <v>50</v>
      </c>
      <c r="B44" s="1" t="s">
        <v>44</v>
      </c>
      <c r="C44" s="1">
        <v>23.89</v>
      </c>
      <c r="D44" s="4">
        <f t="shared" si="8"/>
        <v>464.79990494681192</v>
      </c>
      <c r="E44" s="1">
        <v>1</v>
      </c>
      <c r="F44" s="4">
        <f t="shared" si="9"/>
        <v>464.79990494681192</v>
      </c>
      <c r="G44" s="4">
        <f>AVERAGE(F44:F46)</f>
        <v>461.37093011655361</v>
      </c>
      <c r="H44" s="1">
        <v>50</v>
      </c>
      <c r="I44" s="1">
        <v>2</v>
      </c>
      <c r="J44" s="4">
        <f t="shared" ref="J44:J53" si="10">(G44*H44)/I44</f>
        <v>11534.273252913841</v>
      </c>
      <c r="K44" s="4">
        <f t="shared" ref="K44:K47" si="11">STDEV(F44:F46)</f>
        <v>30.793086521025518</v>
      </c>
      <c r="L44" s="1"/>
      <c r="M44" s="1"/>
    </row>
    <row r="45" spans="1:13">
      <c r="A45" s="1" t="s">
        <v>50</v>
      </c>
      <c r="B45" s="1" t="s">
        <v>45</v>
      </c>
      <c r="C45" s="1">
        <v>23.81</v>
      </c>
      <c r="D45" s="4">
        <f t="shared" si="8"/>
        <v>490.30600674728737</v>
      </c>
      <c r="E45" s="1">
        <v>1</v>
      </c>
      <c r="F45" s="4">
        <f t="shared" si="9"/>
        <v>490.30600674728737</v>
      </c>
      <c r="G45" s="1"/>
      <c r="H45" s="1"/>
      <c r="I45" s="1"/>
      <c r="J45" s="4"/>
      <c r="K45" s="4"/>
      <c r="L45" s="1"/>
      <c r="M45" s="1"/>
    </row>
    <row r="46" spans="1:13">
      <c r="A46" s="1" t="s">
        <v>50</v>
      </c>
      <c r="B46" s="1" t="s">
        <v>46</v>
      </c>
      <c r="C46" s="1">
        <v>24.01</v>
      </c>
      <c r="D46" s="4">
        <f t="shared" si="8"/>
        <v>429.00687865556148</v>
      </c>
      <c r="E46" s="1">
        <v>1</v>
      </c>
      <c r="F46" s="4">
        <f t="shared" si="9"/>
        <v>429.00687865556148</v>
      </c>
      <c r="G46" s="1"/>
      <c r="H46" s="1"/>
      <c r="I46" s="1"/>
      <c r="J46" s="4"/>
      <c r="K46" s="4"/>
      <c r="L46" s="1"/>
      <c r="M46" s="1"/>
    </row>
    <row r="47" spans="1:13">
      <c r="A47" s="1" t="s">
        <v>50</v>
      </c>
      <c r="B47" s="1" t="s">
        <v>47</v>
      </c>
      <c r="C47" s="1">
        <v>27.74</v>
      </c>
      <c r="D47" s="4">
        <f t="shared" si="8"/>
        <v>35.539317732507719</v>
      </c>
      <c r="E47" s="1">
        <v>10</v>
      </c>
      <c r="F47" s="4">
        <f t="shared" si="9"/>
        <v>355.3931773250772</v>
      </c>
      <c r="G47" s="4">
        <f>AVERAGE(F47:F49)</f>
        <v>499.15052848942099</v>
      </c>
      <c r="H47" s="1">
        <v>50</v>
      </c>
      <c r="I47" s="1">
        <v>2</v>
      </c>
      <c r="J47" s="4">
        <f t="shared" si="10"/>
        <v>12478.763212235524</v>
      </c>
      <c r="K47" s="4">
        <f t="shared" si="11"/>
        <v>124.73086344602068</v>
      </c>
      <c r="L47" s="1"/>
      <c r="M47" s="1"/>
    </row>
    <row r="48" spans="1:13">
      <c r="A48" s="1" t="s">
        <v>50</v>
      </c>
      <c r="B48" s="1" t="s">
        <v>48</v>
      </c>
      <c r="C48" s="1">
        <v>27.05</v>
      </c>
      <c r="D48" s="4">
        <f t="shared" si="8"/>
        <v>56.340317721296373</v>
      </c>
      <c r="E48" s="1">
        <v>10</v>
      </c>
      <c r="F48" s="4">
        <f t="shared" si="9"/>
        <v>563.40317721296378</v>
      </c>
      <c r="G48" s="4"/>
      <c r="H48" s="1"/>
      <c r="I48" s="1"/>
      <c r="J48" s="4"/>
      <c r="K48" s="4"/>
      <c r="L48" s="1"/>
      <c r="M48" s="1"/>
    </row>
    <row r="49" spans="1:13">
      <c r="A49" s="1" t="s">
        <v>50</v>
      </c>
      <c r="B49" s="1" t="s">
        <v>49</v>
      </c>
      <c r="C49" s="1">
        <v>27.01</v>
      </c>
      <c r="D49" s="4">
        <f t="shared" si="8"/>
        <v>57.865523093022198</v>
      </c>
      <c r="E49" s="1">
        <v>10</v>
      </c>
      <c r="F49" s="4">
        <f t="shared" si="9"/>
        <v>578.65523093022193</v>
      </c>
      <c r="G49" s="4"/>
      <c r="H49" s="1"/>
      <c r="I49" s="1"/>
      <c r="J49" s="4"/>
      <c r="K49" s="4"/>
      <c r="L49" s="1"/>
      <c r="M49" s="1"/>
    </row>
    <row r="50" spans="1:13">
      <c r="A50" s="1" t="s">
        <v>51</v>
      </c>
      <c r="B50" s="1" t="s">
        <v>52</v>
      </c>
      <c r="C50" s="1">
        <v>18.649999999999999</v>
      </c>
      <c r="D50" s="4">
        <f t="shared" si="8"/>
        <v>15379.546662932074</v>
      </c>
      <c r="E50" s="1">
        <v>1</v>
      </c>
      <c r="F50" s="4">
        <f t="shared" si="9"/>
        <v>15379.546662932074</v>
      </c>
      <c r="G50" s="4">
        <f t="shared" ref="G50:G53" si="12">AVERAGE(F50:F52)</f>
        <v>14528.88900116797</v>
      </c>
      <c r="H50" s="1">
        <v>50</v>
      </c>
      <c r="I50" s="1">
        <v>2</v>
      </c>
      <c r="J50" s="4">
        <f t="shared" si="10"/>
        <v>363222.22502919927</v>
      </c>
      <c r="K50" s="4">
        <f>STDEV(F50:F52)</f>
        <v>789.00159129736755</v>
      </c>
      <c r="L50" s="1"/>
      <c r="M50" s="1"/>
    </row>
    <row r="51" spans="1:13">
      <c r="A51" s="1" t="s">
        <v>51</v>
      </c>
      <c r="B51" s="1" t="s">
        <v>53</v>
      </c>
      <c r="C51" s="1">
        <v>18.809999999999999</v>
      </c>
      <c r="D51" s="4">
        <f t="shared" si="8"/>
        <v>13821.054120914761</v>
      </c>
      <c r="E51" s="1">
        <v>1</v>
      </c>
      <c r="F51" s="4">
        <f t="shared" si="9"/>
        <v>13821.054120914761</v>
      </c>
      <c r="G51" s="4"/>
      <c r="H51" s="1"/>
      <c r="I51" s="1"/>
      <c r="J51" s="4"/>
      <c r="K51" s="4"/>
      <c r="L51" s="1"/>
      <c r="M51" s="1"/>
    </row>
    <row r="52" spans="1:13">
      <c r="A52" s="1" t="s">
        <v>51</v>
      </c>
      <c r="B52" s="1" t="s">
        <v>54</v>
      </c>
      <c r="C52" s="1">
        <v>18.75</v>
      </c>
      <c r="D52" s="4">
        <f t="shared" si="8"/>
        <v>14386.066219657076</v>
      </c>
      <c r="E52" s="1">
        <v>1</v>
      </c>
      <c r="F52" s="4">
        <f t="shared" si="9"/>
        <v>14386.066219657076</v>
      </c>
      <c r="G52" s="4"/>
      <c r="H52" s="1"/>
      <c r="I52" s="1"/>
      <c r="J52" s="4"/>
      <c r="K52" s="4"/>
      <c r="L52" s="1"/>
      <c r="M52" s="1"/>
    </row>
    <row r="53" spans="1:13">
      <c r="A53" s="1" t="s">
        <v>51</v>
      </c>
      <c r="B53" s="1" t="s">
        <v>55</v>
      </c>
      <c r="C53" s="1">
        <v>22.87</v>
      </c>
      <c r="D53" s="4">
        <f t="shared" si="8"/>
        <v>918.50413784866259</v>
      </c>
      <c r="E53" s="1">
        <v>10</v>
      </c>
      <c r="F53" s="4">
        <f t="shared" si="9"/>
        <v>9185.041378486625</v>
      </c>
      <c r="G53" s="4">
        <f t="shared" si="12"/>
        <v>9007.7782614700864</v>
      </c>
      <c r="H53" s="1">
        <v>50</v>
      </c>
      <c r="I53" s="1">
        <v>2</v>
      </c>
      <c r="J53" s="4">
        <f t="shared" si="10"/>
        <v>225194.45653675217</v>
      </c>
      <c r="K53" s="4">
        <f>STDEV(F53:F55)</f>
        <v>361.63667673793861</v>
      </c>
      <c r="L53" s="1"/>
      <c r="M53" s="1"/>
    </row>
    <row r="54" spans="1:13">
      <c r="A54" s="1" t="s">
        <v>51</v>
      </c>
      <c r="B54" s="1" t="s">
        <v>56</v>
      </c>
      <c r="C54" s="1">
        <v>22.97</v>
      </c>
      <c r="D54" s="4">
        <f t="shared" si="8"/>
        <v>859.17105619033725</v>
      </c>
      <c r="E54" s="1">
        <v>10</v>
      </c>
      <c r="F54" s="4">
        <f t="shared" si="9"/>
        <v>8591.7105619033719</v>
      </c>
      <c r="G54" s="4"/>
      <c r="H54" s="1"/>
      <c r="I54" s="1"/>
      <c r="J54" s="4"/>
      <c r="K54" s="4"/>
      <c r="L54" s="1"/>
      <c r="M54" s="1"/>
    </row>
    <row r="55" spans="1:13">
      <c r="A55" s="1" t="s">
        <v>51</v>
      </c>
      <c r="B55" s="1" t="s">
        <v>57</v>
      </c>
      <c r="C55" s="1">
        <v>22.86</v>
      </c>
      <c r="D55" s="4">
        <f t="shared" si="8"/>
        <v>924.6582844020262</v>
      </c>
      <c r="E55" s="1">
        <v>10</v>
      </c>
      <c r="F55" s="4">
        <f t="shared" si="9"/>
        <v>9246.5828440202622</v>
      </c>
      <c r="G55" s="4"/>
      <c r="H55" s="1"/>
      <c r="I55" s="1"/>
      <c r="J55" s="4"/>
      <c r="K55" s="4"/>
      <c r="L55" s="1"/>
      <c r="M55" s="1"/>
    </row>
    <row r="56" spans="1:13">
      <c r="A56" s="1" t="s">
        <v>58</v>
      </c>
      <c r="B56" s="1" t="s">
        <v>59</v>
      </c>
      <c r="C56" s="1">
        <v>35</v>
      </c>
      <c r="D56" s="4">
        <f t="shared" si="8"/>
        <v>0.27874154652796485</v>
      </c>
      <c r="E56" s="1">
        <v>1</v>
      </c>
      <c r="F56" s="4">
        <f t="shared" si="9"/>
        <v>0.27874154652796485</v>
      </c>
      <c r="G56" s="4">
        <f>AVERAGE(F56:F58)</f>
        <v>0.27874154652796485</v>
      </c>
      <c r="H56" s="1">
        <v>50</v>
      </c>
      <c r="I56" s="1">
        <v>2</v>
      </c>
      <c r="J56" s="4">
        <f t="shared" ref="J56:J59" si="13">(G56*H56)/I56</f>
        <v>6.9685386631991211</v>
      </c>
      <c r="K56" s="4">
        <f t="shared" ref="K56:K59" si="14">STDEV(F56:F58)</f>
        <v>0</v>
      </c>
      <c r="L56" s="1"/>
      <c r="M56" s="1"/>
    </row>
    <row r="57" spans="1:13">
      <c r="A57" s="1" t="s">
        <v>58</v>
      </c>
      <c r="B57" s="1" t="s">
        <v>60</v>
      </c>
      <c r="C57" s="1">
        <v>35</v>
      </c>
      <c r="D57" s="4">
        <f t="shared" si="8"/>
        <v>0.27874154652796485</v>
      </c>
      <c r="E57" s="1">
        <v>1</v>
      </c>
      <c r="F57" s="4">
        <f t="shared" si="9"/>
        <v>0.27874154652796485</v>
      </c>
      <c r="G57" s="1"/>
      <c r="H57" s="1"/>
      <c r="I57" s="1"/>
      <c r="J57" s="4"/>
      <c r="K57" s="4"/>
      <c r="L57" s="1"/>
      <c r="M57" s="1"/>
    </row>
    <row r="58" spans="1:13">
      <c r="A58" s="1" t="s">
        <v>58</v>
      </c>
      <c r="B58" s="1" t="s">
        <v>61</v>
      </c>
      <c r="C58" s="1">
        <v>35</v>
      </c>
      <c r="D58" s="4">
        <f t="shared" si="8"/>
        <v>0.27874154652796485</v>
      </c>
      <c r="E58" s="1">
        <v>1</v>
      </c>
      <c r="F58" s="4">
        <f t="shared" si="9"/>
        <v>0.27874154652796485</v>
      </c>
      <c r="G58" s="1"/>
      <c r="H58" s="1"/>
      <c r="I58" s="1"/>
      <c r="J58" s="4"/>
      <c r="K58" s="4"/>
      <c r="L58" s="1"/>
      <c r="M58" s="1"/>
    </row>
    <row r="59" spans="1:13">
      <c r="A59" s="1" t="s">
        <v>58</v>
      </c>
      <c r="B59" s="1" t="s">
        <v>62</v>
      </c>
      <c r="C59" s="1">
        <v>28.48</v>
      </c>
      <c r="D59" s="4">
        <f t="shared" si="8"/>
        <v>21.681940136438648</v>
      </c>
      <c r="E59" s="1">
        <v>10</v>
      </c>
      <c r="F59" s="4">
        <f t="shared" si="9"/>
        <v>216.81940136438647</v>
      </c>
      <c r="G59" s="4">
        <f>AVERAGE(F59:F61)</f>
        <v>279.58056438802566</v>
      </c>
      <c r="H59" s="1">
        <v>50</v>
      </c>
      <c r="I59" s="1">
        <v>2</v>
      </c>
      <c r="J59" s="4">
        <f t="shared" si="13"/>
        <v>6989.5141097006417</v>
      </c>
      <c r="K59" s="4">
        <f t="shared" si="14"/>
        <v>54.352761549528239</v>
      </c>
      <c r="L59" s="1"/>
      <c r="M59" s="1"/>
    </row>
    <row r="60" spans="1:13">
      <c r="A60" s="1" t="s">
        <v>58</v>
      </c>
      <c r="B60" s="1" t="s">
        <v>63</v>
      </c>
      <c r="C60" s="1">
        <v>27.94</v>
      </c>
      <c r="D60" s="4">
        <f t="shared" si="8"/>
        <v>31.096114589984531</v>
      </c>
      <c r="E60" s="1">
        <v>10</v>
      </c>
      <c r="F60" s="4">
        <f t="shared" si="9"/>
        <v>310.96114589984529</v>
      </c>
      <c r="G60" s="1"/>
      <c r="H60" s="1"/>
      <c r="I60" s="1"/>
      <c r="J60" s="4"/>
      <c r="K60" s="4"/>
      <c r="L60" s="1"/>
      <c r="M60" s="1"/>
    </row>
    <row r="61" spans="1:13">
      <c r="A61" s="1" t="s">
        <v>58</v>
      </c>
      <c r="B61" s="1" t="s">
        <v>64</v>
      </c>
      <c r="C61" s="1">
        <v>27.94</v>
      </c>
      <c r="D61" s="4">
        <f t="shared" si="8"/>
        <v>31.096114589984531</v>
      </c>
      <c r="E61" s="1">
        <v>10</v>
      </c>
      <c r="F61" s="4">
        <f t="shared" si="9"/>
        <v>310.96114589984529</v>
      </c>
      <c r="G61" s="1"/>
      <c r="H61" s="1"/>
      <c r="I61" s="1"/>
      <c r="J61" s="4"/>
      <c r="K61" s="4"/>
      <c r="L61" s="1"/>
      <c r="M61" s="1"/>
    </row>
    <row r="62" spans="1:13">
      <c r="A62" s="1" t="s">
        <v>65</v>
      </c>
      <c r="B62" s="1" t="s">
        <v>66</v>
      </c>
      <c r="C62" s="1">
        <v>35</v>
      </c>
      <c r="D62" s="4">
        <f t="shared" si="8"/>
        <v>0.27874154652796485</v>
      </c>
      <c r="E62" s="1">
        <v>1</v>
      </c>
      <c r="F62" s="4">
        <f t="shared" si="9"/>
        <v>0.27874154652796485</v>
      </c>
      <c r="G62" s="4">
        <f>AVERAGE(F62:F64)</f>
        <v>0.27874154652796485</v>
      </c>
      <c r="H62" s="1">
        <v>50</v>
      </c>
      <c r="I62" s="1">
        <v>2</v>
      </c>
      <c r="J62" s="4">
        <f t="shared" ref="J62:J65" si="15">(G62*H62)/I62</f>
        <v>6.9685386631991211</v>
      </c>
      <c r="K62" s="4">
        <f t="shared" ref="K62:K65" si="16">STDEV(F62:F64)</f>
        <v>0</v>
      </c>
      <c r="L62" s="1"/>
      <c r="M62" s="1"/>
    </row>
    <row r="63" spans="1:13">
      <c r="A63" s="1" t="s">
        <v>65</v>
      </c>
      <c r="B63" s="1" t="s">
        <v>67</v>
      </c>
      <c r="C63" s="1">
        <v>35</v>
      </c>
      <c r="D63" s="4">
        <f t="shared" si="8"/>
        <v>0.27874154652796485</v>
      </c>
      <c r="E63" s="1">
        <v>1</v>
      </c>
      <c r="F63" s="4">
        <f t="shared" si="9"/>
        <v>0.27874154652796485</v>
      </c>
      <c r="G63" s="1"/>
      <c r="H63" s="1"/>
      <c r="I63" s="1"/>
      <c r="J63" s="4"/>
      <c r="K63" s="4"/>
      <c r="L63" s="1"/>
      <c r="M63" s="1"/>
    </row>
    <row r="64" spans="1:13">
      <c r="A64" s="1" t="s">
        <v>65</v>
      </c>
      <c r="B64" s="1" t="s">
        <v>68</v>
      </c>
      <c r="C64" s="1">
        <v>35</v>
      </c>
      <c r="D64" s="4">
        <f t="shared" si="8"/>
        <v>0.27874154652796485</v>
      </c>
      <c r="E64" s="1">
        <v>1</v>
      </c>
      <c r="F64" s="4">
        <f t="shared" si="9"/>
        <v>0.27874154652796485</v>
      </c>
      <c r="G64" s="1"/>
      <c r="H64" s="1"/>
      <c r="I64" s="1"/>
      <c r="J64" s="4"/>
      <c r="K64" s="4"/>
      <c r="L64" s="1"/>
      <c r="M64" s="1"/>
    </row>
    <row r="65" spans="1:13">
      <c r="A65" s="1" t="s">
        <v>65</v>
      </c>
      <c r="B65" s="1" t="s">
        <v>69</v>
      </c>
      <c r="C65" s="1">
        <v>28.61</v>
      </c>
      <c r="D65" s="4">
        <f t="shared" si="8"/>
        <v>19.879077104651831</v>
      </c>
      <c r="E65" s="1">
        <v>10</v>
      </c>
      <c r="F65" s="4">
        <f t="shared" si="9"/>
        <v>198.7907710465183</v>
      </c>
      <c r="G65" s="4">
        <f>AVERAGE(F65:F67)</f>
        <v>215.46832182857523</v>
      </c>
      <c r="H65" s="1">
        <v>50</v>
      </c>
      <c r="I65" s="1">
        <v>2</v>
      </c>
      <c r="J65" s="4">
        <f t="shared" si="15"/>
        <v>5386.7080457143811</v>
      </c>
      <c r="K65" s="4">
        <f t="shared" si="16"/>
        <v>26.605243319276536</v>
      </c>
      <c r="L65" s="1"/>
      <c r="M65" s="1"/>
    </row>
    <row r="66" spans="1:13">
      <c r="A66" s="1" t="s">
        <v>65</v>
      </c>
      <c r="B66" s="1" t="s">
        <v>70</v>
      </c>
      <c r="C66" s="1">
        <v>28.59</v>
      </c>
      <c r="D66" s="4">
        <f t="shared" si="8"/>
        <v>20.146356466515233</v>
      </c>
      <c r="E66" s="1">
        <v>10</v>
      </c>
      <c r="F66" s="4">
        <f t="shared" si="9"/>
        <v>201.46356466515232</v>
      </c>
      <c r="G66" s="1"/>
      <c r="H66" s="1"/>
      <c r="I66" s="1"/>
      <c r="J66" s="4"/>
      <c r="K66" s="4"/>
      <c r="L66" s="1"/>
      <c r="M66" s="1"/>
    </row>
    <row r="67" spans="1:13">
      <c r="A67" s="1" t="s">
        <v>65</v>
      </c>
      <c r="B67" s="1" t="s">
        <v>71</v>
      </c>
      <c r="C67" s="1">
        <v>28.29</v>
      </c>
      <c r="D67" s="4">
        <f t="shared" si="8"/>
        <v>24.615062977405515</v>
      </c>
      <c r="E67" s="1">
        <v>10</v>
      </c>
      <c r="F67" s="4">
        <f t="shared" si="9"/>
        <v>246.15062977405515</v>
      </c>
      <c r="G67" s="1"/>
      <c r="H67" s="1"/>
      <c r="I67" s="1"/>
      <c r="J67" s="4"/>
      <c r="K67" s="4"/>
      <c r="L67" s="1"/>
      <c r="M67" s="1"/>
    </row>
    <row r="68" spans="1:13">
      <c r="A68" s="1" t="s">
        <v>72</v>
      </c>
      <c r="B68" s="1" t="s">
        <v>73</v>
      </c>
      <c r="C68" s="1">
        <v>28.56</v>
      </c>
      <c r="D68" s="4">
        <f t="shared" si="8"/>
        <v>20.554028659235737</v>
      </c>
      <c r="E68" s="1">
        <v>1</v>
      </c>
      <c r="F68" s="4">
        <f t="shared" si="9"/>
        <v>20.554028659235737</v>
      </c>
      <c r="G68" s="4">
        <f>AVERAGE(F68:F70)</f>
        <v>43.895860331710395</v>
      </c>
      <c r="H68" s="1">
        <v>50</v>
      </c>
      <c r="I68" s="1">
        <v>2</v>
      </c>
      <c r="J68" s="4">
        <f t="shared" ref="J68:J71" si="17">(G68*H68)/I68</f>
        <v>1097.3965082927598</v>
      </c>
      <c r="K68" s="4">
        <f t="shared" ref="K68:K71" si="18">STDEV(F68:F70)</f>
        <v>34.973293406587139</v>
      </c>
      <c r="L68" s="1"/>
      <c r="M68" s="1"/>
    </row>
    <row r="69" spans="1:13">
      <c r="A69" s="1" t="s">
        <v>72</v>
      </c>
      <c r="B69" s="1" t="s">
        <v>74</v>
      </c>
      <c r="C69" s="1">
        <v>28.15</v>
      </c>
      <c r="D69" s="4">
        <f t="shared" si="8"/>
        <v>27.027322383167164</v>
      </c>
      <c r="E69" s="1">
        <v>1</v>
      </c>
      <c r="F69" s="4">
        <f t="shared" si="9"/>
        <v>27.027322383167164</v>
      </c>
      <c r="G69" s="1"/>
      <c r="H69" s="1"/>
      <c r="I69" s="1"/>
      <c r="J69" s="4"/>
      <c r="K69" s="4"/>
      <c r="L69" s="1"/>
      <c r="M69" s="1"/>
    </row>
    <row r="70" spans="1:13">
      <c r="A70" s="1" t="s">
        <v>72</v>
      </c>
      <c r="B70" s="1" t="s">
        <v>75</v>
      </c>
      <c r="C70" s="1">
        <v>26.45</v>
      </c>
      <c r="D70" s="4">
        <f t="shared" si="8"/>
        <v>84.106229952728285</v>
      </c>
      <c r="E70" s="1">
        <v>1</v>
      </c>
      <c r="F70" s="4">
        <f t="shared" si="9"/>
        <v>84.106229952728285</v>
      </c>
      <c r="G70" s="1"/>
      <c r="H70" s="1"/>
      <c r="I70" s="1"/>
      <c r="J70" s="4"/>
      <c r="K70" s="4"/>
      <c r="L70" s="1"/>
      <c r="M70" s="1"/>
    </row>
    <row r="71" spans="1:13">
      <c r="A71" s="1" t="s">
        <v>72</v>
      </c>
      <c r="B71" s="1" t="s">
        <v>76</v>
      </c>
      <c r="C71" s="1">
        <v>29.72</v>
      </c>
      <c r="D71" s="4">
        <f t="shared" si="8"/>
        <v>9.4728312426437888</v>
      </c>
      <c r="E71" s="1">
        <v>10</v>
      </c>
      <c r="F71" s="4">
        <f t="shared" si="9"/>
        <v>94.728312426437896</v>
      </c>
      <c r="G71" s="4">
        <f>AVERAGE(F71:F73)</f>
        <v>153.57976739992077</v>
      </c>
      <c r="H71" s="1">
        <v>50</v>
      </c>
      <c r="I71" s="1">
        <v>2</v>
      </c>
      <c r="J71" s="4">
        <f t="shared" si="17"/>
        <v>3839.4941849980191</v>
      </c>
      <c r="K71" s="4">
        <f t="shared" si="18"/>
        <v>57.534254069770661</v>
      </c>
      <c r="L71" s="1"/>
      <c r="M71" s="1"/>
    </row>
    <row r="72" spans="1:13">
      <c r="A72" s="1" t="s">
        <v>72</v>
      </c>
      <c r="B72" s="1" t="s">
        <v>77</v>
      </c>
      <c r="C72" s="1">
        <v>28.53</v>
      </c>
      <c r="D72" s="4">
        <f t="shared" si="8"/>
        <v>20.969950314681316</v>
      </c>
      <c r="E72" s="1">
        <v>10</v>
      </c>
      <c r="F72" s="4">
        <f t="shared" si="9"/>
        <v>209.69950314681316</v>
      </c>
      <c r="G72" s="1"/>
      <c r="H72" s="1"/>
      <c r="I72" s="1"/>
      <c r="J72" s="4"/>
      <c r="K72" s="4"/>
      <c r="L72" s="1"/>
      <c r="M72" s="1"/>
    </row>
    <row r="73" spans="1:13">
      <c r="A73" s="1" t="s">
        <v>72</v>
      </c>
      <c r="B73" s="1" t="s">
        <v>78</v>
      </c>
      <c r="C73" s="1">
        <v>28.97</v>
      </c>
      <c r="D73" s="4">
        <f t="shared" si="8"/>
        <v>15.631148662651123</v>
      </c>
      <c r="E73" s="1">
        <v>10</v>
      </c>
      <c r="F73" s="4">
        <f t="shared" si="9"/>
        <v>156.31148662651123</v>
      </c>
      <c r="G73" s="1"/>
      <c r="H73" s="1"/>
      <c r="I73" s="1"/>
      <c r="J73" s="4"/>
      <c r="K73" s="4"/>
      <c r="L73" s="1"/>
      <c r="M73" s="1"/>
    </row>
    <row r="74" spans="1:13">
      <c r="A74" s="1" t="s">
        <v>79</v>
      </c>
      <c r="B74" s="1" t="s">
        <v>80</v>
      </c>
      <c r="C74" s="1">
        <v>22.74</v>
      </c>
      <c r="D74" s="4">
        <f t="shared" si="8"/>
        <v>1001.8046424924687</v>
      </c>
      <c r="E74" s="1">
        <v>1</v>
      </c>
      <c r="F74" s="4">
        <f t="shared" si="9"/>
        <v>1001.8046424924687</v>
      </c>
      <c r="G74" s="4">
        <f>AVERAGE(F74:F76)</f>
        <v>1008.5619916598188</v>
      </c>
      <c r="H74" s="1">
        <v>50</v>
      </c>
      <c r="I74" s="1">
        <v>2</v>
      </c>
      <c r="J74" s="4">
        <f t="shared" ref="J74:J77" si="19">(G74*H74)/I74</f>
        <v>25214.049791495469</v>
      </c>
      <c r="K74" s="4">
        <f t="shared" ref="K74:K77" si="20">STDEV(F74:F76)</f>
        <v>11.704072082333571</v>
      </c>
      <c r="L74" s="1"/>
      <c r="M74" s="1"/>
    </row>
    <row r="75" spans="1:13">
      <c r="A75" s="1" t="s">
        <v>79</v>
      </c>
      <c r="B75" s="1" t="s">
        <v>81</v>
      </c>
      <c r="C75" s="1">
        <v>22.71</v>
      </c>
      <c r="D75" s="4">
        <f t="shared" si="8"/>
        <v>1022.0766899945189</v>
      </c>
      <c r="E75" s="1">
        <v>1</v>
      </c>
      <c r="F75" s="4">
        <f t="shared" si="9"/>
        <v>1022.0766899945189</v>
      </c>
      <c r="G75" s="1"/>
      <c r="H75" s="1"/>
      <c r="I75" s="1"/>
      <c r="J75" s="4"/>
      <c r="K75" s="4"/>
      <c r="L75" s="1"/>
      <c r="M75" s="1"/>
    </row>
    <row r="76" spans="1:13">
      <c r="A76" s="1" t="s">
        <v>79</v>
      </c>
      <c r="B76" s="1" t="s">
        <v>82</v>
      </c>
      <c r="C76" s="1">
        <v>22.74</v>
      </c>
      <c r="D76" s="4">
        <f t="shared" si="8"/>
        <v>1001.8046424924687</v>
      </c>
      <c r="E76" s="1">
        <v>1</v>
      </c>
      <c r="F76" s="4">
        <f t="shared" si="9"/>
        <v>1001.8046424924687</v>
      </c>
      <c r="G76" s="1"/>
      <c r="H76" s="1"/>
      <c r="I76" s="1"/>
      <c r="J76" s="4"/>
      <c r="K76" s="4"/>
      <c r="L76" s="1"/>
      <c r="M76" s="1"/>
    </row>
    <row r="77" spans="1:13">
      <c r="A77" s="1" t="s">
        <v>79</v>
      </c>
      <c r="B77" s="1" t="s">
        <v>83</v>
      </c>
      <c r="C77" s="1">
        <v>26.52</v>
      </c>
      <c r="D77" s="4">
        <f t="shared" si="8"/>
        <v>80.265170189599189</v>
      </c>
      <c r="E77" s="1">
        <v>10</v>
      </c>
      <c r="F77" s="4">
        <f t="shared" si="9"/>
        <v>802.65170189599189</v>
      </c>
      <c r="G77" s="4">
        <f>AVERAGE(F77:F79)</f>
        <v>734.67001160187226</v>
      </c>
      <c r="H77" s="1">
        <v>50</v>
      </c>
      <c r="I77" s="1">
        <v>2</v>
      </c>
      <c r="J77" s="4">
        <f t="shared" si="19"/>
        <v>18366.750290046806</v>
      </c>
      <c r="K77" s="4">
        <f t="shared" si="20"/>
        <v>87.933655704637019</v>
      </c>
      <c r="L77" s="1"/>
      <c r="M77" s="1"/>
    </row>
    <row r="78" spans="1:13">
      <c r="A78" s="1" t="s">
        <v>79</v>
      </c>
      <c r="B78" s="1" t="s">
        <v>84</v>
      </c>
      <c r="C78" s="1">
        <v>26.87</v>
      </c>
      <c r="D78" s="1">
        <f t="shared" si="8"/>
        <v>63.536304942273951</v>
      </c>
      <c r="E78" s="1">
        <v>10</v>
      </c>
      <c r="F78" s="4">
        <f t="shared" si="9"/>
        <v>635.36304942273955</v>
      </c>
      <c r="G78" s="1"/>
      <c r="H78" s="1"/>
      <c r="I78" s="1"/>
      <c r="J78" s="4"/>
      <c r="K78" s="4"/>
      <c r="L78" s="1"/>
      <c r="M78" s="1"/>
    </row>
    <row r="79" spans="1:13">
      <c r="A79" s="1" t="s">
        <v>79</v>
      </c>
      <c r="B79" s="1" t="s">
        <v>85</v>
      </c>
      <c r="C79" s="1">
        <v>26.59</v>
      </c>
      <c r="D79" s="4">
        <f t="shared" si="8"/>
        <v>76.599528348688537</v>
      </c>
      <c r="E79" s="1">
        <v>10</v>
      </c>
      <c r="F79" s="4">
        <f t="shared" si="9"/>
        <v>765.99528348688534</v>
      </c>
      <c r="G79" s="1"/>
      <c r="H79" s="1"/>
      <c r="I79" s="1"/>
      <c r="J79" s="4"/>
      <c r="K79" s="4"/>
    </row>
    <row r="80" spans="1:13">
      <c r="A80" s="1" t="s">
        <v>86</v>
      </c>
      <c r="B80" s="1" t="s">
        <v>87</v>
      </c>
      <c r="C80" s="1">
        <v>25.74</v>
      </c>
      <c r="D80" s="4">
        <f t="shared" si="8"/>
        <v>135.12592118922029</v>
      </c>
      <c r="E80" s="1">
        <v>1</v>
      </c>
      <c r="F80" s="4">
        <f t="shared" si="9"/>
        <v>135.12592118922029</v>
      </c>
      <c r="G80" s="4">
        <f>AVERAGE(F80:F82)</f>
        <v>112.52432743956564</v>
      </c>
      <c r="H80" s="1">
        <v>50</v>
      </c>
      <c r="I80" s="1">
        <v>2</v>
      </c>
      <c r="J80" s="4">
        <f t="shared" ref="J80:J83" si="21">(G80*H80)/I80</f>
        <v>2813.108185989141</v>
      </c>
      <c r="K80" s="4">
        <f t="shared" ref="K80:K83" si="22">STDEV(F80:F82)</f>
        <v>20.397678822428215</v>
      </c>
    </row>
    <row r="81" spans="1:11">
      <c r="A81" s="1" t="s">
        <v>86</v>
      </c>
      <c r="B81" s="1" t="s">
        <v>88</v>
      </c>
      <c r="C81" s="1">
        <v>26.09</v>
      </c>
      <c r="D81" s="4">
        <f t="shared" si="8"/>
        <v>106.96297925991914</v>
      </c>
      <c r="E81" s="1">
        <v>1</v>
      </c>
      <c r="F81" s="4">
        <f t="shared" si="9"/>
        <v>106.96297925991914</v>
      </c>
      <c r="G81" s="1"/>
      <c r="H81" s="1"/>
      <c r="I81" s="1"/>
      <c r="J81" s="4"/>
      <c r="K81" s="4"/>
    </row>
    <row r="82" spans="1:11">
      <c r="A82" s="1" t="s">
        <v>86</v>
      </c>
      <c r="B82" s="1" t="s">
        <v>89</v>
      </c>
      <c r="C82" s="1">
        <v>26.26</v>
      </c>
      <c r="D82" s="4">
        <f t="shared" si="8"/>
        <v>95.484081869557485</v>
      </c>
      <c r="E82" s="1">
        <v>1</v>
      </c>
      <c r="F82" s="4">
        <f t="shared" si="9"/>
        <v>95.484081869557485</v>
      </c>
      <c r="G82" s="1"/>
      <c r="H82" s="1"/>
      <c r="I82" s="1"/>
      <c r="J82" s="4"/>
      <c r="K82" s="4"/>
    </row>
    <row r="83" spans="1:11">
      <c r="A83" s="1" t="s">
        <v>86</v>
      </c>
      <c r="B83" s="1" t="s">
        <v>90</v>
      </c>
      <c r="C83" s="1">
        <v>29.91</v>
      </c>
      <c r="D83" s="4">
        <f t="shared" si="8"/>
        <v>8.3440517748875109</v>
      </c>
      <c r="E83" s="1">
        <v>10</v>
      </c>
      <c r="F83" s="4">
        <f t="shared" si="9"/>
        <v>83.440517748875109</v>
      </c>
      <c r="G83" s="4">
        <f>AVERAGE(F83:F85)</f>
        <v>1357.2219049995306</v>
      </c>
      <c r="H83" s="1">
        <v>50</v>
      </c>
      <c r="I83" s="1">
        <v>2</v>
      </c>
      <c r="J83" s="4">
        <f t="shared" si="21"/>
        <v>33930.547624988263</v>
      </c>
      <c r="K83" s="4">
        <f t="shared" si="22"/>
        <v>1973.4467417778567</v>
      </c>
    </row>
    <row r="84" spans="1:11">
      <c r="A84" s="1" t="s">
        <v>86</v>
      </c>
      <c r="B84" s="1" t="s">
        <v>91</v>
      </c>
      <c r="C84" s="1">
        <v>27.73</v>
      </c>
      <c r="D84" s="4">
        <f t="shared" si="8"/>
        <v>35.777437693779369</v>
      </c>
      <c r="E84" s="1">
        <v>10</v>
      </c>
      <c r="F84" s="4">
        <f t="shared" si="9"/>
        <v>357.7743769377937</v>
      </c>
      <c r="G84" s="1"/>
      <c r="H84" s="1"/>
      <c r="I84" s="1"/>
      <c r="J84" s="1"/>
      <c r="K84" s="1"/>
    </row>
    <row r="85" spans="1:11">
      <c r="A85" s="1" t="s">
        <v>86</v>
      </c>
      <c r="B85" s="1" t="s">
        <v>92</v>
      </c>
      <c r="C85" s="1">
        <v>24.26</v>
      </c>
      <c r="D85" s="4">
        <f t="shared" si="8"/>
        <v>363.04508203119229</v>
      </c>
      <c r="E85" s="1">
        <v>10</v>
      </c>
      <c r="F85" s="4">
        <f t="shared" si="9"/>
        <v>3630.4508203119231</v>
      </c>
      <c r="G85" s="1"/>
      <c r="H85" s="1"/>
      <c r="I85" s="1"/>
      <c r="J85" s="1"/>
      <c r="K85" s="1"/>
    </row>
    <row r="86" spans="1:1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6E2C6-B86B-1E4C-B562-06B26D928999}">
  <dimension ref="A1:E16"/>
  <sheetViews>
    <sheetView workbookViewId="0">
      <selection activeCell="C13" sqref="C13"/>
    </sheetView>
  </sheetViews>
  <sheetFormatPr baseColWidth="10" defaultRowHeight="16"/>
  <cols>
    <col min="1" max="1" width="20.85546875" bestFit="1" customWidth="1"/>
    <col min="2" max="2" width="12.28515625" bestFit="1" customWidth="1"/>
    <col min="3" max="3" width="17" bestFit="1" customWidth="1"/>
    <col min="5" max="5" width="15.5703125" bestFit="1" customWidth="1"/>
  </cols>
  <sheetData>
    <row r="1" spans="1:5" ht="19">
      <c r="A1" t="s">
        <v>93</v>
      </c>
      <c r="B1" t="s">
        <v>96</v>
      </c>
      <c r="C1" t="s">
        <v>97</v>
      </c>
      <c r="D1" t="s">
        <v>98</v>
      </c>
      <c r="E1" t="s">
        <v>99</v>
      </c>
    </row>
    <row r="2" spans="1:5">
      <c r="A2" t="s">
        <v>95</v>
      </c>
      <c r="B2" s="6">
        <v>27.33</v>
      </c>
      <c r="C2" s="1">
        <v>168</v>
      </c>
      <c r="D2" s="1">
        <f>6.022*10^23</f>
        <v>6.0219999999999996E+23</v>
      </c>
      <c r="E2" s="4">
        <f>(B2*D2)/(C2*1000000000*660)</f>
        <v>148431872294.37225</v>
      </c>
    </row>
    <row r="3" spans="1:5">
      <c r="A3" t="s">
        <v>94</v>
      </c>
      <c r="B3" s="6">
        <v>30.97</v>
      </c>
      <c r="C3" s="1">
        <v>145</v>
      </c>
      <c r="D3" s="1">
        <f t="shared" ref="D3:D15" si="0">6.022*10^23</f>
        <v>6.0219999999999996E+23</v>
      </c>
      <c r="E3" s="4">
        <f>(B3*D3)/(C3*1000000000*660)</f>
        <v>194881233019.8537</v>
      </c>
    </row>
    <row r="4" spans="1:5">
      <c r="A4" t="s">
        <v>100</v>
      </c>
      <c r="B4" s="6">
        <v>13.45</v>
      </c>
      <c r="C4" s="1">
        <v>168</v>
      </c>
      <c r="D4" s="1">
        <f t="shared" si="0"/>
        <v>6.0219999999999996E+23</v>
      </c>
      <c r="E4" s="4">
        <f>(B4*D4)/(C4*1000000000*660)</f>
        <v>73048250360.750351</v>
      </c>
    </row>
    <row r="5" spans="1:5">
      <c r="A5" t="s">
        <v>110</v>
      </c>
      <c r="B5" s="6">
        <v>8.9</v>
      </c>
      <c r="C5" s="1">
        <v>145</v>
      </c>
      <c r="D5" s="1">
        <f t="shared" si="0"/>
        <v>6.0219999999999996E+23</v>
      </c>
      <c r="E5" s="4">
        <f t="shared" ref="E5:E15" si="1">(B5*D5)/(C5*1000000000*660)</f>
        <v>56003970741.901772</v>
      </c>
    </row>
    <row r="6" spans="1:5">
      <c r="A6" t="s">
        <v>111</v>
      </c>
      <c r="B6" s="6">
        <v>10.85</v>
      </c>
      <c r="C6" s="1">
        <v>145</v>
      </c>
      <c r="D6" s="1">
        <f t="shared" si="0"/>
        <v>6.0219999999999996E+23</v>
      </c>
      <c r="E6" s="4">
        <f t="shared" si="1"/>
        <v>68274503657.262268</v>
      </c>
    </row>
    <row r="7" spans="1:5">
      <c r="A7" t="s">
        <v>112</v>
      </c>
      <c r="B7" s="6">
        <v>15.3</v>
      </c>
      <c r="C7" s="1">
        <v>466</v>
      </c>
      <c r="D7" s="1">
        <f t="shared" si="0"/>
        <v>6.0219999999999996E+23</v>
      </c>
      <c r="E7" s="4">
        <f t="shared" si="1"/>
        <v>29957276628.950451</v>
      </c>
    </row>
    <row r="8" spans="1:5">
      <c r="B8" s="7"/>
      <c r="D8" s="1">
        <f t="shared" si="0"/>
        <v>6.0219999999999996E+23</v>
      </c>
      <c r="E8" s="4" t="e">
        <f t="shared" si="1"/>
        <v>#DIV/0!</v>
      </c>
    </row>
    <row r="9" spans="1:5">
      <c r="B9" s="7"/>
      <c r="D9" s="1">
        <f t="shared" si="0"/>
        <v>6.0219999999999996E+23</v>
      </c>
      <c r="E9" s="4" t="e">
        <f t="shared" si="1"/>
        <v>#DIV/0!</v>
      </c>
    </row>
    <row r="10" spans="1:5">
      <c r="B10" s="7"/>
      <c r="D10" s="1">
        <f t="shared" si="0"/>
        <v>6.0219999999999996E+23</v>
      </c>
      <c r="E10" s="4" t="e">
        <f t="shared" si="1"/>
        <v>#DIV/0!</v>
      </c>
    </row>
    <row r="11" spans="1:5">
      <c r="B11" s="7"/>
      <c r="D11" s="1">
        <f t="shared" si="0"/>
        <v>6.0219999999999996E+23</v>
      </c>
      <c r="E11" s="4" t="e">
        <f t="shared" si="1"/>
        <v>#DIV/0!</v>
      </c>
    </row>
    <row r="12" spans="1:5">
      <c r="B12" s="7"/>
      <c r="D12" s="1">
        <f t="shared" si="0"/>
        <v>6.0219999999999996E+23</v>
      </c>
      <c r="E12" s="4" t="e">
        <f t="shared" si="1"/>
        <v>#DIV/0!</v>
      </c>
    </row>
    <row r="13" spans="1:5">
      <c r="B13" s="7"/>
      <c r="D13" s="1">
        <f t="shared" si="0"/>
        <v>6.0219999999999996E+23</v>
      </c>
      <c r="E13" s="4" t="e">
        <f t="shared" si="1"/>
        <v>#DIV/0!</v>
      </c>
    </row>
    <row r="14" spans="1:5">
      <c r="B14" s="7"/>
      <c r="D14" s="1">
        <f t="shared" si="0"/>
        <v>6.0219999999999996E+23</v>
      </c>
      <c r="E14" s="4" t="e">
        <f t="shared" si="1"/>
        <v>#DIV/0!</v>
      </c>
    </row>
    <row r="15" spans="1:5">
      <c r="B15" s="7"/>
      <c r="D15" s="1">
        <f t="shared" si="0"/>
        <v>6.0219999999999996E+23</v>
      </c>
      <c r="E15" s="4" t="e">
        <f t="shared" si="1"/>
        <v>#DIV/0!</v>
      </c>
    </row>
    <row r="16" spans="1:5">
      <c r="E1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304C0-9AD5-6445-9AE0-FBA666F76415}">
  <dimension ref="A1:D7"/>
  <sheetViews>
    <sheetView workbookViewId="0">
      <selection activeCell="E15" sqref="E15"/>
    </sheetView>
  </sheetViews>
  <sheetFormatPr baseColWidth="10" defaultRowHeight="16"/>
  <sheetData>
    <row r="1" spans="1:4">
      <c r="A1" t="s">
        <v>1</v>
      </c>
      <c r="B1" t="s">
        <v>1</v>
      </c>
      <c r="C1" t="s">
        <v>1</v>
      </c>
      <c r="D1" t="s">
        <v>104</v>
      </c>
    </row>
    <row r="2" spans="1:4">
      <c r="A2" t="s">
        <v>2</v>
      </c>
      <c r="B2" t="s">
        <v>2</v>
      </c>
      <c r="C2" t="s">
        <v>2</v>
      </c>
      <c r="D2" t="s">
        <v>104</v>
      </c>
    </row>
    <row r="3" spans="1:4">
      <c r="A3" t="s">
        <v>3</v>
      </c>
      <c r="B3" t="s">
        <v>3</v>
      </c>
      <c r="C3" t="s">
        <v>3</v>
      </c>
      <c r="D3" t="s">
        <v>102</v>
      </c>
    </row>
    <row r="4" spans="1:4">
      <c r="A4" t="s">
        <v>4</v>
      </c>
      <c r="B4" t="s">
        <v>4</v>
      </c>
      <c r="C4" t="s">
        <v>4</v>
      </c>
      <c r="D4" t="s">
        <v>102</v>
      </c>
    </row>
    <row r="5" spans="1:4">
      <c r="A5" t="s">
        <v>5</v>
      </c>
      <c r="B5" t="s">
        <v>5</v>
      </c>
      <c r="C5" t="s">
        <v>5</v>
      </c>
      <c r="D5" t="s">
        <v>103</v>
      </c>
    </row>
    <row r="6" spans="1:4">
      <c r="A6" t="s">
        <v>6</v>
      </c>
      <c r="B6" t="s">
        <v>6</v>
      </c>
      <c r="C6" t="s">
        <v>6</v>
      </c>
      <c r="D6" t="s">
        <v>103</v>
      </c>
    </row>
    <row r="7" spans="1:4">
      <c r="A7" t="s">
        <v>20</v>
      </c>
      <c r="B7" t="s">
        <v>21</v>
      </c>
      <c r="C7" t="s">
        <v>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Concentration</vt:lpstr>
      <vt:lpstr>Copy number</vt:lpstr>
      <vt:lpstr>Standards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2022-11-18T08:12:39Z</dcterms:created>
  <dcterms:modified xsi:type="dcterms:W3CDTF">2022-12-19T10:33:52Z</dcterms:modified>
</cp:coreProperties>
</file>