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E/Desktop/Proyectos/Asesorías de Excel/Canal de Youtube 🎥/Github/DINÁMICAS DE ZOOM/"/>
    </mc:Choice>
  </mc:AlternateContent>
  <xr:revisionPtr revIDLastSave="0" documentId="13_ncr:1_{46CD2B7F-7282-D940-BCCF-2B8856E08C5F}" xr6:coauthVersionLast="47" xr6:coauthVersionMax="47" xr10:uidLastSave="{00000000-0000-0000-0000-000000000000}"/>
  <bookViews>
    <workbookView xWindow="1860" yWindow="2800" windowWidth="37440" windowHeight="20080" activeTab="5" xr2:uid="{0F228CFB-480D-3049-92BE-3AB9053640BA}"/>
  </bookViews>
  <sheets>
    <sheet name="INFORMACIÓN" sheetId="3" r:id="rId1"/>
    <sheet name="BASE DE DATOS" sheetId="1" r:id="rId2"/>
    <sheet name="BASE DE DATOS REPLICADA" sheetId="4" r:id="rId3"/>
    <sheet name="FILTRO DE INFORMACIÓN" sheetId="2" r:id="rId4"/>
    <sheet name="TABLA DE AMORTIZACIÓN" sheetId="5" state="hidden" r:id="rId5"/>
    <sheet name="ESQUEMA DE PAGOS ANUAL" sheetId="6" r:id="rId6"/>
  </sheets>
  <definedNames>
    <definedName name="AMORTIZACIÓN">'TABLA DE AMORTIZACIÓN'!$F$10</definedName>
    <definedName name="BASE_DE_DATOS">'BASE DE DATOS'!$C$3:$F$20</definedName>
    <definedName name="BASE_DE_DATOS_REPLICADA">'BASE DE DATOS REPLICADA'!$C$3:$I$20</definedName>
    <definedName name="CLIENTE">'BASE DE DATOS'!$C$4:$C$20</definedName>
    <definedName name="CLIENTE_MINI_BASE_DE_DATOS">'TABLA DE AMORTIZACIÓN'!$D$6</definedName>
    <definedName name="FORMA_DE_PAGO">'TABLA DE AMORTIZACIÓN'!$B$4</definedName>
    <definedName name="FORMA_DE_PAGO_TRAÍDA">'FILTRO DE INFORMACIÓN'!$I$14</definedName>
    <definedName name="INVERSIÓN_INICIAL">'BASE DE DATOS'!$G$4:$G$20</definedName>
    <definedName name="MINI_BASE_DE_DATOS">'FILTRO DE INFORMACIÓN'!$C$13:$I$14</definedName>
    <definedName name="Nro_cuotas_por_cancelar">'TABLA DE AMORTIZACIÓN'!$B$7</definedName>
    <definedName name="PERÍODOS_DE_CANCELACIÓN">'TABLA DE AMORTIZACIÓN'!$B$6</definedName>
    <definedName name="PORCENTAJE_APORTACIÓN">INFORMACIÓN!$A$1:$A$49</definedName>
    <definedName name="PORCENTAJE_APORTAR">'BASE DE DATOS'!$F$4:$F$20</definedName>
    <definedName name="PRECIO">'BASE DE DATOS'!$E$4:$E$20</definedName>
    <definedName name="SALDO_PEND._TABLA_AMORTIZACIÓN">'FILTRO DE INFORMACIÓN'!$H$14</definedName>
    <definedName name="SALDO_PENDIENTE">'BASE DE DATOS'!$H$4:$H$20</definedName>
    <definedName name="SALDO_PENDIENTE_REPLICADO">'BASE DE DATOS REPLICADA'!$H$4:$H$20</definedName>
    <definedName name="TASA_INTERÉS">INFORMACIÓN!$B$1:$B$49</definedName>
    <definedName name="TRAER_CLIENTE">'FILTRO DE INFORMACIÓN'!$C$14</definedName>
    <definedName name="VEHÍCULO">'BASE DE DATOS'!$D$4:$D$20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5" l="1"/>
  <c r="B5" i="5"/>
  <c r="H14" i="2"/>
  <c r="B3" i="5" s="1"/>
  <c r="F10" i="5" s="1"/>
  <c r="G14" i="2"/>
  <c r="F14" i="2"/>
  <c r="E14" i="2"/>
  <c r="D14" i="2"/>
  <c r="H8" i="4"/>
  <c r="H10" i="4"/>
  <c r="H11" i="4"/>
  <c r="G5" i="4"/>
  <c r="H5" i="4" s="1"/>
  <c r="G6" i="4"/>
  <c r="H6" i="4" s="1"/>
  <c r="G7" i="4"/>
  <c r="H7" i="4" s="1"/>
  <c r="G8" i="4"/>
  <c r="G9" i="4"/>
  <c r="H9" i="4" s="1"/>
  <c r="G10" i="4"/>
  <c r="G11" i="4"/>
  <c r="G12" i="4"/>
  <c r="H12" i="4" s="1"/>
  <c r="G13" i="4"/>
  <c r="H13" i="4" s="1"/>
  <c r="G14" i="4"/>
  <c r="H14" i="4" s="1"/>
  <c r="G15" i="4"/>
  <c r="H15" i="4" s="1"/>
  <c r="G16" i="4"/>
  <c r="H16" i="4" s="1"/>
  <c r="G17" i="4"/>
  <c r="H17" i="4" s="1"/>
  <c r="G18" i="4"/>
  <c r="H18" i="4" s="1"/>
  <c r="G19" i="4"/>
  <c r="H19" i="4" s="1"/>
  <c r="G20" i="4"/>
  <c r="H20" i="4" s="1"/>
  <c r="G4" i="4"/>
  <c r="H4" i="4" s="1"/>
  <c r="G4" i="1" a="1"/>
  <c r="G4" i="1" s="1"/>
  <c r="H4" i="1" s="1" a="1"/>
  <c r="H4" i="1" s="1"/>
  <c r="F11" i="5" l="1"/>
  <c r="F15" i="5"/>
  <c r="F23" i="5"/>
  <c r="F25" i="5"/>
  <c r="F16" i="5"/>
  <c r="F24" i="5"/>
  <c r="F18" i="5"/>
  <c r="F22" i="5"/>
  <c r="F17" i="5"/>
  <c r="F19" i="5"/>
  <c r="F20" i="5"/>
  <c r="F13" i="5"/>
  <c r="F21" i="5"/>
  <c r="F14" i="5"/>
  <c r="F12" i="5"/>
  <c r="B2" i="6"/>
  <c r="B5" i="6" s="1"/>
  <c r="E10" i="5"/>
  <c r="G10" i="5" s="1"/>
  <c r="H10" i="5" s="1"/>
  <c r="E11" i="5" s="1"/>
  <c r="I4" i="4" a="1"/>
  <c r="E8" i="6" l="1"/>
  <c r="G8" i="6" s="1"/>
  <c r="G11" i="5"/>
  <c r="H11" i="5" s="1"/>
  <c r="E12" i="5" s="1"/>
  <c r="G12" i="5" s="1"/>
  <c r="H12" i="5" s="1"/>
  <c r="E13" i="5" s="1"/>
  <c r="G13" i="5" s="1"/>
  <c r="H13" i="5" s="1"/>
  <c r="E14" i="5" s="1"/>
  <c r="G14" i="5" s="1"/>
  <c r="H14" i="5" s="1"/>
  <c r="E15" i="5" s="1"/>
  <c r="I4" i="4"/>
  <c r="I14" i="2"/>
  <c r="F12" i="6" l="1"/>
  <c r="F9" i="6"/>
  <c r="F11" i="6"/>
  <c r="F8" i="6"/>
  <c r="H8" i="6" s="1"/>
  <c r="E9" i="6" s="1"/>
  <c r="G9" i="6" s="1"/>
  <c r="H9" i="6" s="1"/>
  <c r="E10" i="6" s="1"/>
  <c r="G10" i="6" s="1"/>
  <c r="F13" i="6"/>
  <c r="F10" i="6"/>
  <c r="G15" i="5"/>
  <c r="H15" i="5" s="1"/>
  <c r="E16" i="5" s="1"/>
  <c r="H10" i="6" l="1"/>
  <c r="E11" i="6" s="1"/>
  <c r="G11" i="6" s="1"/>
  <c r="H11" i="6" s="1"/>
  <c r="E12" i="6" s="1"/>
  <c r="G12" i="6" s="1"/>
  <c r="H12" i="6" s="1"/>
  <c r="E13" i="6" s="1"/>
  <c r="G13" i="6" s="1"/>
  <c r="H13" i="6" s="1"/>
  <c r="E14" i="6" s="1"/>
  <c r="G14" i="6" s="1"/>
  <c r="H14" i="6" s="1"/>
  <c r="G16" i="5"/>
  <c r="H16" i="5" s="1"/>
  <c r="E17" i="5" s="1"/>
  <c r="G17" i="5" l="1"/>
  <c r="H17" i="5" s="1"/>
  <c r="E18" i="5" s="1"/>
  <c r="G18" i="5" l="1"/>
  <c r="H18" i="5" s="1"/>
  <c r="E19" i="5"/>
  <c r="G19" i="5" l="1"/>
  <c r="H19" i="5" s="1"/>
  <c r="E20" i="5" s="1"/>
  <c r="G20" i="5" l="1"/>
  <c r="H20" i="5" s="1"/>
  <c r="E21" i="5" s="1"/>
  <c r="G21" i="5" l="1"/>
  <c r="H21" i="5" s="1"/>
  <c r="E22" i="5" s="1"/>
  <c r="G22" i="5" l="1"/>
  <c r="H22" i="5" s="1"/>
  <c r="E23" i="5" s="1"/>
  <c r="G23" i="5" l="1"/>
  <c r="H23" i="5" s="1"/>
  <c r="E24" i="5" s="1"/>
  <c r="G24" i="5" l="1"/>
  <c r="H24" i="5" s="1"/>
  <c r="E25" i="5" s="1"/>
  <c r="G25" i="5" s="1"/>
  <c r="H25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<sst xmlns="http://schemas.openxmlformats.org/spreadsheetml/2006/main" count="120" uniqueCount="50">
  <si>
    <t>JUAN</t>
  </si>
  <si>
    <t>PEDRO</t>
  </si>
  <si>
    <t>ANDRÉS</t>
  </si>
  <si>
    <t>ADRIÁN</t>
  </si>
  <si>
    <t>ALEJANDRO</t>
  </si>
  <si>
    <t>ALEXANDER</t>
  </si>
  <si>
    <t xml:space="preserve">FERNANDO </t>
  </si>
  <si>
    <t>GERARDO</t>
  </si>
  <si>
    <t>FRANCISCO</t>
  </si>
  <si>
    <t>GERMÁN</t>
  </si>
  <si>
    <t>BATISTINA</t>
  </si>
  <si>
    <t>JOSÉ</t>
  </si>
  <si>
    <t>AIXA</t>
  </si>
  <si>
    <t>JAIME</t>
  </si>
  <si>
    <t>MAR</t>
  </si>
  <si>
    <t>VEHÍCULO</t>
  </si>
  <si>
    <t>TOYOTA</t>
  </si>
  <si>
    <t>FORD</t>
  </si>
  <si>
    <t>LEXUS</t>
  </si>
  <si>
    <t>LINCOLN</t>
  </si>
  <si>
    <t>MERCURY</t>
  </si>
  <si>
    <t>HYUNDAI</t>
  </si>
  <si>
    <t>CHEVROLET</t>
  </si>
  <si>
    <t>PRECIO</t>
  </si>
  <si>
    <t>CLIENTE</t>
  </si>
  <si>
    <t>---------------</t>
  </si>
  <si>
    <t>PORCENTAJE APORTAR</t>
  </si>
  <si>
    <t>INVERSIÓN INICIAL</t>
  </si>
  <si>
    <t>SALDO PENDIENTE</t>
  </si>
  <si>
    <t>-------------</t>
  </si>
  <si>
    <t>FORMA DE PAGO</t>
  </si>
  <si>
    <t>TABLA DE AMORTIZACIÓN</t>
  </si>
  <si>
    <t>TASA DE INTERÉS</t>
  </si>
  <si>
    <t>SALDO ADEUDADO</t>
  </si>
  <si>
    <t>Mensual</t>
  </si>
  <si>
    <t>Trimestral</t>
  </si>
  <si>
    <t>Semestral</t>
  </si>
  <si>
    <t>Anual</t>
  </si>
  <si>
    <t>FORMA DE PAGO PERÍODICA</t>
  </si>
  <si>
    <t>TASA DE INTERÉS PERIÓDICA</t>
  </si>
  <si>
    <t>PERÍODOS DE CANCELACIÓN (En años)</t>
  </si>
  <si>
    <t>Nro cuotas por cancelar</t>
  </si>
  <si>
    <t>Cuota Nro°</t>
  </si>
  <si>
    <t>Intereses</t>
  </si>
  <si>
    <t>Ppal pcipio de año</t>
  </si>
  <si>
    <t>Amortización</t>
  </si>
  <si>
    <t>Principal rest.</t>
  </si>
  <si>
    <t>Principal restante</t>
  </si>
  <si>
    <t>VIDA DE LA OPERACIÓN FINANCIERA</t>
  </si>
  <si>
    <t>PAGO 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</si>
</sst>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%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26"/>
      <color theme="1"/>
      <name val="Arial"/>
      <family val="2"/>
    </font>
    <font>
      <sz val="26"/>
      <color theme="1"/>
      <name val="Arial"/>
      <family val="2"/>
    </font>
    <font>
      <b/>
      <sz val="18"/>
      <color theme="1"/>
      <name val="Arial"/>
      <family val="2"/>
    </font>
    <font>
      <sz val="18"/>
      <color theme="1"/>
      <name val="Arial"/>
      <family val="2"/>
    </font>
    <font>
      <sz val="20"/>
      <color theme="1"/>
      <name val="Arial"/>
      <family val="2"/>
    </font>
    <font>
      <b/>
      <sz val="2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2">
    <xf numFmtId="0" fontId="0" fillId="0" borderId="0" xfId="0"/>
    <xf numFmtId="9" fontId="0" fillId="0" borderId="0" xfId="2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/>
    <xf numFmtId="43" fontId="2" fillId="0" borderId="1" xfId="1" applyFont="1" applyBorder="1"/>
    <xf numFmtId="43" fontId="2" fillId="0" borderId="1" xfId="1" applyFont="1" applyBorder="1" applyAlignment="1">
      <alignment horizontal="left"/>
    </xf>
    <xf numFmtId="10" fontId="2" fillId="0" borderId="1" xfId="2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43" fontId="2" fillId="0" borderId="1" xfId="1" applyFont="1" applyBorder="1" applyAlignment="1">
      <alignment horizontal="right"/>
    </xf>
    <xf numFmtId="0" fontId="0" fillId="0" borderId="0" xfId="0" applyAlignment="1">
      <alignment horizontal="right"/>
    </xf>
    <xf numFmtId="0" fontId="5" fillId="0" borderId="1" xfId="0" applyFont="1" applyBorder="1" applyAlignment="1">
      <alignment horizontal="center" vertical="center"/>
    </xf>
    <xf numFmtId="43" fontId="5" fillId="0" borderId="1" xfId="1" applyFont="1" applyBorder="1" applyAlignment="1">
      <alignment horizontal="left" vertical="center"/>
    </xf>
    <xf numFmtId="10" fontId="5" fillId="0" borderId="1" xfId="2" applyNumberFormat="1" applyFont="1" applyBorder="1" applyAlignment="1">
      <alignment horizontal="center" vertical="center"/>
    </xf>
    <xf numFmtId="43" fontId="5" fillId="0" borderId="1" xfId="1" applyFont="1" applyBorder="1" applyAlignment="1">
      <alignment horizontal="center" vertical="center"/>
    </xf>
    <xf numFmtId="0" fontId="6" fillId="0" borderId="1" xfId="0" applyFont="1" applyBorder="1"/>
    <xf numFmtId="43" fontId="0" fillId="0" borderId="0" xfId="0" applyNumberFormat="1"/>
    <xf numFmtId="10" fontId="7" fillId="0" borderId="1" xfId="2" applyNumberFormat="1" applyFont="1" applyBorder="1" applyAlignment="1">
      <alignment horizontal="left" indent="24"/>
    </xf>
    <xf numFmtId="43" fontId="7" fillId="0" borderId="1" xfId="1" applyFont="1" applyBorder="1" applyAlignment="1">
      <alignment horizontal="left" indent="24"/>
    </xf>
    <xf numFmtId="0" fontId="7" fillId="0" borderId="1" xfId="0" applyFont="1" applyBorder="1" applyAlignment="1">
      <alignment horizontal="left" indent="24"/>
    </xf>
    <xf numFmtId="164" fontId="7" fillId="0" borderId="1" xfId="2" applyNumberFormat="1" applyFont="1" applyBorder="1" applyAlignment="1">
      <alignment horizontal="left" indent="24"/>
    </xf>
    <xf numFmtId="43" fontId="8" fillId="0" borderId="1" xfId="1" applyFont="1" applyBorder="1"/>
    <xf numFmtId="43" fontId="8" fillId="0" borderId="1" xfId="0" applyNumberFormat="1" applyFont="1" applyBorder="1"/>
    <xf numFmtId="43" fontId="8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6" fillId="4" borderId="1" xfId="0" applyFont="1" applyFill="1" applyBorder="1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right"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right"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right" vertical="center" wrapText="1"/>
    </xf>
    <xf numFmtId="43" fontId="8" fillId="2" borderId="1" xfId="1" applyFont="1" applyFill="1" applyBorder="1"/>
    <xf numFmtId="10" fontId="8" fillId="2" borderId="1" xfId="2" applyNumberFormat="1" applyFont="1" applyFill="1" applyBorder="1"/>
    <xf numFmtId="0" fontId="8" fillId="2" borderId="1" xfId="0" applyFont="1" applyFill="1" applyBorder="1"/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'ESQUEMA DE PAGOS ANUAL'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'BASE DE DATOS'!A1"/><Relationship Id="rId1" Type="http://schemas.openxmlformats.org/officeDocument/2006/relationships/hyperlink" Target="#'FILTRO DE INFORMACI&#211;N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1092200</xdr:colOff>
      <xdr:row>17</xdr:row>
      <xdr:rowOff>177800</xdr:rowOff>
    </xdr:from>
    <xdr:to>
      <xdr:col>5</xdr:col>
      <xdr:colOff>2425700</xdr:colOff>
      <xdr:row>25</xdr:row>
      <xdr:rowOff>63500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E1AE88-CC8F-7A7D-0362-74A51B9857D8}"/>
            </a:ext>
          </a:extLst>
        </xdr:cNvPr>
        <xdr:cNvSpPr/>
      </xdr:nvSpPr>
      <xdr:spPr>
        <a:xfrm>
          <a:off x="5727700" y="4775200"/>
          <a:ext cx="5753100" cy="15113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002">
          <a:schemeClr val="l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6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IR</a:t>
          </a:r>
          <a:r>
            <a:rPr lang="en-US" sz="36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A TABLA DE AMORTIZACIÓN</a:t>
          </a:r>
          <a:endParaRPr lang="en-US" sz="36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1066800</xdr:colOff>
      <xdr:row>6</xdr:row>
      <xdr:rowOff>279400</xdr:rowOff>
    </xdr:from>
    <xdr:to>
      <xdr:col>1</xdr:col>
      <xdr:colOff>1397000</xdr:colOff>
      <xdr:row>11</xdr:row>
      <xdr:rowOff>304800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4ADB85-F8B8-4A7E-600B-2D4576B81086}"/>
            </a:ext>
          </a:extLst>
        </xdr:cNvPr>
        <xdr:cNvSpPr/>
      </xdr:nvSpPr>
      <xdr:spPr>
        <a:xfrm>
          <a:off x="1066800" y="2095500"/>
          <a:ext cx="5524500" cy="16129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001">
          <a:schemeClr val="l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6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IR A FILTRO DE INFORMACIÓN</a:t>
          </a:r>
        </a:p>
      </xdr:txBody>
    </xdr:sp>
    <xdr:clientData/>
  </xdr:twoCellAnchor>
  <xdr:twoCellAnchor>
    <xdr:from>
      <xdr:col>0</xdr:col>
      <xdr:colOff>1041400</xdr:colOff>
      <xdr:row>12</xdr:row>
      <xdr:rowOff>304800</xdr:rowOff>
    </xdr:from>
    <xdr:to>
      <xdr:col>1</xdr:col>
      <xdr:colOff>1320800</xdr:colOff>
      <xdr:row>18</xdr:row>
      <xdr:rowOff>25400</xdr:rowOff>
    </xdr:to>
    <xdr:sp macro="" textlink="">
      <xdr:nvSpPr>
        <xdr:cNvPr id="3" name="Rectangl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E32BD32-F794-E744-BB49-879093ABDA91}"/>
            </a:ext>
          </a:extLst>
        </xdr:cNvPr>
        <xdr:cNvSpPr/>
      </xdr:nvSpPr>
      <xdr:spPr>
        <a:xfrm>
          <a:off x="1041400" y="4025900"/>
          <a:ext cx="5473700" cy="16256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001">
          <a:schemeClr val="l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6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IR A BASE DE DATOS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8D243-A873-A447-A69D-4A7F34B8D3F3}">
  <sheetPr>
    <tabColor rgb="FFFFFF00"/>
  </sheetPr>
  <dimension ref="A1:D49"/>
  <sheetViews>
    <sheetView workbookViewId="0">
      <selection activeCell="J37" sqref="J37"/>
    </sheetView>
  </sheetViews>
  <sheetFormatPr baseColWidth="10" defaultRowHeight="16" x14ac:dyDescent="0.2"/>
  <cols>
    <col min="3" max="4" width="0" hidden="1" customWidth="1"/>
  </cols>
  <sheetData>
    <row r="1" spans="1:4" x14ac:dyDescent="0.2">
      <c r="A1" s="2" t="s">
        <v>25</v>
      </c>
      <c r="B1" s="2" t="s">
        <v>29</v>
      </c>
      <c r="C1" s="2" t="s">
        <v>29</v>
      </c>
      <c r="D1" s="2" t="s">
        <v>29</v>
      </c>
    </row>
    <row r="2" spans="1:4" x14ac:dyDescent="0.2">
      <c r="A2" s="1">
        <v>0.01</v>
      </c>
      <c r="B2" s="1">
        <v>0.01</v>
      </c>
      <c r="C2" t="s">
        <v>34</v>
      </c>
      <c r="D2">
        <v>10</v>
      </c>
    </row>
    <row r="3" spans="1:4" x14ac:dyDescent="0.2">
      <c r="A3" s="1">
        <v>0.02</v>
      </c>
      <c r="B3" s="1">
        <v>0.02</v>
      </c>
      <c r="C3" t="s">
        <v>35</v>
      </c>
      <c r="D3">
        <v>15</v>
      </c>
    </row>
    <row r="4" spans="1:4" x14ac:dyDescent="0.2">
      <c r="A4" s="1">
        <v>0.03</v>
      </c>
      <c r="B4" s="1">
        <v>0.03</v>
      </c>
      <c r="C4" t="s">
        <v>36</v>
      </c>
      <c r="D4">
        <v>20</v>
      </c>
    </row>
    <row r="5" spans="1:4" x14ac:dyDescent="0.2">
      <c r="A5" s="1">
        <v>0.04</v>
      </c>
      <c r="B5" s="1">
        <v>0.04</v>
      </c>
      <c r="C5" t="s">
        <v>37</v>
      </c>
      <c r="D5">
        <v>25</v>
      </c>
    </row>
    <row r="6" spans="1:4" x14ac:dyDescent="0.2">
      <c r="A6" s="1">
        <v>0.05</v>
      </c>
      <c r="B6" s="1">
        <v>0.05</v>
      </c>
      <c r="D6">
        <v>30</v>
      </c>
    </row>
    <row r="7" spans="1:4" x14ac:dyDescent="0.2">
      <c r="A7" s="1">
        <v>0.06</v>
      </c>
      <c r="B7" s="1">
        <v>0.06</v>
      </c>
    </row>
    <row r="8" spans="1:4" x14ac:dyDescent="0.2">
      <c r="A8" s="1">
        <v>7.0000000000000007E-2</v>
      </c>
      <c r="B8" s="1">
        <v>7.0000000000000007E-2</v>
      </c>
    </row>
    <row r="9" spans="1:4" x14ac:dyDescent="0.2">
      <c r="A9" s="1">
        <v>0.08</v>
      </c>
      <c r="B9" s="1">
        <v>0.08</v>
      </c>
    </row>
    <row r="10" spans="1:4" x14ac:dyDescent="0.2">
      <c r="A10" s="1">
        <v>0.09</v>
      </c>
      <c r="B10" s="1">
        <v>0.09</v>
      </c>
    </row>
    <row r="11" spans="1:4" x14ac:dyDescent="0.2">
      <c r="A11" s="1">
        <v>0.1</v>
      </c>
      <c r="B11" s="1">
        <v>0.1</v>
      </c>
    </row>
    <row r="12" spans="1:4" x14ac:dyDescent="0.2">
      <c r="A12" s="1">
        <v>0.11</v>
      </c>
      <c r="B12" s="1">
        <v>0.11</v>
      </c>
    </row>
    <row r="13" spans="1:4" x14ac:dyDescent="0.2">
      <c r="A13" s="1">
        <v>0.12</v>
      </c>
      <c r="B13" s="1">
        <v>0.12</v>
      </c>
    </row>
    <row r="14" spans="1:4" x14ac:dyDescent="0.2">
      <c r="A14" s="1">
        <v>0.13</v>
      </c>
      <c r="B14" s="1">
        <v>0.13</v>
      </c>
    </row>
    <row r="15" spans="1:4" x14ac:dyDescent="0.2">
      <c r="A15" s="1">
        <v>0.14000000000000001</v>
      </c>
      <c r="B15" s="1">
        <v>0.14000000000000001</v>
      </c>
    </row>
    <row r="16" spans="1:4" x14ac:dyDescent="0.2">
      <c r="A16" s="1">
        <v>0.15</v>
      </c>
      <c r="B16" s="1">
        <v>0.15</v>
      </c>
    </row>
    <row r="17" spans="1:2" x14ac:dyDescent="0.2">
      <c r="A17" s="1">
        <v>0.16</v>
      </c>
      <c r="B17" s="1">
        <v>0.16</v>
      </c>
    </row>
    <row r="18" spans="1:2" x14ac:dyDescent="0.2">
      <c r="A18" s="1">
        <v>0.17</v>
      </c>
      <c r="B18" s="1">
        <v>0.17</v>
      </c>
    </row>
    <row r="19" spans="1:2" x14ac:dyDescent="0.2">
      <c r="A19" s="1">
        <v>0.18</v>
      </c>
      <c r="B19" s="1">
        <v>0.18</v>
      </c>
    </row>
    <row r="20" spans="1:2" x14ac:dyDescent="0.2">
      <c r="A20" s="1">
        <v>0.19</v>
      </c>
      <c r="B20" s="1">
        <v>0.19</v>
      </c>
    </row>
    <row r="21" spans="1:2" x14ac:dyDescent="0.2">
      <c r="A21" s="1">
        <v>0.2</v>
      </c>
      <c r="B21" s="1">
        <v>0.2</v>
      </c>
    </row>
    <row r="22" spans="1:2" x14ac:dyDescent="0.2">
      <c r="A22" s="1">
        <v>0.21</v>
      </c>
      <c r="B22" s="1">
        <v>0.21</v>
      </c>
    </row>
    <row r="23" spans="1:2" x14ac:dyDescent="0.2">
      <c r="A23" s="1">
        <v>0.22</v>
      </c>
      <c r="B23" s="1">
        <v>0.22</v>
      </c>
    </row>
    <row r="24" spans="1:2" x14ac:dyDescent="0.2">
      <c r="A24" s="1">
        <v>0.23</v>
      </c>
      <c r="B24" s="1">
        <v>0.23</v>
      </c>
    </row>
    <row r="25" spans="1:2" x14ac:dyDescent="0.2">
      <c r="A25" s="1">
        <v>0.24</v>
      </c>
      <c r="B25" s="1">
        <v>0.24</v>
      </c>
    </row>
    <row r="26" spans="1:2" x14ac:dyDescent="0.2">
      <c r="A26" s="1">
        <v>0.25</v>
      </c>
      <c r="B26" s="1">
        <v>0.25</v>
      </c>
    </row>
    <row r="27" spans="1:2" x14ac:dyDescent="0.2">
      <c r="A27" s="1">
        <v>0.26</v>
      </c>
      <c r="B27" s="1">
        <v>0.26</v>
      </c>
    </row>
    <row r="28" spans="1:2" x14ac:dyDescent="0.2">
      <c r="A28" s="1">
        <v>0.27</v>
      </c>
      <c r="B28" s="1">
        <v>0.27</v>
      </c>
    </row>
    <row r="29" spans="1:2" x14ac:dyDescent="0.2">
      <c r="A29" s="1">
        <v>0.28000000000000003</v>
      </c>
      <c r="B29" s="1">
        <v>0.28000000000000003</v>
      </c>
    </row>
    <row r="30" spans="1:2" x14ac:dyDescent="0.2">
      <c r="A30" s="1">
        <v>0.28999999999999998</v>
      </c>
      <c r="B30" s="1">
        <v>0.28999999999999998</v>
      </c>
    </row>
    <row r="31" spans="1:2" x14ac:dyDescent="0.2">
      <c r="A31" s="1">
        <v>0.3</v>
      </c>
      <c r="B31" s="1">
        <v>0.3</v>
      </c>
    </row>
    <row r="32" spans="1:2" x14ac:dyDescent="0.2">
      <c r="A32" s="1">
        <v>0.31</v>
      </c>
      <c r="B32" s="1">
        <v>0.31</v>
      </c>
    </row>
    <row r="33" spans="1:2" x14ac:dyDescent="0.2">
      <c r="A33" s="1">
        <v>0.32</v>
      </c>
      <c r="B33" s="1">
        <v>0.32</v>
      </c>
    </row>
    <row r="34" spans="1:2" x14ac:dyDescent="0.2">
      <c r="A34" s="1">
        <v>0.33</v>
      </c>
      <c r="B34" s="1">
        <v>0.33</v>
      </c>
    </row>
    <row r="35" spans="1:2" x14ac:dyDescent="0.2">
      <c r="A35" s="1">
        <v>0.34</v>
      </c>
      <c r="B35" s="1">
        <v>0.34</v>
      </c>
    </row>
    <row r="36" spans="1:2" x14ac:dyDescent="0.2">
      <c r="A36" s="1">
        <v>0.35</v>
      </c>
      <c r="B36" s="1">
        <v>0.35</v>
      </c>
    </row>
    <row r="37" spans="1:2" x14ac:dyDescent="0.2">
      <c r="A37" s="1">
        <v>0.36</v>
      </c>
      <c r="B37" s="1">
        <v>0.36</v>
      </c>
    </row>
    <row r="38" spans="1:2" x14ac:dyDescent="0.2">
      <c r="A38" s="1">
        <v>0.37</v>
      </c>
      <c r="B38" s="1">
        <v>0.37</v>
      </c>
    </row>
    <row r="39" spans="1:2" x14ac:dyDescent="0.2">
      <c r="A39" s="1">
        <v>0.38</v>
      </c>
      <c r="B39" s="1">
        <v>0.38</v>
      </c>
    </row>
    <row r="40" spans="1:2" x14ac:dyDescent="0.2">
      <c r="A40" s="1">
        <v>0.39</v>
      </c>
      <c r="B40" s="1">
        <v>0.39</v>
      </c>
    </row>
    <row r="41" spans="1:2" x14ac:dyDescent="0.2">
      <c r="A41" s="1">
        <v>0.4</v>
      </c>
      <c r="B41" s="1">
        <v>0.4</v>
      </c>
    </row>
    <row r="42" spans="1:2" x14ac:dyDescent="0.2">
      <c r="A42" s="1">
        <v>0.41</v>
      </c>
      <c r="B42" s="1">
        <v>0.41</v>
      </c>
    </row>
    <row r="43" spans="1:2" x14ac:dyDescent="0.2">
      <c r="A43" s="1">
        <v>0.42</v>
      </c>
      <c r="B43" s="1">
        <v>0.42</v>
      </c>
    </row>
    <row r="44" spans="1:2" x14ac:dyDescent="0.2">
      <c r="A44" s="1">
        <v>0.43</v>
      </c>
      <c r="B44" s="1">
        <v>0.43</v>
      </c>
    </row>
    <row r="45" spans="1:2" x14ac:dyDescent="0.2">
      <c r="A45" s="1">
        <v>0.44</v>
      </c>
      <c r="B45" s="1">
        <v>0.44</v>
      </c>
    </row>
    <row r="46" spans="1:2" x14ac:dyDescent="0.2">
      <c r="A46" s="1">
        <v>0.45</v>
      </c>
      <c r="B46" s="1">
        <v>0.45</v>
      </c>
    </row>
    <row r="47" spans="1:2" x14ac:dyDescent="0.2">
      <c r="A47" s="1">
        <v>0.46</v>
      </c>
      <c r="B47" s="1">
        <v>0.46</v>
      </c>
    </row>
    <row r="48" spans="1:2" x14ac:dyDescent="0.2">
      <c r="A48" s="1">
        <v>0.47</v>
      </c>
      <c r="B48" s="1">
        <v>0.47</v>
      </c>
    </row>
    <row r="49" spans="1:2" x14ac:dyDescent="0.2">
      <c r="A49" s="1">
        <v>0.48</v>
      </c>
      <c r="B49" s="1">
        <v>0.48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569E8-DEA4-3F40-888B-CB0427515314}">
  <sheetPr>
    <tabColor rgb="FFFFFF00"/>
  </sheetPr>
  <dimension ref="C3:H20"/>
  <sheetViews>
    <sheetView workbookViewId="0"/>
  </sheetViews>
  <sheetFormatPr baseColWidth="10" defaultRowHeight="16" x14ac:dyDescent="0.2"/>
  <cols>
    <col min="3" max="3" width="18.1640625" customWidth="1"/>
    <col min="4" max="4" width="17.83203125" customWidth="1"/>
    <col min="5" max="5" width="17.1640625" customWidth="1"/>
    <col min="6" max="6" width="32.83203125" customWidth="1"/>
    <col min="7" max="7" width="23" customWidth="1"/>
    <col min="8" max="8" width="21.6640625" customWidth="1"/>
  </cols>
  <sheetData>
    <row r="3" spans="3:8" s="5" customFormat="1" x14ac:dyDescent="0.2">
      <c r="C3" s="29" t="s">
        <v>24</v>
      </c>
      <c r="D3" s="29" t="s">
        <v>15</v>
      </c>
      <c r="E3" s="30" t="s">
        <v>23</v>
      </c>
      <c r="F3" s="29" t="s">
        <v>26</v>
      </c>
      <c r="G3" s="29" t="s">
        <v>27</v>
      </c>
      <c r="H3" s="29" t="s">
        <v>28</v>
      </c>
    </row>
    <row r="4" spans="3:8" x14ac:dyDescent="0.2">
      <c r="C4" s="6" t="s">
        <v>2</v>
      </c>
      <c r="D4" s="6" t="s">
        <v>16</v>
      </c>
      <c r="E4" s="7">
        <v>24063</v>
      </c>
      <c r="F4" s="9">
        <v>0.03</v>
      </c>
      <c r="G4" s="7" cm="1">
        <f t="array" ref="G4:G20">PRECIO*PORCENTAJE_APORTAR</f>
        <v>721.89</v>
      </c>
      <c r="H4" s="7" cm="1">
        <f t="array" ref="H4:H20">PRECIO-INVERSIÓN_INICIAL</f>
        <v>23341.11</v>
      </c>
    </row>
    <row r="5" spans="3:8" x14ac:dyDescent="0.2">
      <c r="C5" s="6" t="s">
        <v>0</v>
      </c>
      <c r="D5" s="6" t="s">
        <v>17</v>
      </c>
      <c r="E5" s="7">
        <v>11741</v>
      </c>
      <c r="F5" s="9">
        <v>0.08</v>
      </c>
      <c r="G5" s="7">
        <v>939.28</v>
      </c>
      <c r="H5" s="7">
        <v>10801.72</v>
      </c>
    </row>
    <row r="6" spans="3:8" x14ac:dyDescent="0.2">
      <c r="C6" s="6" t="s">
        <v>1</v>
      </c>
      <c r="D6" s="6" t="s">
        <v>18</v>
      </c>
      <c r="E6" s="7">
        <v>7363</v>
      </c>
      <c r="F6" s="9">
        <v>0.06</v>
      </c>
      <c r="G6" s="7">
        <v>441.78</v>
      </c>
      <c r="H6" s="7">
        <v>6921.22</v>
      </c>
    </row>
    <row r="7" spans="3:8" x14ac:dyDescent="0.2">
      <c r="C7" s="6" t="s">
        <v>3</v>
      </c>
      <c r="D7" s="6" t="s">
        <v>19</v>
      </c>
      <c r="E7" s="7">
        <v>18571</v>
      </c>
      <c r="F7" s="9">
        <v>0.06</v>
      </c>
      <c r="G7" s="7">
        <v>1114.26</v>
      </c>
      <c r="H7" s="7">
        <v>17456.740000000002</v>
      </c>
    </row>
    <row r="8" spans="3:8" x14ac:dyDescent="0.2">
      <c r="C8" s="6" t="s">
        <v>4</v>
      </c>
      <c r="D8" s="6" t="s">
        <v>16</v>
      </c>
      <c r="E8" s="7">
        <v>9665</v>
      </c>
      <c r="F8" s="9">
        <v>0.08</v>
      </c>
      <c r="G8" s="7">
        <v>773.2</v>
      </c>
      <c r="H8" s="7">
        <v>8891.7999999999993</v>
      </c>
    </row>
    <row r="9" spans="3:8" x14ac:dyDescent="0.2">
      <c r="C9" s="6" t="s">
        <v>5</v>
      </c>
      <c r="D9" s="6" t="s">
        <v>16</v>
      </c>
      <c r="E9" s="7">
        <v>7473</v>
      </c>
      <c r="F9" s="9">
        <v>0.09</v>
      </c>
      <c r="G9" s="7">
        <v>672.56999999999994</v>
      </c>
      <c r="H9" s="7">
        <v>6800.43</v>
      </c>
    </row>
    <row r="10" spans="3:8" x14ac:dyDescent="0.2">
      <c r="C10" s="6" t="s">
        <v>6</v>
      </c>
      <c r="D10" s="6" t="s">
        <v>17</v>
      </c>
      <c r="E10" s="7">
        <v>4534</v>
      </c>
      <c r="F10" s="9">
        <v>0.08</v>
      </c>
      <c r="G10" s="7">
        <v>362.72</v>
      </c>
      <c r="H10" s="7">
        <v>4171.28</v>
      </c>
    </row>
    <row r="11" spans="3:8" x14ac:dyDescent="0.2">
      <c r="C11" s="6" t="s">
        <v>7</v>
      </c>
      <c r="D11" s="6" t="s">
        <v>17</v>
      </c>
      <c r="E11" s="7">
        <v>22740</v>
      </c>
      <c r="F11" s="9">
        <v>0.1</v>
      </c>
      <c r="G11" s="7">
        <v>2274</v>
      </c>
      <c r="H11" s="7">
        <v>20466</v>
      </c>
    </row>
    <row r="12" spans="3:8" x14ac:dyDescent="0.2">
      <c r="C12" s="6" t="s">
        <v>8</v>
      </c>
      <c r="D12" s="6" t="s">
        <v>18</v>
      </c>
      <c r="E12" s="7">
        <v>6913</v>
      </c>
      <c r="F12" s="9">
        <v>0.09</v>
      </c>
      <c r="G12" s="7">
        <v>622.16999999999996</v>
      </c>
      <c r="H12" s="7">
        <v>6290.83</v>
      </c>
    </row>
    <row r="13" spans="3:8" x14ac:dyDescent="0.2">
      <c r="C13" s="6" t="s">
        <v>2</v>
      </c>
      <c r="D13" s="6" t="s">
        <v>18</v>
      </c>
      <c r="E13" s="7">
        <v>3372</v>
      </c>
      <c r="F13" s="9">
        <v>7.0000000000000007E-2</v>
      </c>
      <c r="G13" s="7">
        <v>236.04000000000002</v>
      </c>
      <c r="H13" s="7">
        <v>3135.96</v>
      </c>
    </row>
    <row r="14" spans="3:8" x14ac:dyDescent="0.2">
      <c r="C14" s="6" t="s">
        <v>9</v>
      </c>
      <c r="D14" s="6" t="s">
        <v>17</v>
      </c>
      <c r="E14" s="7">
        <v>17006</v>
      </c>
      <c r="F14" s="9">
        <v>7.0000000000000007E-2</v>
      </c>
      <c r="G14" s="7">
        <v>1190.42</v>
      </c>
      <c r="H14" s="7">
        <v>15815.58</v>
      </c>
    </row>
    <row r="15" spans="3:8" x14ac:dyDescent="0.2">
      <c r="C15" s="6" t="s">
        <v>10</v>
      </c>
      <c r="D15" s="6" t="s">
        <v>16</v>
      </c>
      <c r="E15" s="7">
        <v>24917</v>
      </c>
      <c r="F15" s="9">
        <v>0.02</v>
      </c>
      <c r="G15" s="7">
        <v>498.34000000000003</v>
      </c>
      <c r="H15" s="7">
        <v>24418.66</v>
      </c>
    </row>
    <row r="16" spans="3:8" x14ac:dyDescent="0.2">
      <c r="C16" s="6" t="s">
        <v>6</v>
      </c>
      <c r="D16" s="6" t="s">
        <v>16</v>
      </c>
      <c r="E16" s="7">
        <v>7019</v>
      </c>
      <c r="F16" s="9">
        <v>0.02</v>
      </c>
      <c r="G16" s="7">
        <v>140.38</v>
      </c>
      <c r="H16" s="7">
        <v>6878.62</v>
      </c>
    </row>
    <row r="17" spans="3:8" x14ac:dyDescent="0.2">
      <c r="C17" s="6" t="s">
        <v>11</v>
      </c>
      <c r="D17" s="6" t="s">
        <v>20</v>
      </c>
      <c r="E17" s="7">
        <v>16757</v>
      </c>
      <c r="F17" s="9">
        <v>0.04</v>
      </c>
      <c r="G17" s="7">
        <v>670.28</v>
      </c>
      <c r="H17" s="7">
        <v>16086.72</v>
      </c>
    </row>
    <row r="18" spans="3:8" x14ac:dyDescent="0.2">
      <c r="C18" s="6" t="s">
        <v>12</v>
      </c>
      <c r="D18" s="6" t="s">
        <v>21</v>
      </c>
      <c r="E18" s="7">
        <v>20377</v>
      </c>
      <c r="F18" s="9">
        <v>0.1</v>
      </c>
      <c r="G18" s="7">
        <v>2037.7</v>
      </c>
      <c r="H18" s="7">
        <v>18339.3</v>
      </c>
    </row>
    <row r="19" spans="3:8" x14ac:dyDescent="0.2">
      <c r="C19" s="6" t="s">
        <v>13</v>
      </c>
      <c r="D19" s="6" t="s">
        <v>22</v>
      </c>
      <c r="E19" s="7">
        <v>13130</v>
      </c>
      <c r="F19" s="9">
        <v>0.25</v>
      </c>
      <c r="G19" s="7">
        <v>3282.5</v>
      </c>
      <c r="H19" s="7">
        <v>9847.5</v>
      </c>
    </row>
    <row r="20" spans="3:8" x14ac:dyDescent="0.2">
      <c r="C20" s="6" t="s">
        <v>14</v>
      </c>
      <c r="D20" s="6" t="s">
        <v>22</v>
      </c>
      <c r="E20" s="7">
        <v>8332</v>
      </c>
      <c r="F20" s="9">
        <v>0.39</v>
      </c>
      <c r="G20" s="7">
        <v>3249.48</v>
      </c>
      <c r="H20" s="7">
        <v>5082.5200000000004</v>
      </c>
    </row>
  </sheetData>
  <sortState xmlns:xlrd2="http://schemas.microsoft.com/office/spreadsheetml/2017/richdata2" ref="I24:I27">
    <sortCondition ref="I24:I27"/>
  </sortState>
  <dataValidations count="1">
    <dataValidation type="list" allowBlank="1" showInputMessage="1" showErrorMessage="1" sqref="F4:F20" xr:uid="{3EB8FB64-64D8-8C4B-B0C1-C1AD1F1B52B1}">
      <formula1>PORCENTAJE_APORTACIÓN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47907-8396-1D47-A714-8D8DD61D97C5}">
  <sheetPr>
    <tabColor theme="4" tint="0.39997558519241921"/>
  </sheetPr>
  <dimension ref="C3:I20"/>
  <sheetViews>
    <sheetView workbookViewId="0">
      <selection activeCell="G45" sqref="G45"/>
    </sheetView>
  </sheetViews>
  <sheetFormatPr baseColWidth="10" defaultRowHeight="16" x14ac:dyDescent="0.2"/>
  <cols>
    <col min="3" max="3" width="18.1640625" customWidth="1"/>
    <col min="4" max="4" width="17.83203125" customWidth="1"/>
    <col min="5" max="5" width="16.6640625" customWidth="1"/>
    <col min="6" max="6" width="32.83203125" customWidth="1"/>
    <col min="7" max="7" width="23" style="12" customWidth="1"/>
    <col min="8" max="8" width="24.1640625" customWidth="1"/>
    <col min="9" max="9" width="37.83203125" customWidth="1"/>
  </cols>
  <sheetData>
    <row r="3" spans="3:9" s="5" customFormat="1" x14ac:dyDescent="0.2">
      <c r="C3" s="31" t="s">
        <v>24</v>
      </c>
      <c r="D3" s="31" t="s">
        <v>15</v>
      </c>
      <c r="E3" s="32" t="s">
        <v>23</v>
      </c>
      <c r="F3" s="33" t="s">
        <v>26</v>
      </c>
      <c r="G3" s="32" t="s">
        <v>27</v>
      </c>
      <c r="H3" s="32" t="s">
        <v>28</v>
      </c>
      <c r="I3" s="32" t="s">
        <v>30</v>
      </c>
    </row>
    <row r="4" spans="3:9" x14ac:dyDescent="0.2">
      <c r="C4" s="10" t="s">
        <v>3</v>
      </c>
      <c r="D4" s="10" t="s">
        <v>19</v>
      </c>
      <c r="E4" s="8">
        <v>18571</v>
      </c>
      <c r="F4" s="9">
        <v>1</v>
      </c>
      <c r="G4" s="11">
        <f>E4*F4</f>
        <v>18571</v>
      </c>
      <c r="H4" s="8">
        <f>E4-G4</f>
        <v>0</v>
      </c>
      <c r="I4" s="11" t="str" cm="1">
        <f t="array" ref="I4:I20">IF(SALDO_PENDIENTE_REPLICADO=0,"PAGÓ DE CONTADO",IF(SALDO_PENDIENTE_REPLICADO&gt;0,"POR CUOTAS","ADELANTO ADICIONAL A FUTURO"))</f>
        <v>PAGÓ DE CONTADO</v>
      </c>
    </row>
    <row r="5" spans="3:9" x14ac:dyDescent="0.2">
      <c r="C5" s="10" t="s">
        <v>12</v>
      </c>
      <c r="D5" s="10" t="s">
        <v>21</v>
      </c>
      <c r="E5" s="8">
        <v>20377</v>
      </c>
      <c r="F5" s="9">
        <v>0.09</v>
      </c>
      <c r="G5" s="11">
        <f t="shared" ref="G5:G20" si="0">E5*F5</f>
        <v>1833.9299999999998</v>
      </c>
      <c r="H5" s="8">
        <f t="shared" ref="H5:H20" si="1">E5-G5</f>
        <v>18543.07</v>
      </c>
      <c r="I5" s="11" t="str">
        <v>POR CUOTAS</v>
      </c>
    </row>
    <row r="6" spans="3:9" x14ac:dyDescent="0.2">
      <c r="C6" s="10" t="s">
        <v>4</v>
      </c>
      <c r="D6" s="10" t="s">
        <v>16</v>
      </c>
      <c r="E6" s="8">
        <v>9665</v>
      </c>
      <c r="F6" s="9">
        <v>0.08</v>
      </c>
      <c r="G6" s="11">
        <f t="shared" si="0"/>
        <v>773.2</v>
      </c>
      <c r="H6" s="8">
        <f t="shared" si="1"/>
        <v>8891.7999999999993</v>
      </c>
      <c r="I6" s="11" t="str">
        <v>POR CUOTAS</v>
      </c>
    </row>
    <row r="7" spans="3:9" x14ac:dyDescent="0.2">
      <c r="C7" s="10" t="s">
        <v>5</v>
      </c>
      <c r="D7" s="10" t="s">
        <v>16</v>
      </c>
      <c r="E7" s="8">
        <v>7473</v>
      </c>
      <c r="F7" s="9">
        <v>0.09</v>
      </c>
      <c r="G7" s="11">
        <f t="shared" si="0"/>
        <v>672.56999999999994</v>
      </c>
      <c r="H7" s="8">
        <f t="shared" si="1"/>
        <v>6800.43</v>
      </c>
      <c r="I7" s="11" t="str">
        <v>POR CUOTAS</v>
      </c>
    </row>
    <row r="8" spans="3:9" x14ac:dyDescent="0.2">
      <c r="C8" s="10" t="s">
        <v>2</v>
      </c>
      <c r="D8" s="10" t="s">
        <v>16</v>
      </c>
      <c r="E8" s="8">
        <v>24063</v>
      </c>
      <c r="F8" s="9">
        <v>0.03</v>
      </c>
      <c r="G8" s="11">
        <f t="shared" si="0"/>
        <v>721.89</v>
      </c>
      <c r="H8" s="8">
        <f t="shared" si="1"/>
        <v>23341.11</v>
      </c>
      <c r="I8" s="11" t="str">
        <v>POR CUOTAS</v>
      </c>
    </row>
    <row r="9" spans="3:9" x14ac:dyDescent="0.2">
      <c r="C9" s="10" t="s">
        <v>2</v>
      </c>
      <c r="D9" s="10" t="s">
        <v>18</v>
      </c>
      <c r="E9" s="8">
        <v>3372</v>
      </c>
      <c r="F9" s="9">
        <v>1</v>
      </c>
      <c r="G9" s="11">
        <f t="shared" si="0"/>
        <v>3372</v>
      </c>
      <c r="H9" s="8">
        <f t="shared" si="1"/>
        <v>0</v>
      </c>
      <c r="I9" s="11" t="str">
        <v>PAGÓ DE CONTADO</v>
      </c>
    </row>
    <row r="10" spans="3:9" x14ac:dyDescent="0.2">
      <c r="C10" s="10" t="s">
        <v>10</v>
      </c>
      <c r="D10" s="10" t="s">
        <v>16</v>
      </c>
      <c r="E10" s="8">
        <v>24917</v>
      </c>
      <c r="F10" s="9">
        <v>0.02</v>
      </c>
      <c r="G10" s="11">
        <f t="shared" si="0"/>
        <v>498.34000000000003</v>
      </c>
      <c r="H10" s="8">
        <f t="shared" si="1"/>
        <v>24418.66</v>
      </c>
      <c r="I10" s="11" t="str">
        <v>POR CUOTAS</v>
      </c>
    </row>
    <row r="11" spans="3:9" x14ac:dyDescent="0.2">
      <c r="C11" s="10" t="s">
        <v>6</v>
      </c>
      <c r="D11" s="10" t="s">
        <v>17</v>
      </c>
      <c r="E11" s="8">
        <v>4534</v>
      </c>
      <c r="F11" s="9">
        <v>0.08</v>
      </c>
      <c r="G11" s="11">
        <f t="shared" si="0"/>
        <v>362.72</v>
      </c>
      <c r="H11" s="8">
        <f t="shared" si="1"/>
        <v>4171.28</v>
      </c>
      <c r="I11" s="11" t="str">
        <v>POR CUOTAS</v>
      </c>
    </row>
    <row r="12" spans="3:9" x14ac:dyDescent="0.2">
      <c r="C12" s="10" t="s">
        <v>6</v>
      </c>
      <c r="D12" s="10" t="s">
        <v>16</v>
      </c>
      <c r="E12" s="8">
        <v>7019</v>
      </c>
      <c r="F12" s="9">
        <v>1</v>
      </c>
      <c r="G12" s="11">
        <f t="shared" si="0"/>
        <v>7019</v>
      </c>
      <c r="H12" s="8">
        <f t="shared" si="1"/>
        <v>0</v>
      </c>
      <c r="I12" s="11" t="str">
        <v>PAGÓ DE CONTADO</v>
      </c>
    </row>
    <row r="13" spans="3:9" x14ac:dyDescent="0.2">
      <c r="C13" s="10" t="s">
        <v>8</v>
      </c>
      <c r="D13" s="10" t="s">
        <v>18</v>
      </c>
      <c r="E13" s="8">
        <v>6913</v>
      </c>
      <c r="F13" s="9">
        <v>1</v>
      </c>
      <c r="G13" s="11">
        <f t="shared" si="0"/>
        <v>6913</v>
      </c>
      <c r="H13" s="8">
        <f t="shared" si="1"/>
        <v>0</v>
      </c>
      <c r="I13" s="11" t="str">
        <v>PAGÓ DE CONTADO</v>
      </c>
    </row>
    <row r="14" spans="3:9" x14ac:dyDescent="0.2">
      <c r="C14" s="10" t="s">
        <v>7</v>
      </c>
      <c r="D14" s="10" t="s">
        <v>17</v>
      </c>
      <c r="E14" s="8">
        <v>22740</v>
      </c>
      <c r="F14" s="9">
        <v>0.1</v>
      </c>
      <c r="G14" s="11">
        <f t="shared" si="0"/>
        <v>2274</v>
      </c>
      <c r="H14" s="8">
        <f t="shared" si="1"/>
        <v>20466</v>
      </c>
      <c r="I14" s="11" t="str">
        <v>POR CUOTAS</v>
      </c>
    </row>
    <row r="15" spans="3:9" x14ac:dyDescent="0.2">
      <c r="C15" s="10" t="s">
        <v>9</v>
      </c>
      <c r="D15" s="10" t="s">
        <v>17</v>
      </c>
      <c r="E15" s="8">
        <v>17006</v>
      </c>
      <c r="F15" s="9">
        <v>7.0000000000000007E-2</v>
      </c>
      <c r="G15" s="11">
        <f t="shared" si="0"/>
        <v>1190.42</v>
      </c>
      <c r="H15" s="8">
        <f t="shared" si="1"/>
        <v>15815.58</v>
      </c>
      <c r="I15" s="11" t="str">
        <v>POR CUOTAS</v>
      </c>
    </row>
    <row r="16" spans="3:9" x14ac:dyDescent="0.2">
      <c r="C16" s="10" t="s">
        <v>13</v>
      </c>
      <c r="D16" s="10" t="s">
        <v>22</v>
      </c>
      <c r="E16" s="8">
        <v>13130</v>
      </c>
      <c r="F16" s="9">
        <v>0.25</v>
      </c>
      <c r="G16" s="11">
        <f t="shared" si="0"/>
        <v>3282.5</v>
      </c>
      <c r="H16" s="8">
        <f t="shared" si="1"/>
        <v>9847.5</v>
      </c>
      <c r="I16" s="11" t="str">
        <v>POR CUOTAS</v>
      </c>
    </row>
    <row r="17" spans="3:9" x14ac:dyDescent="0.2">
      <c r="C17" s="10" t="s">
        <v>11</v>
      </c>
      <c r="D17" s="10" t="s">
        <v>20</v>
      </c>
      <c r="E17" s="8">
        <v>16757</v>
      </c>
      <c r="F17" s="9">
        <v>0.04</v>
      </c>
      <c r="G17" s="11">
        <f t="shared" si="0"/>
        <v>670.28</v>
      </c>
      <c r="H17" s="8">
        <f t="shared" si="1"/>
        <v>16086.72</v>
      </c>
      <c r="I17" s="11" t="str">
        <v>POR CUOTAS</v>
      </c>
    </row>
    <row r="18" spans="3:9" x14ac:dyDescent="0.2">
      <c r="C18" s="10" t="s">
        <v>0</v>
      </c>
      <c r="D18" s="10" t="s">
        <v>17</v>
      </c>
      <c r="E18" s="8">
        <v>11741</v>
      </c>
      <c r="F18" s="9">
        <v>0.03</v>
      </c>
      <c r="G18" s="11">
        <f t="shared" si="0"/>
        <v>352.22999999999996</v>
      </c>
      <c r="H18" s="8">
        <f t="shared" si="1"/>
        <v>11388.77</v>
      </c>
      <c r="I18" s="11" t="str">
        <v>POR CUOTAS</v>
      </c>
    </row>
    <row r="19" spans="3:9" x14ac:dyDescent="0.2">
      <c r="C19" s="10" t="s">
        <v>14</v>
      </c>
      <c r="D19" s="10" t="s">
        <v>22</v>
      </c>
      <c r="E19" s="8">
        <v>8332</v>
      </c>
      <c r="F19" s="9">
        <v>0.39</v>
      </c>
      <c r="G19" s="11">
        <f t="shared" si="0"/>
        <v>3249.48</v>
      </c>
      <c r="H19" s="8">
        <f t="shared" si="1"/>
        <v>5082.5200000000004</v>
      </c>
      <c r="I19" s="11" t="str">
        <v>POR CUOTAS</v>
      </c>
    </row>
    <row r="20" spans="3:9" x14ac:dyDescent="0.2">
      <c r="C20" s="10" t="s">
        <v>1</v>
      </c>
      <c r="D20" s="10" t="s">
        <v>18</v>
      </c>
      <c r="E20" s="8">
        <v>7363</v>
      </c>
      <c r="F20" s="9">
        <v>0.06</v>
      </c>
      <c r="G20" s="11">
        <f t="shared" si="0"/>
        <v>441.78</v>
      </c>
      <c r="H20" s="8">
        <f t="shared" si="1"/>
        <v>6921.22</v>
      </c>
      <c r="I20" s="11" t="str">
        <v>POR CUOTAS</v>
      </c>
    </row>
  </sheetData>
  <sortState xmlns:xlrd2="http://schemas.microsoft.com/office/spreadsheetml/2017/richdata2" ref="C4:H20">
    <sortCondition ref="C4:C2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90022-B5C2-EC41-937A-2CCDCC2B59AE}">
  <sheetPr>
    <tabColor theme="8" tint="-0.249977111117893"/>
  </sheetPr>
  <dimension ref="C13:I14"/>
  <sheetViews>
    <sheetView workbookViewId="0">
      <selection activeCell="C14" sqref="C14"/>
    </sheetView>
  </sheetViews>
  <sheetFormatPr baseColWidth="10" defaultRowHeight="16" x14ac:dyDescent="0.2"/>
  <cols>
    <col min="3" max="3" width="39.1640625" customWidth="1"/>
    <col min="4" max="4" width="28.5" customWidth="1"/>
    <col min="5" max="5" width="29.5" customWidth="1"/>
    <col min="6" max="6" width="42.33203125" customWidth="1"/>
    <col min="7" max="7" width="32.5" customWidth="1"/>
    <col min="8" max="8" width="32.6640625" customWidth="1"/>
    <col min="9" max="9" width="49" customWidth="1"/>
    <col min="10" max="10" width="16.1640625" customWidth="1"/>
  </cols>
  <sheetData>
    <row r="13" spans="3:9" s="3" customFormat="1" ht="68" x14ac:dyDescent="0.2">
      <c r="C13" s="34" t="s">
        <v>24</v>
      </c>
      <c r="D13" s="34" t="s">
        <v>15</v>
      </c>
      <c r="E13" s="34" t="s">
        <v>23</v>
      </c>
      <c r="F13" s="35" t="s">
        <v>26</v>
      </c>
      <c r="G13" s="36" t="s">
        <v>27</v>
      </c>
      <c r="H13" s="36" t="s">
        <v>28</v>
      </c>
      <c r="I13" s="36" t="s">
        <v>30</v>
      </c>
    </row>
    <row r="14" spans="3:9" s="5" customFormat="1" ht="54" customHeight="1" x14ac:dyDescent="0.2">
      <c r="C14" s="13" t="s">
        <v>11</v>
      </c>
      <c r="D14" s="13" t="str">
        <f>IF(TRAER_CLIENTE&lt;&gt;"",VLOOKUP(TRAER_CLIENTE,BASE_DE_DATOS_REPLICADA,2,FALSE),"")</f>
        <v>MERCURY</v>
      </c>
      <c r="E14" s="16">
        <f>IF(TRAER_CLIENTE&lt;&gt;"",VLOOKUP(TRAER_CLIENTE,BASE_DE_DATOS_REPLICADA,3,FALSE),"")</f>
        <v>16757</v>
      </c>
      <c r="F14" s="15">
        <f>IF(TRAER_CLIENTE&lt;&gt;"",VLOOKUP(TRAER_CLIENTE,BASE_DE_DATOS_REPLICADA,4,FALSE),"")</f>
        <v>0.04</v>
      </c>
      <c r="G14" s="14">
        <f>IF(TRAER_CLIENTE&lt;&gt;"",VLOOKUP(TRAER_CLIENTE,BASE_DE_DATOS_REPLICADA,5,FALSE),"")</f>
        <v>670.28</v>
      </c>
      <c r="H14" s="16">
        <f>IF(TRAER_CLIENTE&lt;&gt;"",VLOOKUP(TRAER_CLIENTE,BASE_DE_DATOS_REPLICADA,6,FALSE),"")</f>
        <v>16086.72</v>
      </c>
      <c r="I14" s="16" t="str">
        <f>IF(TRAER_CLIENTE&lt;&gt;"",VLOOKUP(TRAER_CLIENTE,BASE_DE_DATOS_REPLICADA,7,FALSE),"")</f>
        <v>POR CUOTAS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77F955B-026B-0C41-8518-3FE46564E016}">
          <x14:formula1>
            <xm:f>'BASE DE DATOS REPLICADA'!$C$4:$C$20</xm:f>
          </x14:formula1>
          <xm:sqref>C14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DEDCF-5535-8345-8E74-DBA46D2533C7}">
  <dimension ref="A1:I25"/>
  <sheetViews>
    <sheetView topLeftCell="A2" zoomScaleNormal="100" workbookViewId="0">
      <selection activeCell="D24" sqref="D24:H25"/>
    </sheetView>
  </sheetViews>
  <sheetFormatPr baseColWidth="10" defaultRowHeight="16" x14ac:dyDescent="0.2"/>
  <cols>
    <col min="1" max="1" width="68.1640625" customWidth="1"/>
    <col min="2" max="2" width="55.83203125" customWidth="1"/>
    <col min="4" max="4" width="23" customWidth="1"/>
    <col min="5" max="5" width="36.1640625" customWidth="1"/>
    <col min="6" max="6" width="23.1640625" style="3" customWidth="1"/>
    <col min="7" max="7" width="27.6640625" customWidth="1"/>
    <col min="8" max="8" width="30.6640625" customWidth="1"/>
    <col min="9" max="9" width="22.33203125" customWidth="1"/>
  </cols>
  <sheetData>
    <row r="1" spans="1:9" s="5" customFormat="1" ht="27" customHeight="1" x14ac:dyDescent="0.2">
      <c r="A1" s="40" t="s">
        <v>31</v>
      </c>
      <c r="B1" s="40"/>
      <c r="F1" s="4"/>
    </row>
    <row r="2" spans="1:9" ht="23" x14ac:dyDescent="0.25">
      <c r="A2" s="17" t="s">
        <v>32</v>
      </c>
      <c r="B2" s="19">
        <v>0.05</v>
      </c>
    </row>
    <row r="3" spans="1:9" ht="23" x14ac:dyDescent="0.25">
      <c r="A3" s="17" t="s">
        <v>33</v>
      </c>
      <c r="B3" s="20">
        <f>SALDO_PEND._TABLA_AMORTIZACIÓN</f>
        <v>16086.72</v>
      </c>
    </row>
    <row r="4" spans="1:9" ht="23" x14ac:dyDescent="0.25">
      <c r="A4" s="17" t="s">
        <v>38</v>
      </c>
      <c r="B4" s="21" t="s">
        <v>37</v>
      </c>
    </row>
    <row r="5" spans="1:9" ht="23" x14ac:dyDescent="0.25">
      <c r="A5" s="17" t="s">
        <v>39</v>
      </c>
      <c r="B5" s="22">
        <f>IF(FORMA_DE_PAGO="Anual",B2/1,IF(FORMA_DE_PAGO="Mensual",B2/12,IF(FORMA_DE_PAGO="Semestral",B2/2,IF(FORMA_DE_PAGO="Trimestral",B2/4,""))))</f>
        <v>0.05</v>
      </c>
      <c r="G5" s="3"/>
      <c r="H5" s="3"/>
      <c r="I5" s="3"/>
    </row>
    <row r="6" spans="1:9" ht="23" x14ac:dyDescent="0.25">
      <c r="A6" s="17" t="s">
        <v>40</v>
      </c>
      <c r="B6" s="21">
        <v>15</v>
      </c>
      <c r="I6" s="18"/>
    </row>
    <row r="7" spans="1:9" ht="23" x14ac:dyDescent="0.25">
      <c r="A7" s="17" t="s">
        <v>41</v>
      </c>
      <c r="B7" s="21">
        <f>IF(FORMA_DE_PAGO="Mensual",12*PERÍODOS_DE_CANCELACIÓN,IF(FORMA_DE_PAGO="Semestral",2*PERÍODOS_DE_CANCELACIÓN,IF(FORMA_DE_PAGO="Trimestral",4*PERÍODOS_DE_CANCELACIÓN,IF(FORMA_DE_PAGO="Anual",1*PERÍODOS_DE_CANCELACIÓN,""))))</f>
        <v>15</v>
      </c>
    </row>
    <row r="9" spans="1:9" ht="25" x14ac:dyDescent="0.25">
      <c r="D9" s="26" t="s">
        <v>42</v>
      </c>
      <c r="E9" s="26" t="s">
        <v>44</v>
      </c>
      <c r="F9" s="26" t="s">
        <v>45</v>
      </c>
      <c r="G9" s="26" t="s">
        <v>43</v>
      </c>
      <c r="H9" s="26" t="s">
        <v>47</v>
      </c>
    </row>
    <row r="10" spans="1:9" ht="25" x14ac:dyDescent="0.25">
      <c r="D10" s="26">
        <v>1</v>
      </c>
      <c r="E10" s="25">
        <f>B3</f>
        <v>16086.72</v>
      </c>
      <c r="F10" s="25">
        <f>-PMT($B$5,Nro_cuotas_por_cancelar,B3,,1)</f>
        <v>1476.0299094565555</v>
      </c>
      <c r="G10" s="25">
        <f>E10*$B$5</f>
        <v>804.33600000000001</v>
      </c>
      <c r="H10" s="25">
        <f>F10-G10</f>
        <v>671.6939094565555</v>
      </c>
    </row>
    <row r="11" spans="1:9" ht="25" x14ac:dyDescent="0.25">
      <c r="D11" s="26">
        <v>2</v>
      </c>
      <c r="E11" s="25">
        <f>E10-H10</f>
        <v>15415.026090543444</v>
      </c>
      <c r="F11" s="25">
        <f t="shared" ref="F11:F25" si="0">AMORTIZACIÓN</f>
        <v>1476.0299094565555</v>
      </c>
      <c r="G11" s="25">
        <f>E11*$B$5</f>
        <v>770.75130452717224</v>
      </c>
      <c r="H11" s="25">
        <f>F11-G11</f>
        <v>705.27860492938328</v>
      </c>
    </row>
    <row r="12" spans="1:9" ht="25" x14ac:dyDescent="0.25">
      <c r="D12" s="26">
        <v>3</v>
      </c>
      <c r="E12" s="25">
        <f t="shared" ref="E12:E24" si="1">E11-H11</f>
        <v>14709.747485614062</v>
      </c>
      <c r="F12" s="25">
        <f t="shared" si="0"/>
        <v>1476.0299094565555</v>
      </c>
      <c r="G12" s="25">
        <f t="shared" ref="G12:G24" si="2">E12*$B$5</f>
        <v>735.48737428070308</v>
      </c>
      <c r="H12" s="25">
        <f t="shared" ref="H12:H24" si="3">F12-G12</f>
        <v>740.54253517585244</v>
      </c>
    </row>
    <row r="13" spans="1:9" ht="25" x14ac:dyDescent="0.25">
      <c r="D13" s="26">
        <v>4</v>
      </c>
      <c r="E13" s="25">
        <f t="shared" si="1"/>
        <v>13969.204950438208</v>
      </c>
      <c r="F13" s="25">
        <f t="shared" si="0"/>
        <v>1476.0299094565555</v>
      </c>
      <c r="G13" s="25">
        <f t="shared" si="2"/>
        <v>698.46024752191045</v>
      </c>
      <c r="H13" s="25">
        <f t="shared" si="3"/>
        <v>777.56966193464507</v>
      </c>
    </row>
    <row r="14" spans="1:9" ht="25" x14ac:dyDescent="0.25">
      <c r="D14" s="26">
        <v>5</v>
      </c>
      <c r="E14" s="25">
        <f t="shared" si="1"/>
        <v>13191.635288503563</v>
      </c>
      <c r="F14" s="25">
        <f t="shared" si="0"/>
        <v>1476.0299094565555</v>
      </c>
      <c r="G14" s="25">
        <f t="shared" si="2"/>
        <v>659.58176442517822</v>
      </c>
      <c r="H14" s="25">
        <f t="shared" si="3"/>
        <v>816.44814503137729</v>
      </c>
    </row>
    <row r="15" spans="1:9" ht="25" x14ac:dyDescent="0.25">
      <c r="D15" s="26">
        <v>6</v>
      </c>
      <c r="E15" s="25">
        <f t="shared" si="1"/>
        <v>12375.187143472185</v>
      </c>
      <c r="F15" s="25">
        <f t="shared" si="0"/>
        <v>1476.0299094565555</v>
      </c>
      <c r="G15" s="25">
        <f t="shared" si="2"/>
        <v>618.75935717360926</v>
      </c>
      <c r="H15" s="25">
        <f t="shared" si="3"/>
        <v>857.27055228294626</v>
      </c>
    </row>
    <row r="16" spans="1:9" ht="25" x14ac:dyDescent="0.25">
      <c r="D16" s="26">
        <v>7</v>
      </c>
      <c r="E16" s="25">
        <f t="shared" si="1"/>
        <v>11517.91659118924</v>
      </c>
      <c r="F16" s="25">
        <f t="shared" si="0"/>
        <v>1476.0299094565555</v>
      </c>
      <c r="G16" s="25">
        <f t="shared" si="2"/>
        <v>575.89582955946196</v>
      </c>
      <c r="H16" s="25">
        <f t="shared" si="3"/>
        <v>900.13407989709356</v>
      </c>
    </row>
    <row r="17" spans="4:8" ht="25" x14ac:dyDescent="0.25">
      <c r="D17" s="26">
        <v>8</v>
      </c>
      <c r="E17" s="25">
        <f t="shared" si="1"/>
        <v>10617.782511292146</v>
      </c>
      <c r="F17" s="25">
        <f t="shared" si="0"/>
        <v>1476.0299094565555</v>
      </c>
      <c r="G17" s="25">
        <f t="shared" si="2"/>
        <v>530.8891255646073</v>
      </c>
      <c r="H17" s="25">
        <f t="shared" si="3"/>
        <v>945.14078389194822</v>
      </c>
    </row>
    <row r="18" spans="4:8" ht="25" x14ac:dyDescent="0.25">
      <c r="D18" s="26">
        <v>9</v>
      </c>
      <c r="E18" s="25">
        <f t="shared" si="1"/>
        <v>9672.6417274001979</v>
      </c>
      <c r="F18" s="25">
        <f t="shared" si="0"/>
        <v>1476.0299094565555</v>
      </c>
      <c r="G18" s="25">
        <f t="shared" si="2"/>
        <v>483.63208637000992</v>
      </c>
      <c r="H18" s="25">
        <f t="shared" si="3"/>
        <v>992.3978230865456</v>
      </c>
    </row>
    <row r="19" spans="4:8" ht="25" x14ac:dyDescent="0.25">
      <c r="D19" s="26">
        <v>10</v>
      </c>
      <c r="E19" s="25">
        <f t="shared" si="1"/>
        <v>8680.2439043136528</v>
      </c>
      <c r="F19" s="25">
        <f t="shared" si="0"/>
        <v>1476.0299094565555</v>
      </c>
      <c r="G19" s="25">
        <f t="shared" si="2"/>
        <v>434.01219521568265</v>
      </c>
      <c r="H19" s="25">
        <f t="shared" si="3"/>
        <v>1042.0177142408729</v>
      </c>
    </row>
    <row r="20" spans="4:8" ht="25" x14ac:dyDescent="0.25">
      <c r="D20" s="26">
        <v>11</v>
      </c>
      <c r="E20" s="25">
        <f t="shared" si="1"/>
        <v>7638.2261900727799</v>
      </c>
      <c r="F20" s="25">
        <f t="shared" si="0"/>
        <v>1476.0299094565555</v>
      </c>
      <c r="G20" s="25">
        <f t="shared" si="2"/>
        <v>381.91130950363902</v>
      </c>
      <c r="H20" s="25">
        <f t="shared" si="3"/>
        <v>1094.1185999529166</v>
      </c>
    </row>
    <row r="21" spans="4:8" ht="25" x14ac:dyDescent="0.25">
      <c r="D21" s="26">
        <v>12</v>
      </c>
      <c r="E21" s="25">
        <f t="shared" si="1"/>
        <v>6544.1075901198637</v>
      </c>
      <c r="F21" s="25">
        <f t="shared" si="0"/>
        <v>1476.0299094565555</v>
      </c>
      <c r="G21" s="25">
        <f t="shared" si="2"/>
        <v>327.20537950599322</v>
      </c>
      <c r="H21" s="25">
        <f t="shared" si="3"/>
        <v>1148.8245299505622</v>
      </c>
    </row>
    <row r="22" spans="4:8" ht="25" x14ac:dyDescent="0.25">
      <c r="D22" s="26">
        <v>13</v>
      </c>
      <c r="E22" s="25">
        <f t="shared" si="1"/>
        <v>5395.2830601693013</v>
      </c>
      <c r="F22" s="25">
        <f t="shared" si="0"/>
        <v>1476.0299094565555</v>
      </c>
      <c r="G22" s="25">
        <f t="shared" si="2"/>
        <v>269.76415300846509</v>
      </c>
      <c r="H22" s="25">
        <f t="shared" si="3"/>
        <v>1206.2657564480905</v>
      </c>
    </row>
    <row r="23" spans="4:8" ht="25" x14ac:dyDescent="0.25">
      <c r="D23" s="26">
        <v>14</v>
      </c>
      <c r="E23" s="25">
        <f t="shared" si="1"/>
        <v>4189.0173037212107</v>
      </c>
      <c r="F23" s="25">
        <f t="shared" si="0"/>
        <v>1476.0299094565555</v>
      </c>
      <c r="G23" s="25">
        <f t="shared" si="2"/>
        <v>209.45086518606055</v>
      </c>
      <c r="H23" s="25">
        <f t="shared" si="3"/>
        <v>1266.5790442704949</v>
      </c>
    </row>
    <row r="24" spans="4:8" ht="25" x14ac:dyDescent="0.25">
      <c r="D24" s="26">
        <v>15</v>
      </c>
      <c r="E24" s="25">
        <f t="shared" si="1"/>
        <v>2922.438259450716</v>
      </c>
      <c r="F24" s="25">
        <f t="shared" si="0"/>
        <v>1476.0299094565555</v>
      </c>
      <c r="G24" s="25">
        <f t="shared" si="2"/>
        <v>146.1219129725358</v>
      </c>
      <c r="H24" s="25">
        <f t="shared" si="3"/>
        <v>1329.9079964840198</v>
      </c>
    </row>
    <row r="25" spans="4:8" ht="25" x14ac:dyDescent="0.25">
      <c r="D25" s="26">
        <v>16</v>
      </c>
      <c r="E25" s="25">
        <f t="shared" ref="E25" si="4">E24-H24</f>
        <v>1592.5302629666962</v>
      </c>
      <c r="F25" s="25">
        <f t="shared" si="0"/>
        <v>1476.0299094565555</v>
      </c>
      <c r="G25" s="25">
        <f t="shared" ref="G25" si="5">E25*$B$5</f>
        <v>79.626513148334823</v>
      </c>
      <c r="H25" s="25">
        <f t="shared" ref="H25" si="6">F25-G25</f>
        <v>1396.4033963082206</v>
      </c>
    </row>
  </sheetData>
  <mergeCells count="1">
    <mergeCell ref="A1:B1"/>
  </mergeCell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136E2B8-F752-7840-84FC-3EE77724EA0C}">
          <x14:formula1>
            <xm:f>INFORMACIÓN!$C$1:$C$5</xm:f>
          </x14:formula1>
          <xm:sqref>B4</xm:sqref>
        </x14:dataValidation>
        <x14:dataValidation type="list" allowBlank="1" showInputMessage="1" showErrorMessage="1" xr:uid="{5DDFD2D7-580E-7D44-9C5B-DE80C475C27E}">
          <x14:formula1>
            <xm:f>INFORMACIÓN!$D$1:$D$6</xm:f>
          </x14:formula1>
          <xm:sqref>B6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EC899-43ED-5747-AB46-240C5B628FD3}">
  <sheetPr>
    <tabColor rgb="FF7030A0"/>
  </sheetPr>
  <dimension ref="A1:I22"/>
  <sheetViews>
    <sheetView tabSelected="1" workbookViewId="0">
      <selection activeCell="C21" sqref="C21"/>
    </sheetView>
  </sheetViews>
  <sheetFormatPr baseColWidth="10" defaultRowHeight="16" x14ac:dyDescent="0.2"/>
  <cols>
    <col min="1" max="1" width="68.1640625" customWidth="1"/>
    <col min="2" max="2" width="55.83203125" customWidth="1"/>
    <col min="4" max="4" width="23" customWidth="1"/>
    <col min="5" max="5" width="36.1640625" customWidth="1"/>
    <col min="6" max="6" width="23.1640625" style="3" customWidth="1"/>
    <col min="7" max="7" width="27.6640625" customWidth="1"/>
    <col min="8" max="8" width="30.6640625" customWidth="1"/>
    <col min="9" max="9" width="22.33203125" customWidth="1"/>
  </cols>
  <sheetData>
    <row r="1" spans="1:9" s="5" customFormat="1" ht="27" customHeight="1" x14ac:dyDescent="0.2">
      <c r="A1" s="41" t="s">
        <v>31</v>
      </c>
      <c r="B1" s="41"/>
      <c r="F1" s="4"/>
    </row>
    <row r="2" spans="1:9" ht="25" x14ac:dyDescent="0.25">
      <c r="A2" s="28" t="s">
        <v>33</v>
      </c>
      <c r="B2" s="37">
        <f>SALDO_PEND._TABLA_AMORTIZACIÓN</f>
        <v>16086.72</v>
      </c>
    </row>
    <row r="3" spans="1:9" ht="25" x14ac:dyDescent="0.25">
      <c r="A3" s="28" t="s">
        <v>32</v>
      </c>
      <c r="B3" s="38">
        <v>7.0000000000000007E-2</v>
      </c>
    </row>
    <row r="4" spans="1:9" ht="25" x14ac:dyDescent="0.25">
      <c r="A4" s="28" t="s">
        <v>48</v>
      </c>
      <c r="B4" s="39">
        <v>6</v>
      </c>
    </row>
    <row r="5" spans="1:9" ht="25" x14ac:dyDescent="0.25">
      <c r="A5" s="28" t="s">
        <v>49</v>
      </c>
      <c r="B5" s="37">
        <f>-PMT(B3,B4,B2,,0)</f>
        <v>3374.9262878882919</v>
      </c>
      <c r="G5" s="3"/>
      <c r="H5" s="3"/>
      <c r="I5" s="3"/>
    </row>
    <row r="7" spans="1:9" ht="25" x14ac:dyDescent="0.25">
      <c r="D7" s="27" t="s">
        <v>42</v>
      </c>
      <c r="E7" s="27" t="s">
        <v>44</v>
      </c>
      <c r="F7" s="27" t="s">
        <v>45</v>
      </c>
      <c r="G7" s="27" t="s">
        <v>43</v>
      </c>
      <c r="H7" s="27" t="s">
        <v>46</v>
      </c>
    </row>
    <row r="8" spans="1:9" ht="25" x14ac:dyDescent="0.25">
      <c r="D8" s="26">
        <v>1</v>
      </c>
      <c r="E8" s="25">
        <f>B2</f>
        <v>16086.72</v>
      </c>
      <c r="F8" s="25">
        <f>$B$5</f>
        <v>3374.9262878882919</v>
      </c>
      <c r="G8" s="23">
        <f>E8*$B$3</f>
        <v>1126.0704000000001</v>
      </c>
      <c r="H8" s="24">
        <f>F8-G8</f>
        <v>2248.8558878882918</v>
      </c>
    </row>
    <row r="9" spans="1:9" ht="25" x14ac:dyDescent="0.25">
      <c r="D9" s="26">
        <v>2</v>
      </c>
      <c r="E9" s="25">
        <f>E8-H8</f>
        <v>13837.864112111707</v>
      </c>
      <c r="F9" s="25">
        <f t="shared" ref="F9:F13" si="0">$B$5</f>
        <v>3374.9262878882919</v>
      </c>
      <c r="G9" s="23">
        <f>E9*$B$3</f>
        <v>968.65048784781959</v>
      </c>
      <c r="H9" s="24">
        <f>F9-G9</f>
        <v>2406.2758000404724</v>
      </c>
    </row>
    <row r="10" spans="1:9" ht="25" x14ac:dyDescent="0.25">
      <c r="D10" s="26">
        <v>3</v>
      </c>
      <c r="E10" s="25">
        <f t="shared" ref="E10:E13" si="1">E9-H9</f>
        <v>11431.588312071235</v>
      </c>
      <c r="F10" s="25">
        <f t="shared" si="0"/>
        <v>3374.9262878882919</v>
      </c>
      <c r="G10" s="23">
        <f t="shared" ref="G10:G13" si="2">E10*$B$3</f>
        <v>800.21118184498653</v>
      </c>
      <c r="H10" s="24">
        <f t="shared" ref="H10:H13" si="3">F10-G10</f>
        <v>2574.7151060433052</v>
      </c>
    </row>
    <row r="11" spans="1:9" ht="25" x14ac:dyDescent="0.25">
      <c r="D11" s="26">
        <v>4</v>
      </c>
      <c r="E11" s="25">
        <f t="shared" si="1"/>
        <v>8856.873206027929</v>
      </c>
      <c r="F11" s="25">
        <f t="shared" si="0"/>
        <v>3374.9262878882919</v>
      </c>
      <c r="G11" s="23">
        <f t="shared" si="2"/>
        <v>619.98112442195509</v>
      </c>
      <c r="H11" s="24">
        <f t="shared" si="3"/>
        <v>2754.9451634663369</v>
      </c>
    </row>
    <row r="12" spans="1:9" ht="25" x14ac:dyDescent="0.25">
      <c r="D12" s="26">
        <v>5</v>
      </c>
      <c r="E12" s="25">
        <f t="shared" si="1"/>
        <v>6101.9280425615925</v>
      </c>
      <c r="F12" s="25">
        <f t="shared" si="0"/>
        <v>3374.9262878882919</v>
      </c>
      <c r="G12" s="23">
        <f t="shared" si="2"/>
        <v>427.13496297931152</v>
      </c>
      <c r="H12" s="24">
        <f t="shared" si="3"/>
        <v>2947.7913249089802</v>
      </c>
    </row>
    <row r="13" spans="1:9" ht="25" x14ac:dyDescent="0.25">
      <c r="D13" s="26">
        <v>6</v>
      </c>
      <c r="E13" s="25">
        <f t="shared" si="1"/>
        <v>3154.1367176526123</v>
      </c>
      <c r="F13" s="25">
        <f t="shared" si="0"/>
        <v>3374.9262878882919</v>
      </c>
      <c r="G13" s="23">
        <f t="shared" si="2"/>
        <v>220.78957023568287</v>
      </c>
      <c r="H13" s="24">
        <f t="shared" si="3"/>
        <v>3154.1367176526091</v>
      </c>
    </row>
    <row r="14" spans="1:9" ht="25" x14ac:dyDescent="0.25">
      <c r="D14" s="26">
        <v>7</v>
      </c>
      <c r="E14" s="25">
        <f t="shared" ref="E14" si="4">E13-H13</f>
        <v>0</v>
      </c>
      <c r="F14" s="25"/>
      <c r="G14" s="23">
        <f t="shared" ref="G14" si="5">E14*$B$3</f>
        <v>0</v>
      </c>
      <c r="H14" s="24">
        <f t="shared" ref="H14" si="6">F14-G14</f>
        <v>0</v>
      </c>
    </row>
    <row r="15" spans="1:9" ht="25" x14ac:dyDescent="0.25">
      <c r="D15" s="26"/>
      <c r="E15" s="25"/>
      <c r="F15" s="25"/>
      <c r="G15" s="23"/>
      <c r="H15" s="24"/>
    </row>
    <row r="16" spans="1:9" x14ac:dyDescent="0.2">
      <c r="F16"/>
    </row>
    <row r="17" spans="6:6" x14ac:dyDescent="0.2">
      <c r="F17"/>
    </row>
    <row r="18" spans="6:6" x14ac:dyDescent="0.2">
      <c r="F18"/>
    </row>
    <row r="19" spans="6:6" x14ac:dyDescent="0.2">
      <c r="F19"/>
    </row>
    <row r="20" spans="6:6" x14ac:dyDescent="0.2">
      <c r="F20"/>
    </row>
    <row r="21" spans="6:6" x14ac:dyDescent="0.2">
      <c r="F21"/>
    </row>
    <row r="22" spans="6:6" x14ac:dyDescent="0.2">
      <c r="F22"/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20</vt:i4>
      </vt:variant>
    </vt:vector>
  </HeadingPairs>
  <TitlesOfParts>
    <vt:vector size="26" baseType="lpstr">
      <vt:lpstr>INFORMACIÓN</vt:lpstr>
      <vt:lpstr>BASE DE DATOS</vt:lpstr>
      <vt:lpstr>BASE DE DATOS REPLICADA</vt:lpstr>
      <vt:lpstr>FILTRO DE INFORMACIÓN</vt:lpstr>
      <vt:lpstr>TABLA DE AMORTIZACIÓN</vt:lpstr>
      <vt:lpstr>ESQUEMA DE PAGOS ANUAL</vt:lpstr>
      <vt:lpstr>AMORTIZACIÓN</vt:lpstr>
      <vt:lpstr>BASE_DE_DATOS</vt:lpstr>
      <vt:lpstr>BASE_DE_DATOS_REPLICADA</vt:lpstr>
      <vt:lpstr>CLIENTE</vt:lpstr>
      <vt:lpstr>CLIENTE_MINI_BASE_DE_DATOS</vt:lpstr>
      <vt:lpstr>FORMA_DE_PAGO</vt:lpstr>
      <vt:lpstr>FORMA_DE_PAGO_TRAÍDA</vt:lpstr>
      <vt:lpstr>INVERSIÓN_INICIAL</vt:lpstr>
      <vt:lpstr>MINI_BASE_DE_DATOS</vt:lpstr>
      <vt:lpstr>Nro_cuotas_por_cancelar</vt:lpstr>
      <vt:lpstr>PERÍODOS_DE_CANCELACIÓN</vt:lpstr>
      <vt:lpstr>PORCENTAJE_APORTACIÓN</vt:lpstr>
      <vt:lpstr>PORCENTAJE_APORTAR</vt:lpstr>
      <vt:lpstr>PRECIO</vt:lpstr>
      <vt:lpstr>SALDO_PEND._TABLA_AMORTIZACIÓN</vt:lpstr>
      <vt:lpstr>SALDO_PENDIENTE</vt:lpstr>
      <vt:lpstr>SALDO_PENDIENTE_REPLICADO</vt:lpstr>
      <vt:lpstr>TASA_INTERÉS</vt:lpstr>
      <vt:lpstr>TRAER_CLIENTE</vt:lpstr>
      <vt:lpstr>VEHÍCULO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E. Reyna</dc:creator>
  <cp:lastModifiedBy>German E. Reyna</cp:lastModifiedBy>
  <dcterms:created xsi:type="dcterms:W3CDTF">2024-10-12T00:37:54Z</dcterms:created>
  <dcterms:modified xsi:type="dcterms:W3CDTF">2024-10-12T16:47:03Z</dcterms:modified>
</cp:coreProperties>
</file>