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namedSheetViews/namedSheetView2.xml" ContentType="application/vnd.ms-excel.namedsheetview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7919" documentId="8_{FDD42E6F-94E1-48F3-8613-54A91AB43A68}" xr6:coauthVersionLast="47" xr6:coauthVersionMax="47" xr10:uidLastSave="{D701214A-7330-49CF-A5E0-68F9F15C9F1E}"/>
  <bookViews>
    <workbookView xWindow="-120" yWindow="-120" windowWidth="24240" windowHeight="13020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EMBARQUE'!$A$1:$O$5283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469" i="6" l="1"/>
  <c r="N5470" i="6"/>
  <c r="N5471" i="6"/>
  <c r="N5472" i="6"/>
  <c r="N5473" i="6"/>
  <c r="N5474" i="6"/>
  <c r="N5475" i="6"/>
  <c r="N5476" i="6"/>
  <c r="N5477" i="6"/>
  <c r="N5478" i="6"/>
  <c r="N5479" i="6"/>
  <c r="N5480" i="6"/>
  <c r="N5481" i="6"/>
  <c r="N5467" i="6"/>
  <c r="N5468" i="6"/>
  <c r="N5286" i="6"/>
  <c r="N5287" i="6"/>
  <c r="N5288" i="6"/>
  <c r="N5289" i="6"/>
  <c r="N5290" i="6"/>
  <c r="N5291" i="6"/>
  <c r="N5292" i="6"/>
  <c r="N5293" i="6"/>
  <c r="N5294" i="6"/>
  <c r="N5295" i="6"/>
  <c r="N5296" i="6"/>
  <c r="N5297" i="6"/>
  <c r="N5298" i="6"/>
  <c r="N5299" i="6"/>
  <c r="N5300" i="6"/>
  <c r="N5301" i="6"/>
  <c r="N5302" i="6"/>
  <c r="N5303" i="6"/>
  <c r="N5304" i="6"/>
  <c r="N5305" i="6"/>
  <c r="N5306" i="6"/>
  <c r="N5307" i="6"/>
  <c r="N5308" i="6"/>
  <c r="N5309" i="6"/>
  <c r="N5310" i="6"/>
  <c r="N5311" i="6"/>
  <c r="N5312" i="6"/>
  <c r="N5313" i="6"/>
  <c r="N5314" i="6"/>
  <c r="N5315" i="6"/>
  <c r="N5316" i="6"/>
  <c r="N5317" i="6"/>
  <c r="N5318" i="6"/>
  <c r="N5319" i="6"/>
  <c r="N5320" i="6"/>
  <c r="N5321" i="6"/>
  <c r="N5322" i="6"/>
  <c r="N5323" i="6"/>
  <c r="N5324" i="6"/>
  <c r="N5325" i="6"/>
  <c r="N5326" i="6"/>
  <c r="N5327" i="6"/>
  <c r="N5328" i="6"/>
  <c r="N5329" i="6"/>
  <c r="N5330" i="6"/>
  <c r="N5331" i="6"/>
  <c r="N5332" i="6"/>
  <c r="N5333" i="6"/>
  <c r="N5334" i="6"/>
  <c r="N5335" i="6"/>
  <c r="N5336" i="6"/>
  <c r="N5337" i="6"/>
  <c r="N5338" i="6"/>
  <c r="N5339" i="6"/>
  <c r="N5340" i="6"/>
  <c r="N5341" i="6"/>
  <c r="N5342" i="6"/>
  <c r="N5343" i="6"/>
  <c r="N5344" i="6"/>
  <c r="N5345" i="6"/>
  <c r="N5346" i="6"/>
  <c r="N5347" i="6"/>
  <c r="N5348" i="6"/>
  <c r="N5349" i="6"/>
  <c r="N5350" i="6"/>
  <c r="N5351" i="6"/>
  <c r="N5352" i="6"/>
  <c r="N5353" i="6"/>
  <c r="N5354" i="6"/>
  <c r="N5355" i="6"/>
  <c r="N5356" i="6"/>
  <c r="N5357" i="6"/>
  <c r="N5358" i="6"/>
  <c r="N5359" i="6"/>
  <c r="N5360" i="6"/>
  <c r="N5361" i="6"/>
  <c r="N5362" i="6"/>
  <c r="N5363" i="6"/>
  <c r="N5364" i="6"/>
  <c r="N5365" i="6"/>
  <c r="N5366" i="6"/>
  <c r="N5367" i="6"/>
  <c r="N5368" i="6"/>
  <c r="N5369" i="6"/>
  <c r="N5370" i="6"/>
  <c r="N5371" i="6"/>
  <c r="N5372" i="6"/>
  <c r="N5373" i="6"/>
  <c r="N5374" i="6"/>
  <c r="N5375" i="6"/>
  <c r="N5376" i="6"/>
  <c r="N5377" i="6"/>
  <c r="N5378" i="6"/>
  <c r="N5379" i="6"/>
  <c r="N5380" i="6"/>
  <c r="N5381" i="6"/>
  <c r="N5382" i="6"/>
  <c r="N5383" i="6"/>
  <c r="N5384" i="6"/>
  <c r="N5385" i="6"/>
  <c r="N5386" i="6"/>
  <c r="N5387" i="6"/>
  <c r="N5388" i="6"/>
  <c r="N5389" i="6"/>
  <c r="N5390" i="6"/>
  <c r="N5391" i="6"/>
  <c r="N5392" i="6"/>
  <c r="N5393" i="6"/>
  <c r="N5394" i="6"/>
  <c r="N5395" i="6"/>
  <c r="N5396" i="6"/>
  <c r="N5397" i="6"/>
  <c r="N5398" i="6"/>
  <c r="N5399" i="6"/>
  <c r="N5400" i="6"/>
  <c r="N5401" i="6"/>
  <c r="N5402" i="6"/>
  <c r="N5403" i="6"/>
  <c r="N5404" i="6"/>
  <c r="N5405" i="6"/>
  <c r="N5406" i="6"/>
  <c r="N5407" i="6"/>
  <c r="N5408" i="6"/>
  <c r="N5409" i="6"/>
  <c r="N5410" i="6"/>
  <c r="N5411" i="6"/>
  <c r="N5412" i="6"/>
  <c r="N5413" i="6"/>
  <c r="N5414" i="6"/>
  <c r="N5415" i="6"/>
  <c r="N5416" i="6"/>
  <c r="N5417" i="6"/>
  <c r="N5418" i="6"/>
  <c r="N5419" i="6"/>
  <c r="N5420" i="6"/>
  <c r="N5421" i="6"/>
  <c r="N5422" i="6"/>
  <c r="N5423" i="6"/>
  <c r="N5424" i="6"/>
  <c r="N5425" i="6"/>
  <c r="N5426" i="6"/>
  <c r="N5427" i="6"/>
  <c r="N5428" i="6"/>
  <c r="N5429" i="6"/>
  <c r="N5430" i="6"/>
  <c r="N5431" i="6"/>
  <c r="N5432" i="6"/>
  <c r="N5433" i="6"/>
  <c r="N5434" i="6"/>
  <c r="N5435" i="6"/>
  <c r="N5436" i="6"/>
  <c r="N5437" i="6"/>
  <c r="N5438" i="6"/>
  <c r="N5439" i="6"/>
  <c r="N5440" i="6"/>
  <c r="N5441" i="6"/>
  <c r="N5442" i="6"/>
  <c r="N5443" i="6"/>
  <c r="N5444" i="6"/>
  <c r="N5445" i="6"/>
  <c r="N5446" i="6"/>
  <c r="N5447" i="6"/>
  <c r="N5448" i="6"/>
  <c r="N5449" i="6"/>
  <c r="N5450" i="6"/>
  <c r="N5451" i="6"/>
  <c r="N5452" i="6"/>
  <c r="N5453" i="6"/>
  <c r="N5454" i="6"/>
  <c r="N5455" i="6"/>
  <c r="N5456" i="6"/>
  <c r="N5457" i="6"/>
  <c r="N5458" i="6"/>
  <c r="N5459" i="6"/>
  <c r="N5460" i="6"/>
  <c r="N5461" i="6"/>
  <c r="N5462" i="6"/>
  <c r="N5463" i="6"/>
  <c r="N5464" i="6"/>
  <c r="N5465" i="6"/>
  <c r="N5466" i="6"/>
  <c r="N5273" i="6"/>
  <c r="N5274" i="6"/>
  <c r="N5275" i="6"/>
  <c r="N5276" i="6"/>
  <c r="N5277" i="6"/>
  <c r="N5278" i="6"/>
  <c r="N5279" i="6"/>
  <c r="N5280" i="6"/>
  <c r="N5281" i="6"/>
  <c r="N5282" i="6"/>
  <c r="N5283" i="6"/>
  <c r="N5284" i="6"/>
  <c r="N5285" i="6"/>
  <c r="W1083" i="1"/>
  <c r="V1083" i="1"/>
  <c r="U1083" i="1"/>
  <c r="Y1083" i="1" s="1"/>
  <c r="Q1083" i="1"/>
  <c r="H1083" i="1"/>
  <c r="S1083" i="1" s="1"/>
  <c r="T1083" i="1" s="1"/>
  <c r="W1082" i="1"/>
  <c r="V1082" i="1"/>
  <c r="U1082" i="1"/>
  <c r="Y1082" i="1" s="1"/>
  <c r="Q1082" i="1"/>
  <c r="H1082" i="1"/>
  <c r="S1082" i="1" s="1"/>
  <c r="T1082" i="1" s="1"/>
  <c r="W1232" i="1"/>
  <c r="V1232" i="1"/>
  <c r="U1232" i="1"/>
  <c r="Y1232" i="1" s="1"/>
  <c r="Q1232" i="1"/>
  <c r="H1232" i="1"/>
  <c r="S1232" i="1" s="1"/>
  <c r="T1232" i="1" s="1"/>
  <c r="W1231" i="1"/>
  <c r="V1231" i="1"/>
  <c r="U1231" i="1"/>
  <c r="Y1231" i="1" s="1"/>
  <c r="Q1231" i="1"/>
  <c r="H1231" i="1"/>
  <c r="S1231" i="1" s="1"/>
  <c r="T1231" i="1" s="1"/>
  <c r="W1230" i="1"/>
  <c r="V1230" i="1"/>
  <c r="U1230" i="1"/>
  <c r="Y1230" i="1" s="1"/>
  <c r="Q1230" i="1"/>
  <c r="H1230" i="1"/>
  <c r="R1230" i="1" s="1"/>
  <c r="W1229" i="1"/>
  <c r="V1229" i="1"/>
  <c r="U1229" i="1"/>
  <c r="Y1229" i="1" s="1"/>
  <c r="Q1229" i="1"/>
  <c r="H1229" i="1"/>
  <c r="S1229" i="1" s="1"/>
  <c r="T1229" i="1" s="1"/>
  <c r="W1228" i="1"/>
  <c r="V1228" i="1"/>
  <c r="U1228" i="1"/>
  <c r="Y1228" i="1" s="1"/>
  <c r="Q1228" i="1"/>
  <c r="H1228" i="1"/>
  <c r="R1228" i="1" s="1"/>
  <c r="W1227" i="1"/>
  <c r="V1227" i="1"/>
  <c r="U1227" i="1"/>
  <c r="Y1227" i="1" s="1"/>
  <c r="Q1227" i="1"/>
  <c r="H1227" i="1"/>
  <c r="S1227" i="1" s="1"/>
  <c r="T1227" i="1" s="1"/>
  <c r="W1226" i="1"/>
  <c r="V1226" i="1"/>
  <c r="U1226" i="1"/>
  <c r="Y1226" i="1" s="1"/>
  <c r="Q1226" i="1"/>
  <c r="H1226" i="1"/>
  <c r="R1226" i="1" s="1"/>
  <c r="W1225" i="1"/>
  <c r="V1225" i="1"/>
  <c r="U1225" i="1"/>
  <c r="Y1225" i="1" s="1"/>
  <c r="Q1225" i="1"/>
  <c r="H1225" i="1"/>
  <c r="S1225" i="1" s="1"/>
  <c r="T1225" i="1" s="1"/>
  <c r="W1224" i="1"/>
  <c r="V1224" i="1"/>
  <c r="U1224" i="1"/>
  <c r="Y1224" i="1" s="1"/>
  <c r="Q1224" i="1"/>
  <c r="H1224" i="1"/>
  <c r="S1224" i="1" s="1"/>
  <c r="T1224" i="1" s="1"/>
  <c r="W1223" i="1"/>
  <c r="V1223" i="1"/>
  <c r="U1223" i="1"/>
  <c r="Y1223" i="1" s="1"/>
  <c r="Q1223" i="1"/>
  <c r="H1223" i="1"/>
  <c r="S1223" i="1" s="1"/>
  <c r="T1223" i="1" s="1"/>
  <c r="W1222" i="1"/>
  <c r="V1222" i="1"/>
  <c r="U1222" i="1"/>
  <c r="Y1222" i="1" s="1"/>
  <c r="Q1222" i="1"/>
  <c r="H1222" i="1"/>
  <c r="S1222" i="1" s="1"/>
  <c r="T1222" i="1" s="1"/>
  <c r="W1221" i="1"/>
  <c r="V1221" i="1"/>
  <c r="U1221" i="1"/>
  <c r="Y1221" i="1" s="1"/>
  <c r="Q1221" i="1"/>
  <c r="H1221" i="1"/>
  <c r="S1221" i="1" s="1"/>
  <c r="T1221" i="1" s="1"/>
  <c r="W1220" i="1"/>
  <c r="V1220" i="1"/>
  <c r="U1220" i="1"/>
  <c r="Y1220" i="1" s="1"/>
  <c r="Q1220" i="1"/>
  <c r="H1220" i="1"/>
  <c r="S1220" i="1" s="1"/>
  <c r="T1220" i="1" s="1"/>
  <c r="W1219" i="1"/>
  <c r="V1219" i="1"/>
  <c r="U1219" i="1"/>
  <c r="Y1219" i="1" s="1"/>
  <c r="Q1219" i="1"/>
  <c r="H1219" i="1"/>
  <c r="W1218" i="1"/>
  <c r="V1218" i="1"/>
  <c r="U1218" i="1"/>
  <c r="Y1218" i="1" s="1"/>
  <c r="Q1218" i="1"/>
  <c r="H1218" i="1"/>
  <c r="W1217" i="1"/>
  <c r="V1217" i="1"/>
  <c r="U1217" i="1"/>
  <c r="Y1217" i="1" s="1"/>
  <c r="Q1217" i="1"/>
  <c r="H1217" i="1"/>
  <c r="S1217" i="1" s="1"/>
  <c r="T1217" i="1" s="1"/>
  <c r="W1216" i="1"/>
  <c r="V1216" i="1"/>
  <c r="U1216" i="1"/>
  <c r="Y1216" i="1" s="1"/>
  <c r="Q1216" i="1"/>
  <c r="H1216" i="1"/>
  <c r="W1215" i="1"/>
  <c r="V1215" i="1"/>
  <c r="U1215" i="1"/>
  <c r="Y1215" i="1" s="1"/>
  <c r="Q1215" i="1"/>
  <c r="H1215" i="1"/>
  <c r="S1215" i="1" s="1"/>
  <c r="T1215" i="1" s="1"/>
  <c r="W1214" i="1"/>
  <c r="V1214" i="1"/>
  <c r="U1214" i="1"/>
  <c r="Y1214" i="1" s="1"/>
  <c r="Q1214" i="1"/>
  <c r="H1214" i="1"/>
  <c r="S1214" i="1" s="1"/>
  <c r="T1214" i="1" s="1"/>
  <c r="W1213" i="1"/>
  <c r="V1213" i="1"/>
  <c r="U1213" i="1"/>
  <c r="Y1213" i="1" s="1"/>
  <c r="Q1213" i="1"/>
  <c r="H1213" i="1"/>
  <c r="R1213" i="1" s="1"/>
  <c r="W1212" i="1"/>
  <c r="V1212" i="1"/>
  <c r="U1212" i="1"/>
  <c r="Y1212" i="1" s="1"/>
  <c r="Q1212" i="1"/>
  <c r="H1212" i="1"/>
  <c r="S1212" i="1" s="1"/>
  <c r="T1212" i="1" s="1"/>
  <c r="W1211" i="1"/>
  <c r="V1211" i="1"/>
  <c r="U1211" i="1"/>
  <c r="Y1211" i="1" s="1"/>
  <c r="Q1211" i="1"/>
  <c r="H1211" i="1"/>
  <c r="W1210" i="1"/>
  <c r="V1210" i="1"/>
  <c r="U1210" i="1"/>
  <c r="Y1210" i="1" s="1"/>
  <c r="Q1210" i="1"/>
  <c r="H1210" i="1"/>
  <c r="W1209" i="1"/>
  <c r="V1209" i="1"/>
  <c r="U1209" i="1"/>
  <c r="Y1209" i="1" s="1"/>
  <c r="Q1209" i="1"/>
  <c r="H1209" i="1"/>
  <c r="S1209" i="1" s="1"/>
  <c r="T1209" i="1" s="1"/>
  <c r="W1208" i="1"/>
  <c r="V1208" i="1"/>
  <c r="U1208" i="1"/>
  <c r="Y1208" i="1" s="1"/>
  <c r="Q1208" i="1"/>
  <c r="H1208" i="1"/>
  <c r="W1207" i="1"/>
  <c r="V1207" i="1"/>
  <c r="U1207" i="1"/>
  <c r="Y1207" i="1" s="1"/>
  <c r="Q1207" i="1"/>
  <c r="H1207" i="1"/>
  <c r="S1207" i="1" s="1"/>
  <c r="T1207" i="1" s="1"/>
  <c r="W1206" i="1"/>
  <c r="V1206" i="1"/>
  <c r="U1206" i="1"/>
  <c r="Y1206" i="1" s="1"/>
  <c r="Q1206" i="1"/>
  <c r="H1206" i="1"/>
  <c r="S1206" i="1" s="1"/>
  <c r="T1206" i="1" s="1"/>
  <c r="W1205" i="1"/>
  <c r="V1205" i="1"/>
  <c r="U1205" i="1"/>
  <c r="Y1205" i="1" s="1"/>
  <c r="Q1205" i="1"/>
  <c r="H1205" i="1"/>
  <c r="H1204" i="1"/>
  <c r="R1204" i="1" s="1"/>
  <c r="Q1204" i="1"/>
  <c r="U1204" i="1"/>
  <c r="X1204" i="1" s="1"/>
  <c r="V1204" i="1"/>
  <c r="W1204" i="1"/>
  <c r="W1203" i="1"/>
  <c r="V1203" i="1"/>
  <c r="U1203" i="1"/>
  <c r="X1203" i="1" s="1"/>
  <c r="Q1203" i="1"/>
  <c r="H1203" i="1"/>
  <c r="R1203" i="1" s="1"/>
  <c r="H1202" i="1"/>
  <c r="R1202" i="1" s="1"/>
  <c r="Q1202" i="1"/>
  <c r="U1202" i="1"/>
  <c r="X1202" i="1" s="1"/>
  <c r="V1202" i="1"/>
  <c r="W1202" i="1"/>
  <c r="W1201" i="1"/>
  <c r="V1201" i="1"/>
  <c r="U1201" i="1"/>
  <c r="Y1201" i="1" s="1"/>
  <c r="Q1201" i="1"/>
  <c r="H1201" i="1"/>
  <c r="S1201" i="1" s="1"/>
  <c r="T1201" i="1" s="1"/>
  <c r="W1200" i="1"/>
  <c r="V1200" i="1"/>
  <c r="U1200" i="1"/>
  <c r="Y1200" i="1" s="1"/>
  <c r="Q1200" i="1"/>
  <c r="H1200" i="1"/>
  <c r="S1200" i="1" s="1"/>
  <c r="T1200" i="1" s="1"/>
  <c r="W1199" i="1"/>
  <c r="V1199" i="1"/>
  <c r="U1199" i="1"/>
  <c r="Y1199" i="1" s="1"/>
  <c r="Q1199" i="1"/>
  <c r="H1199" i="1"/>
  <c r="W1198" i="1"/>
  <c r="V1198" i="1"/>
  <c r="U1198" i="1"/>
  <c r="Y1198" i="1" s="1"/>
  <c r="Q1198" i="1"/>
  <c r="H1198" i="1"/>
  <c r="S1198" i="1" s="1"/>
  <c r="T1198" i="1" s="1"/>
  <c r="W1197" i="1"/>
  <c r="V1197" i="1"/>
  <c r="U1197" i="1"/>
  <c r="Y1197" i="1" s="1"/>
  <c r="Q1197" i="1"/>
  <c r="H1197" i="1"/>
  <c r="S1197" i="1" s="1"/>
  <c r="T1197" i="1" s="1"/>
  <c r="W1196" i="1"/>
  <c r="V1196" i="1"/>
  <c r="U1196" i="1"/>
  <c r="Y1196" i="1" s="1"/>
  <c r="Q1196" i="1"/>
  <c r="H1196" i="1"/>
  <c r="R1196" i="1" s="1"/>
  <c r="W1195" i="1"/>
  <c r="V1195" i="1"/>
  <c r="U1195" i="1"/>
  <c r="Y1195" i="1" s="1"/>
  <c r="Q1195" i="1"/>
  <c r="H1195" i="1"/>
  <c r="W1194" i="1"/>
  <c r="V1194" i="1"/>
  <c r="U1194" i="1"/>
  <c r="Y1194" i="1" s="1"/>
  <c r="Q1194" i="1"/>
  <c r="H1194" i="1"/>
  <c r="S1194" i="1" s="1"/>
  <c r="T1194" i="1" s="1"/>
  <c r="W1193" i="1"/>
  <c r="V1193" i="1"/>
  <c r="U1193" i="1"/>
  <c r="Y1193" i="1" s="1"/>
  <c r="Q1193" i="1"/>
  <c r="H1193" i="1"/>
  <c r="W1192" i="1"/>
  <c r="V1192" i="1"/>
  <c r="U1192" i="1"/>
  <c r="Y1192" i="1" s="1"/>
  <c r="Q1192" i="1"/>
  <c r="H1192" i="1"/>
  <c r="W1191" i="1"/>
  <c r="V1191" i="1"/>
  <c r="U1191" i="1"/>
  <c r="Y1191" i="1" s="1"/>
  <c r="Q1191" i="1"/>
  <c r="H1191" i="1"/>
  <c r="S1191" i="1" s="1"/>
  <c r="T1191" i="1" s="1"/>
  <c r="W1190" i="1"/>
  <c r="V1190" i="1"/>
  <c r="U1190" i="1"/>
  <c r="Y1190" i="1" s="1"/>
  <c r="Q1190" i="1"/>
  <c r="H1190" i="1"/>
  <c r="S1190" i="1" s="1"/>
  <c r="T1190" i="1" s="1"/>
  <c r="W1189" i="1"/>
  <c r="V1189" i="1"/>
  <c r="U1189" i="1"/>
  <c r="Y1189" i="1" s="1"/>
  <c r="Q1189" i="1"/>
  <c r="H1189" i="1"/>
  <c r="S1189" i="1" s="1"/>
  <c r="T1189" i="1" s="1"/>
  <c r="W1188" i="1"/>
  <c r="V1188" i="1"/>
  <c r="U1188" i="1"/>
  <c r="X1188" i="1" s="1"/>
  <c r="Q1188" i="1"/>
  <c r="H1188" i="1"/>
  <c r="S1188" i="1" s="1"/>
  <c r="T1188" i="1" s="1"/>
  <c r="W1187" i="1"/>
  <c r="V1187" i="1"/>
  <c r="U1187" i="1"/>
  <c r="Y1187" i="1" s="1"/>
  <c r="Q1187" i="1"/>
  <c r="H1187" i="1"/>
  <c r="S1187" i="1" s="1"/>
  <c r="T1187" i="1" s="1"/>
  <c r="W1186" i="1"/>
  <c r="V1186" i="1"/>
  <c r="U1186" i="1"/>
  <c r="X1186" i="1" s="1"/>
  <c r="Q1186" i="1"/>
  <c r="H1186" i="1"/>
  <c r="S1186" i="1" s="1"/>
  <c r="T1186" i="1" s="1"/>
  <c r="W1185" i="1"/>
  <c r="V1185" i="1"/>
  <c r="U1185" i="1"/>
  <c r="Y1185" i="1" s="1"/>
  <c r="Q1185" i="1"/>
  <c r="H1185" i="1"/>
  <c r="S1185" i="1" s="1"/>
  <c r="T1185" i="1" s="1"/>
  <c r="W1184" i="1"/>
  <c r="V1184" i="1"/>
  <c r="U1184" i="1"/>
  <c r="X1184" i="1" s="1"/>
  <c r="Q1184" i="1"/>
  <c r="H1184" i="1"/>
  <c r="S1184" i="1" s="1"/>
  <c r="T1184" i="1" s="1"/>
  <c r="W1183" i="1"/>
  <c r="V1183" i="1"/>
  <c r="U1183" i="1"/>
  <c r="Y1183" i="1" s="1"/>
  <c r="Q1183" i="1"/>
  <c r="H1183" i="1"/>
  <c r="W1182" i="1"/>
  <c r="V1182" i="1"/>
  <c r="U1182" i="1"/>
  <c r="Y1182" i="1" s="1"/>
  <c r="Q1182" i="1"/>
  <c r="H1182" i="1"/>
  <c r="R1182" i="1" s="1"/>
  <c r="X1083" i="1" l="1"/>
  <c r="Z1083" i="1" s="1"/>
  <c r="R1083" i="1"/>
  <c r="R1082" i="1"/>
  <c r="X1082" i="1"/>
  <c r="Z1082" i="1" s="1"/>
  <c r="R1231" i="1"/>
  <c r="R1232" i="1"/>
  <c r="X1232" i="1"/>
  <c r="Z1232" i="1" s="1"/>
  <c r="X1231" i="1"/>
  <c r="Z1231" i="1" s="1"/>
  <c r="S1230" i="1"/>
  <c r="T1230" i="1" s="1"/>
  <c r="X1230" i="1"/>
  <c r="Z1230" i="1" s="1"/>
  <c r="S1228" i="1"/>
  <c r="T1228" i="1" s="1"/>
  <c r="R1225" i="1"/>
  <c r="R1229" i="1"/>
  <c r="X1229" i="1"/>
  <c r="Z1229" i="1" s="1"/>
  <c r="R1227" i="1"/>
  <c r="X1228" i="1"/>
  <c r="Z1228" i="1" s="1"/>
  <c r="X1227" i="1"/>
  <c r="Z1227" i="1" s="1"/>
  <c r="S1226" i="1"/>
  <c r="T1226" i="1" s="1"/>
  <c r="X1226" i="1"/>
  <c r="Z1226" i="1" s="1"/>
  <c r="X1225" i="1"/>
  <c r="Z1225" i="1" s="1"/>
  <c r="R1224" i="1"/>
  <c r="X1224" i="1"/>
  <c r="Z1224" i="1" s="1"/>
  <c r="R1223" i="1"/>
  <c r="X1223" i="1"/>
  <c r="Z1223" i="1" s="1"/>
  <c r="R1222" i="1"/>
  <c r="X1222" i="1"/>
  <c r="Z1222" i="1" s="1"/>
  <c r="R1221" i="1"/>
  <c r="X1221" i="1"/>
  <c r="Z1221" i="1" s="1"/>
  <c r="R1220" i="1"/>
  <c r="X1220" i="1"/>
  <c r="Z1220" i="1" s="1"/>
  <c r="R1219" i="1"/>
  <c r="S1219" i="1"/>
  <c r="T1219" i="1" s="1"/>
  <c r="X1219" i="1"/>
  <c r="Z1219" i="1" s="1"/>
  <c r="S1213" i="1"/>
  <c r="T1213" i="1" s="1"/>
  <c r="R1218" i="1"/>
  <c r="S1218" i="1"/>
  <c r="T1218" i="1" s="1"/>
  <c r="X1218" i="1"/>
  <c r="Z1218" i="1" s="1"/>
  <c r="R1217" i="1"/>
  <c r="X1217" i="1"/>
  <c r="Z1217" i="1" s="1"/>
  <c r="R1216" i="1"/>
  <c r="S1216" i="1"/>
  <c r="T1216" i="1" s="1"/>
  <c r="X1216" i="1"/>
  <c r="Z1216" i="1" s="1"/>
  <c r="R1215" i="1"/>
  <c r="X1215" i="1"/>
  <c r="Z1215" i="1" s="1"/>
  <c r="R1214" i="1"/>
  <c r="X1214" i="1"/>
  <c r="Z1214" i="1" s="1"/>
  <c r="X1213" i="1"/>
  <c r="Z1213" i="1" s="1"/>
  <c r="R1212" i="1"/>
  <c r="X1212" i="1"/>
  <c r="Z1212" i="1" s="1"/>
  <c r="R1211" i="1"/>
  <c r="S1211" i="1"/>
  <c r="T1211" i="1" s="1"/>
  <c r="X1211" i="1"/>
  <c r="Z1211" i="1" s="1"/>
  <c r="R1210" i="1"/>
  <c r="S1210" i="1"/>
  <c r="T1210" i="1" s="1"/>
  <c r="X1210" i="1"/>
  <c r="Z1210" i="1" s="1"/>
  <c r="R1209" i="1"/>
  <c r="X1209" i="1"/>
  <c r="Z1209" i="1" s="1"/>
  <c r="R1208" i="1"/>
  <c r="S1208" i="1"/>
  <c r="T1208" i="1" s="1"/>
  <c r="X1208" i="1"/>
  <c r="Z1208" i="1" s="1"/>
  <c r="R1207" i="1"/>
  <c r="X1207" i="1"/>
  <c r="Z1207" i="1" s="1"/>
  <c r="X1206" i="1"/>
  <c r="Z1206" i="1" s="1"/>
  <c r="R1206" i="1"/>
  <c r="R1205" i="1"/>
  <c r="S1205" i="1"/>
  <c r="T1205" i="1" s="1"/>
  <c r="X1205" i="1"/>
  <c r="Z1205" i="1" s="1"/>
  <c r="Z1203" i="1"/>
  <c r="Z1202" i="1"/>
  <c r="Z1204" i="1"/>
  <c r="Y1204" i="1"/>
  <c r="S1204" i="1"/>
  <c r="T1204" i="1" s="1"/>
  <c r="S1203" i="1"/>
  <c r="T1203" i="1" s="1"/>
  <c r="Y1203" i="1"/>
  <c r="Y1202" i="1"/>
  <c r="S1202" i="1"/>
  <c r="T1202" i="1" s="1"/>
  <c r="R1201" i="1"/>
  <c r="X1201" i="1"/>
  <c r="Z1201" i="1" s="1"/>
  <c r="X1200" i="1"/>
  <c r="Z1200" i="1" s="1"/>
  <c r="R1200" i="1"/>
  <c r="R1199" i="1"/>
  <c r="S1199" i="1"/>
  <c r="T1199" i="1" s="1"/>
  <c r="X1199" i="1"/>
  <c r="Z1199" i="1" s="1"/>
  <c r="R1198" i="1"/>
  <c r="X1198" i="1"/>
  <c r="Z1198" i="1" s="1"/>
  <c r="X1197" i="1"/>
  <c r="Z1197" i="1" s="1"/>
  <c r="R1197" i="1"/>
  <c r="Z1186" i="1"/>
  <c r="S1196" i="1"/>
  <c r="T1196" i="1" s="1"/>
  <c r="X1196" i="1"/>
  <c r="Z1196" i="1" s="1"/>
  <c r="X1195" i="1"/>
  <c r="Z1195" i="1" s="1"/>
  <c r="S1195" i="1"/>
  <c r="T1195" i="1" s="1"/>
  <c r="R1195" i="1"/>
  <c r="X1194" i="1"/>
  <c r="Z1194" i="1" s="1"/>
  <c r="R1194" i="1"/>
  <c r="R1193" i="1"/>
  <c r="S1193" i="1"/>
  <c r="T1193" i="1" s="1"/>
  <c r="X1193" i="1"/>
  <c r="Z1193" i="1" s="1"/>
  <c r="R1192" i="1"/>
  <c r="X1192" i="1"/>
  <c r="Z1192" i="1" s="1"/>
  <c r="S1192" i="1"/>
  <c r="T1192" i="1" s="1"/>
  <c r="X1191" i="1"/>
  <c r="Z1191" i="1" s="1"/>
  <c r="R1191" i="1"/>
  <c r="R1190" i="1"/>
  <c r="X1190" i="1"/>
  <c r="Z1190" i="1" s="1"/>
  <c r="X1189" i="1"/>
  <c r="Z1189" i="1" s="1"/>
  <c r="R1189" i="1"/>
  <c r="Y1188" i="1"/>
  <c r="R1188" i="1"/>
  <c r="Z1188" i="1"/>
  <c r="R1187" i="1"/>
  <c r="X1187" i="1"/>
  <c r="Z1187" i="1" s="1"/>
  <c r="Y1186" i="1"/>
  <c r="R1186" i="1"/>
  <c r="X1185" i="1"/>
  <c r="Z1185" i="1" s="1"/>
  <c r="R1185" i="1"/>
  <c r="Y1184" i="1"/>
  <c r="Z1184" i="1"/>
  <c r="R1184" i="1"/>
  <c r="R1183" i="1"/>
  <c r="X1183" i="1"/>
  <c r="Z1183" i="1" s="1"/>
  <c r="S1183" i="1"/>
  <c r="T1183" i="1" s="1"/>
  <c r="S1182" i="1"/>
  <c r="T1182" i="1" s="1"/>
  <c r="X1182" i="1"/>
  <c r="Z1182" i="1" s="1"/>
  <c r="W1181" i="1" l="1"/>
  <c r="V1181" i="1"/>
  <c r="U1181" i="1"/>
  <c r="Y1181" i="1" s="1"/>
  <c r="S1181" i="1"/>
  <c r="T1181" i="1" s="1"/>
  <c r="R1181" i="1"/>
  <c r="Q1181" i="1"/>
  <c r="W1180" i="1"/>
  <c r="V1180" i="1"/>
  <c r="U1180" i="1"/>
  <c r="Y1180" i="1" s="1"/>
  <c r="Q1180" i="1"/>
  <c r="H1180" i="1"/>
  <c r="S1180" i="1" s="1"/>
  <c r="T1180" i="1" s="1"/>
  <c r="W1179" i="1"/>
  <c r="V1179" i="1"/>
  <c r="U1179" i="1"/>
  <c r="X1179" i="1" s="1"/>
  <c r="Q1179" i="1"/>
  <c r="H1179" i="1"/>
  <c r="W1178" i="1"/>
  <c r="V1178" i="1"/>
  <c r="U1178" i="1"/>
  <c r="Y1178" i="1" s="1"/>
  <c r="Q1178" i="1"/>
  <c r="H1178" i="1"/>
  <c r="S1178" i="1" s="1"/>
  <c r="T1178" i="1" s="1"/>
  <c r="W1177" i="1"/>
  <c r="V1177" i="1"/>
  <c r="U1177" i="1"/>
  <c r="Y1177" i="1" s="1"/>
  <c r="Q1177" i="1"/>
  <c r="H1177" i="1"/>
  <c r="R1177" i="1" s="1"/>
  <c r="W1176" i="1"/>
  <c r="V1176" i="1"/>
  <c r="U1176" i="1"/>
  <c r="Y1176" i="1" s="1"/>
  <c r="Q1176" i="1"/>
  <c r="H1176" i="1"/>
  <c r="S1176" i="1" s="1"/>
  <c r="T1176" i="1" s="1"/>
  <c r="W1175" i="1"/>
  <c r="V1175" i="1"/>
  <c r="U1175" i="1"/>
  <c r="Y1175" i="1" s="1"/>
  <c r="Q1175" i="1"/>
  <c r="H1175" i="1"/>
  <c r="W1174" i="1"/>
  <c r="V1174" i="1"/>
  <c r="U1174" i="1"/>
  <c r="Y1174" i="1" s="1"/>
  <c r="Q1174" i="1"/>
  <c r="H1174" i="1"/>
  <c r="S1174" i="1" s="1"/>
  <c r="T1174" i="1" s="1"/>
  <c r="W1173" i="1"/>
  <c r="V1173" i="1"/>
  <c r="U1173" i="1"/>
  <c r="Y1173" i="1" s="1"/>
  <c r="Q1173" i="1"/>
  <c r="H1173" i="1"/>
  <c r="S1173" i="1" s="1"/>
  <c r="T1173" i="1" s="1"/>
  <c r="W1172" i="1"/>
  <c r="V1172" i="1"/>
  <c r="U1172" i="1"/>
  <c r="Y1172" i="1" s="1"/>
  <c r="Q1172" i="1"/>
  <c r="H1172" i="1"/>
  <c r="W1171" i="1"/>
  <c r="V1171" i="1"/>
  <c r="U1171" i="1"/>
  <c r="Y1171" i="1" s="1"/>
  <c r="Q1171" i="1"/>
  <c r="H1171" i="1"/>
  <c r="S1171" i="1" s="1"/>
  <c r="T1171" i="1" s="1"/>
  <c r="W1170" i="1"/>
  <c r="V1170" i="1"/>
  <c r="U1170" i="1"/>
  <c r="X1170" i="1" s="1"/>
  <c r="Q1170" i="1"/>
  <c r="H1170" i="1"/>
  <c r="S1170" i="1" s="1"/>
  <c r="T1170" i="1" s="1"/>
  <c r="Q1169" i="1"/>
  <c r="U1169" i="1"/>
  <c r="X1169" i="1" s="1"/>
  <c r="V1169" i="1"/>
  <c r="W1169" i="1"/>
  <c r="H1169" i="1"/>
  <c r="R1169" i="1" s="1"/>
  <c r="Q1168" i="1"/>
  <c r="U1168" i="1"/>
  <c r="Y1168" i="1" s="1"/>
  <c r="V1168" i="1"/>
  <c r="W1168" i="1"/>
  <c r="H1168" i="1"/>
  <c r="R1168" i="1" s="1"/>
  <c r="Q1167" i="1"/>
  <c r="U1167" i="1"/>
  <c r="X1167" i="1" s="1"/>
  <c r="V1167" i="1"/>
  <c r="W1167" i="1"/>
  <c r="H1167" i="1"/>
  <c r="R1167" i="1" s="1"/>
  <c r="Q1166" i="1"/>
  <c r="U1166" i="1"/>
  <c r="X1166" i="1" s="1"/>
  <c r="V1166" i="1"/>
  <c r="W1166" i="1"/>
  <c r="H1166" i="1"/>
  <c r="R1166" i="1" s="1"/>
  <c r="Q1165" i="1"/>
  <c r="U1165" i="1"/>
  <c r="Y1165" i="1" s="1"/>
  <c r="V1165" i="1"/>
  <c r="W1165" i="1"/>
  <c r="H1165" i="1"/>
  <c r="R1165" i="1" s="1"/>
  <c r="Q1164" i="1"/>
  <c r="U1164" i="1"/>
  <c r="Y1164" i="1" s="1"/>
  <c r="V1164" i="1"/>
  <c r="W1164" i="1"/>
  <c r="H1164" i="1"/>
  <c r="R1164" i="1" s="1"/>
  <c r="S1177" i="1" l="1"/>
  <c r="T1177" i="1" s="1"/>
  <c r="X1181" i="1"/>
  <c r="Z1181" i="1" s="1"/>
  <c r="Z1170" i="1"/>
  <c r="R1180" i="1"/>
  <c r="X1180" i="1"/>
  <c r="Z1180" i="1" s="1"/>
  <c r="Z1179" i="1"/>
  <c r="S1179" i="1"/>
  <c r="T1179" i="1" s="1"/>
  <c r="R1179" i="1"/>
  <c r="Y1179" i="1"/>
  <c r="R1178" i="1"/>
  <c r="X1178" i="1"/>
  <c r="Z1178" i="1" s="1"/>
  <c r="X1177" i="1"/>
  <c r="Z1177" i="1" s="1"/>
  <c r="X1176" i="1"/>
  <c r="Z1176" i="1" s="1"/>
  <c r="R1176" i="1"/>
  <c r="S1175" i="1"/>
  <c r="T1175" i="1" s="1"/>
  <c r="R1175" i="1"/>
  <c r="X1175" i="1"/>
  <c r="Z1175" i="1" s="1"/>
  <c r="X1174" i="1"/>
  <c r="Z1174" i="1" s="1"/>
  <c r="R1174" i="1"/>
  <c r="R1173" i="1"/>
  <c r="X1173" i="1"/>
  <c r="Z1173" i="1" s="1"/>
  <c r="R1172" i="1"/>
  <c r="S1172" i="1"/>
  <c r="T1172" i="1" s="1"/>
  <c r="X1172" i="1"/>
  <c r="Z1172" i="1" s="1"/>
  <c r="X1171" i="1"/>
  <c r="Z1171" i="1" s="1"/>
  <c r="R1171" i="1"/>
  <c r="R1170" i="1"/>
  <c r="Y1170" i="1"/>
  <c r="Y1169" i="1"/>
  <c r="S1169" i="1"/>
  <c r="T1169" i="1" s="1"/>
  <c r="Z1169" i="1"/>
  <c r="X1168" i="1"/>
  <c r="Z1168" i="1" s="1"/>
  <c r="S1168" i="1"/>
  <c r="T1168" i="1" s="1"/>
  <c r="Y1167" i="1"/>
  <c r="S1167" i="1"/>
  <c r="T1167" i="1" s="1"/>
  <c r="Z1167" i="1"/>
  <c r="Y1166" i="1"/>
  <c r="S1166" i="1"/>
  <c r="T1166" i="1" s="1"/>
  <c r="Z1166" i="1"/>
  <c r="X1165" i="1"/>
  <c r="Z1165" i="1" s="1"/>
  <c r="S1165" i="1"/>
  <c r="T1165" i="1" s="1"/>
  <c r="X1164" i="1"/>
  <c r="Z1164" i="1" s="1"/>
  <c r="S1164" i="1"/>
  <c r="T1164" i="1" s="1"/>
  <c r="N5251" i="6"/>
  <c r="N5252" i="6"/>
  <c r="N5253" i="6"/>
  <c r="N5254" i="6"/>
  <c r="N5255" i="6"/>
  <c r="N5256" i="6"/>
  <c r="N5257" i="6"/>
  <c r="N5258" i="6"/>
  <c r="N5259" i="6"/>
  <c r="N5260" i="6"/>
  <c r="N5261" i="6"/>
  <c r="N5262" i="6"/>
  <c r="N5263" i="6"/>
  <c r="N5264" i="6"/>
  <c r="N5265" i="6"/>
  <c r="N5266" i="6"/>
  <c r="N5267" i="6"/>
  <c r="N5268" i="6"/>
  <c r="N5269" i="6"/>
  <c r="N5270" i="6"/>
  <c r="N5271" i="6"/>
  <c r="N5272" i="6"/>
  <c r="N5250" i="6"/>
  <c r="N5249" i="6"/>
  <c r="W1163" i="1"/>
  <c r="V1163" i="1"/>
  <c r="U1163" i="1"/>
  <c r="Y1163" i="1" s="1"/>
  <c r="W1162" i="1"/>
  <c r="V1162" i="1"/>
  <c r="U1162" i="1"/>
  <c r="W1161" i="1"/>
  <c r="V1161" i="1"/>
  <c r="U1161" i="1"/>
  <c r="X1161" i="1" s="1"/>
  <c r="W1160" i="1"/>
  <c r="V1160" i="1"/>
  <c r="U1160" i="1"/>
  <c r="W1159" i="1"/>
  <c r="V1159" i="1"/>
  <c r="U1159" i="1"/>
  <c r="W1158" i="1"/>
  <c r="V1158" i="1"/>
  <c r="U1158" i="1"/>
  <c r="W1157" i="1"/>
  <c r="V1157" i="1"/>
  <c r="U1157" i="1"/>
  <c r="W1156" i="1"/>
  <c r="V1156" i="1"/>
  <c r="U1156" i="1"/>
  <c r="Y1156" i="1" s="1"/>
  <c r="W1155" i="1"/>
  <c r="V1155" i="1"/>
  <c r="U1155" i="1"/>
  <c r="W1154" i="1"/>
  <c r="V1154" i="1"/>
  <c r="U1154" i="1"/>
  <c r="W1153" i="1"/>
  <c r="V1153" i="1"/>
  <c r="U1153" i="1"/>
  <c r="W1152" i="1"/>
  <c r="V1152" i="1"/>
  <c r="U1152" i="1"/>
  <c r="W1151" i="1"/>
  <c r="V1151" i="1"/>
  <c r="U1151" i="1"/>
  <c r="W1150" i="1"/>
  <c r="V1150" i="1"/>
  <c r="U1150" i="1"/>
  <c r="W1149" i="1"/>
  <c r="V1149" i="1"/>
  <c r="U1149" i="1"/>
  <c r="Y1149" i="1" s="1"/>
  <c r="W1148" i="1"/>
  <c r="V1148" i="1"/>
  <c r="U1148" i="1"/>
  <c r="Y1148" i="1" s="1"/>
  <c r="W1147" i="1"/>
  <c r="V1147" i="1"/>
  <c r="U1147" i="1"/>
  <c r="W1146" i="1"/>
  <c r="V1146" i="1"/>
  <c r="U1146" i="1"/>
  <c r="W1145" i="1"/>
  <c r="V1145" i="1"/>
  <c r="U1145" i="1"/>
  <c r="W1144" i="1"/>
  <c r="V1144" i="1"/>
  <c r="U1144" i="1"/>
  <c r="W1143" i="1"/>
  <c r="V1143" i="1"/>
  <c r="U1143" i="1"/>
  <c r="W1142" i="1"/>
  <c r="V1142" i="1"/>
  <c r="U1142" i="1"/>
  <c r="W1141" i="1"/>
  <c r="V1141" i="1"/>
  <c r="U1141" i="1"/>
  <c r="W1140" i="1"/>
  <c r="V1140" i="1"/>
  <c r="U1140" i="1"/>
  <c r="W1139" i="1"/>
  <c r="V1139" i="1"/>
  <c r="U1139" i="1"/>
  <c r="W1138" i="1"/>
  <c r="V1138" i="1"/>
  <c r="U1138" i="1"/>
  <c r="W1137" i="1"/>
  <c r="V1137" i="1"/>
  <c r="U1137" i="1"/>
  <c r="W1136" i="1"/>
  <c r="V1136" i="1"/>
  <c r="U1136" i="1"/>
  <c r="W1135" i="1"/>
  <c r="V1135" i="1"/>
  <c r="U1135" i="1"/>
  <c r="W1134" i="1"/>
  <c r="V1134" i="1"/>
  <c r="U1134" i="1"/>
  <c r="W1133" i="1"/>
  <c r="V1133" i="1"/>
  <c r="U1133" i="1"/>
  <c r="W1132" i="1"/>
  <c r="V1132" i="1"/>
  <c r="U1132" i="1"/>
  <c r="W1131" i="1"/>
  <c r="V1131" i="1"/>
  <c r="U1131" i="1"/>
  <c r="W1130" i="1"/>
  <c r="V1130" i="1"/>
  <c r="U1130" i="1"/>
  <c r="W1129" i="1"/>
  <c r="V1129" i="1"/>
  <c r="U1129" i="1"/>
  <c r="W1128" i="1"/>
  <c r="V1128" i="1"/>
  <c r="U1128" i="1"/>
  <c r="W1127" i="1"/>
  <c r="V1127" i="1"/>
  <c r="U1127" i="1"/>
  <c r="W1126" i="1"/>
  <c r="V1126" i="1"/>
  <c r="U1126" i="1"/>
  <c r="W1125" i="1"/>
  <c r="V1125" i="1"/>
  <c r="U1125" i="1"/>
  <c r="W1124" i="1"/>
  <c r="V1124" i="1"/>
  <c r="U1124" i="1"/>
  <c r="W1123" i="1"/>
  <c r="V1123" i="1"/>
  <c r="U1123" i="1"/>
  <c r="W1122" i="1"/>
  <c r="V1122" i="1"/>
  <c r="U1122" i="1"/>
  <c r="W1121" i="1"/>
  <c r="V1121" i="1"/>
  <c r="U1121" i="1"/>
  <c r="W1120" i="1"/>
  <c r="V1120" i="1"/>
  <c r="U1120" i="1"/>
  <c r="W1119" i="1"/>
  <c r="V1119" i="1"/>
  <c r="U1119" i="1"/>
  <c r="W1118" i="1"/>
  <c r="V1118" i="1"/>
  <c r="U1118" i="1"/>
  <c r="W1117" i="1"/>
  <c r="V1117" i="1"/>
  <c r="U1117" i="1"/>
  <c r="W1116" i="1"/>
  <c r="V1116" i="1"/>
  <c r="U1116" i="1"/>
  <c r="W1115" i="1"/>
  <c r="V1115" i="1"/>
  <c r="U1115" i="1"/>
  <c r="W1114" i="1"/>
  <c r="V1114" i="1"/>
  <c r="U1114" i="1"/>
  <c r="W1113" i="1"/>
  <c r="V1113" i="1"/>
  <c r="U1113" i="1"/>
  <c r="W1112" i="1"/>
  <c r="V1112" i="1"/>
  <c r="U1112" i="1"/>
  <c r="W1111" i="1"/>
  <c r="V1111" i="1"/>
  <c r="U1111" i="1"/>
  <c r="W1110" i="1"/>
  <c r="V1110" i="1"/>
  <c r="U1110" i="1"/>
  <c r="Y1110" i="1" s="1"/>
  <c r="W1109" i="1"/>
  <c r="V1109" i="1"/>
  <c r="U1109" i="1"/>
  <c r="Y1109" i="1" s="1"/>
  <c r="W1108" i="1"/>
  <c r="V1108" i="1"/>
  <c r="U1108" i="1"/>
  <c r="X1108" i="1" s="1"/>
  <c r="W1107" i="1"/>
  <c r="V1107" i="1"/>
  <c r="U1107" i="1"/>
  <c r="X1107" i="1" s="1"/>
  <c r="W1106" i="1"/>
  <c r="V1106" i="1"/>
  <c r="U1106" i="1"/>
  <c r="Y1106" i="1" s="1"/>
  <c r="W1105" i="1"/>
  <c r="V1105" i="1"/>
  <c r="U1105" i="1"/>
  <c r="X1105" i="1" s="1"/>
  <c r="W1104" i="1"/>
  <c r="V1104" i="1"/>
  <c r="U1104" i="1"/>
  <c r="Y1104" i="1" s="1"/>
  <c r="W1103" i="1"/>
  <c r="V1103" i="1"/>
  <c r="U1103" i="1"/>
  <c r="W1102" i="1"/>
  <c r="V1102" i="1"/>
  <c r="U1102" i="1"/>
  <c r="W1101" i="1"/>
  <c r="V1101" i="1"/>
  <c r="U1101" i="1"/>
  <c r="W1100" i="1"/>
  <c r="V1100" i="1"/>
  <c r="U1100" i="1"/>
  <c r="W1099" i="1"/>
  <c r="V1099" i="1"/>
  <c r="U1099" i="1"/>
  <c r="W1098" i="1"/>
  <c r="V1098" i="1"/>
  <c r="U1098" i="1"/>
  <c r="W1097" i="1"/>
  <c r="V1097" i="1"/>
  <c r="U1097" i="1"/>
  <c r="W1096" i="1"/>
  <c r="V1096" i="1"/>
  <c r="U1096" i="1"/>
  <c r="W1095" i="1"/>
  <c r="V1095" i="1"/>
  <c r="U1095" i="1"/>
  <c r="W1094" i="1"/>
  <c r="V1094" i="1"/>
  <c r="U1094" i="1"/>
  <c r="W1093" i="1"/>
  <c r="V1093" i="1"/>
  <c r="U1093" i="1"/>
  <c r="W1092" i="1"/>
  <c r="V1092" i="1"/>
  <c r="U1092" i="1"/>
  <c r="W1091" i="1"/>
  <c r="V1091" i="1"/>
  <c r="U1091" i="1"/>
  <c r="W1090" i="1"/>
  <c r="V1090" i="1"/>
  <c r="U1090" i="1"/>
  <c r="W1089" i="1"/>
  <c r="V1089" i="1"/>
  <c r="U1089" i="1"/>
  <c r="W1088" i="1"/>
  <c r="V1088" i="1"/>
  <c r="U1088" i="1"/>
  <c r="W1087" i="1"/>
  <c r="V1087" i="1"/>
  <c r="U1087" i="1"/>
  <c r="W1086" i="1"/>
  <c r="V1086" i="1"/>
  <c r="U1086" i="1"/>
  <c r="W1085" i="1"/>
  <c r="V1085" i="1"/>
  <c r="U1085" i="1"/>
  <c r="W1084" i="1"/>
  <c r="V1084" i="1"/>
  <c r="U1084" i="1"/>
  <c r="W1081" i="1"/>
  <c r="V1081" i="1"/>
  <c r="U1081" i="1"/>
  <c r="W1080" i="1"/>
  <c r="V1080" i="1"/>
  <c r="U1080" i="1"/>
  <c r="W1079" i="1"/>
  <c r="V1079" i="1"/>
  <c r="U1079" i="1"/>
  <c r="W1078" i="1"/>
  <c r="V1078" i="1"/>
  <c r="U1078" i="1"/>
  <c r="W1077" i="1"/>
  <c r="V1077" i="1"/>
  <c r="U1077" i="1"/>
  <c r="W1076" i="1"/>
  <c r="V1076" i="1"/>
  <c r="U1076" i="1"/>
  <c r="W1075" i="1"/>
  <c r="V1075" i="1"/>
  <c r="U1075" i="1"/>
  <c r="W1074" i="1"/>
  <c r="V1074" i="1"/>
  <c r="U1074" i="1"/>
  <c r="W1073" i="1"/>
  <c r="V1073" i="1"/>
  <c r="U1073" i="1"/>
  <c r="W1072" i="1"/>
  <c r="V1072" i="1"/>
  <c r="U1072" i="1"/>
  <c r="W1071" i="1"/>
  <c r="V1071" i="1"/>
  <c r="U1071" i="1"/>
  <c r="W1070" i="1"/>
  <c r="V1070" i="1"/>
  <c r="U1070" i="1"/>
  <c r="W1069" i="1"/>
  <c r="V1069" i="1"/>
  <c r="U1069" i="1"/>
  <c r="W1068" i="1"/>
  <c r="V1068" i="1"/>
  <c r="U1068" i="1"/>
  <c r="W1067" i="1"/>
  <c r="V1067" i="1"/>
  <c r="U1067" i="1"/>
  <c r="W1066" i="1"/>
  <c r="V1066" i="1"/>
  <c r="U1066" i="1"/>
  <c r="W1065" i="1"/>
  <c r="V1065" i="1"/>
  <c r="U1065" i="1"/>
  <c r="W1064" i="1"/>
  <c r="V1064" i="1"/>
  <c r="U1064" i="1"/>
  <c r="W1063" i="1"/>
  <c r="V1063" i="1"/>
  <c r="U1063" i="1"/>
  <c r="W1062" i="1"/>
  <c r="V1062" i="1"/>
  <c r="U1062" i="1"/>
  <c r="W1061" i="1"/>
  <c r="V1061" i="1"/>
  <c r="U1061" i="1"/>
  <c r="W1060" i="1"/>
  <c r="V1060" i="1"/>
  <c r="U1060" i="1"/>
  <c r="W1059" i="1"/>
  <c r="V1059" i="1"/>
  <c r="U1059" i="1"/>
  <c r="W1058" i="1"/>
  <c r="V1058" i="1"/>
  <c r="U1058" i="1"/>
  <c r="W1057" i="1"/>
  <c r="V1057" i="1"/>
  <c r="U1057" i="1"/>
  <c r="W1056" i="1"/>
  <c r="V1056" i="1"/>
  <c r="U1056" i="1"/>
  <c r="W1055" i="1"/>
  <c r="V1055" i="1"/>
  <c r="U1055" i="1"/>
  <c r="W1054" i="1"/>
  <c r="V1054" i="1"/>
  <c r="U1054" i="1"/>
  <c r="W1053" i="1"/>
  <c r="V1053" i="1"/>
  <c r="U1053" i="1"/>
  <c r="W1052" i="1"/>
  <c r="V1052" i="1"/>
  <c r="U1052" i="1"/>
  <c r="W1051" i="1"/>
  <c r="V1051" i="1"/>
  <c r="U1051" i="1"/>
  <c r="W1050" i="1"/>
  <c r="V1050" i="1"/>
  <c r="U1050" i="1"/>
  <c r="W1049" i="1"/>
  <c r="V1049" i="1"/>
  <c r="U1049" i="1"/>
  <c r="W1048" i="1"/>
  <c r="V1048" i="1"/>
  <c r="U1048" i="1"/>
  <c r="W1047" i="1"/>
  <c r="V1047" i="1"/>
  <c r="U1047" i="1"/>
  <c r="W1046" i="1"/>
  <c r="V1046" i="1"/>
  <c r="U1046" i="1"/>
  <c r="W1045" i="1"/>
  <c r="V1045" i="1"/>
  <c r="U1045" i="1"/>
  <c r="W1044" i="1"/>
  <c r="V1044" i="1"/>
  <c r="U1044" i="1"/>
  <c r="W1043" i="1"/>
  <c r="V1043" i="1"/>
  <c r="U1043" i="1"/>
  <c r="W1042" i="1"/>
  <c r="V1042" i="1"/>
  <c r="U1042" i="1"/>
  <c r="W1041" i="1"/>
  <c r="V1041" i="1"/>
  <c r="U1041" i="1"/>
  <c r="W1040" i="1"/>
  <c r="V1040" i="1"/>
  <c r="U1040" i="1"/>
  <c r="W1039" i="1"/>
  <c r="V1039" i="1"/>
  <c r="U1039" i="1"/>
  <c r="W1038" i="1"/>
  <c r="V1038" i="1"/>
  <c r="U1038" i="1"/>
  <c r="W1037" i="1"/>
  <c r="V1037" i="1"/>
  <c r="U1037" i="1"/>
  <c r="W1036" i="1"/>
  <c r="V1036" i="1"/>
  <c r="U1036" i="1"/>
  <c r="W1035" i="1"/>
  <c r="V1035" i="1"/>
  <c r="U1035" i="1"/>
  <c r="W1034" i="1"/>
  <c r="V1034" i="1"/>
  <c r="U1034" i="1"/>
  <c r="W1033" i="1"/>
  <c r="V1033" i="1"/>
  <c r="U1033" i="1"/>
  <c r="W1032" i="1"/>
  <c r="V1032" i="1"/>
  <c r="U1032" i="1"/>
  <c r="W1031" i="1"/>
  <c r="V1031" i="1"/>
  <c r="U1031" i="1"/>
  <c r="W1030" i="1"/>
  <c r="V1030" i="1"/>
  <c r="U1030" i="1"/>
  <c r="W1029" i="1"/>
  <c r="V1029" i="1"/>
  <c r="U1029" i="1"/>
  <c r="W1028" i="1"/>
  <c r="V1028" i="1"/>
  <c r="U1028" i="1"/>
  <c r="W1027" i="1"/>
  <c r="V1027" i="1"/>
  <c r="U1027" i="1"/>
  <c r="W1026" i="1"/>
  <c r="V1026" i="1"/>
  <c r="U1026" i="1"/>
  <c r="W1025" i="1"/>
  <c r="V1025" i="1"/>
  <c r="U1025" i="1"/>
  <c r="W1024" i="1"/>
  <c r="V1024" i="1"/>
  <c r="U1024" i="1"/>
  <c r="W1023" i="1"/>
  <c r="V1023" i="1"/>
  <c r="U1023" i="1"/>
  <c r="W1022" i="1"/>
  <c r="V1022" i="1"/>
  <c r="U1022" i="1"/>
  <c r="W1021" i="1"/>
  <c r="V1021" i="1"/>
  <c r="U1021" i="1"/>
  <c r="W1020" i="1"/>
  <c r="V1020" i="1"/>
  <c r="U1020" i="1"/>
  <c r="W1019" i="1"/>
  <c r="V1019" i="1"/>
  <c r="U1019" i="1"/>
  <c r="W1018" i="1"/>
  <c r="V1018" i="1"/>
  <c r="U1018" i="1"/>
  <c r="W1017" i="1"/>
  <c r="V1017" i="1"/>
  <c r="U1017" i="1"/>
  <c r="W1016" i="1"/>
  <c r="V1016" i="1"/>
  <c r="U1016" i="1"/>
  <c r="W1015" i="1"/>
  <c r="V1015" i="1"/>
  <c r="U1015" i="1"/>
  <c r="W1014" i="1"/>
  <c r="V1014" i="1"/>
  <c r="U1014" i="1"/>
  <c r="W1013" i="1"/>
  <c r="V1013" i="1"/>
  <c r="U1013" i="1"/>
  <c r="W1012" i="1"/>
  <c r="V1012" i="1"/>
  <c r="U1012" i="1"/>
  <c r="W1011" i="1"/>
  <c r="V1011" i="1"/>
  <c r="U1011" i="1"/>
  <c r="W1010" i="1"/>
  <c r="V1010" i="1"/>
  <c r="U1010" i="1"/>
  <c r="W1009" i="1"/>
  <c r="V1009" i="1"/>
  <c r="U1009" i="1"/>
  <c r="W1008" i="1"/>
  <c r="V1008" i="1"/>
  <c r="U1008" i="1"/>
  <c r="W1007" i="1"/>
  <c r="V1007" i="1"/>
  <c r="U1007" i="1"/>
  <c r="W1006" i="1"/>
  <c r="V1006" i="1"/>
  <c r="U1006" i="1"/>
  <c r="W1005" i="1"/>
  <c r="V1005" i="1"/>
  <c r="U1005" i="1"/>
  <c r="W1004" i="1"/>
  <c r="V1004" i="1"/>
  <c r="U1004" i="1"/>
  <c r="W1003" i="1"/>
  <c r="V1003" i="1"/>
  <c r="U1003" i="1"/>
  <c r="W1002" i="1"/>
  <c r="V1002" i="1"/>
  <c r="U1002" i="1"/>
  <c r="W1001" i="1"/>
  <c r="V1001" i="1"/>
  <c r="U1001" i="1"/>
  <c r="W1000" i="1"/>
  <c r="V1000" i="1"/>
  <c r="U1000" i="1"/>
  <c r="W999" i="1"/>
  <c r="V999" i="1"/>
  <c r="U999" i="1"/>
  <c r="W998" i="1"/>
  <c r="V998" i="1"/>
  <c r="U998" i="1"/>
  <c r="W997" i="1"/>
  <c r="V997" i="1"/>
  <c r="U997" i="1"/>
  <c r="W996" i="1"/>
  <c r="V996" i="1"/>
  <c r="U996" i="1"/>
  <c r="W995" i="1"/>
  <c r="V995" i="1"/>
  <c r="U995" i="1"/>
  <c r="W994" i="1"/>
  <c r="V994" i="1"/>
  <c r="U994" i="1"/>
  <c r="W993" i="1"/>
  <c r="V993" i="1"/>
  <c r="U993" i="1"/>
  <c r="W992" i="1"/>
  <c r="V992" i="1"/>
  <c r="U992" i="1"/>
  <c r="W991" i="1"/>
  <c r="V991" i="1"/>
  <c r="U991" i="1"/>
  <c r="W990" i="1"/>
  <c r="V990" i="1"/>
  <c r="U990" i="1"/>
  <c r="W989" i="1"/>
  <c r="V989" i="1"/>
  <c r="U989" i="1"/>
  <c r="W988" i="1"/>
  <c r="V988" i="1"/>
  <c r="U988" i="1"/>
  <c r="W987" i="1"/>
  <c r="V987" i="1"/>
  <c r="U987" i="1"/>
  <c r="W986" i="1"/>
  <c r="V986" i="1"/>
  <c r="U986" i="1"/>
  <c r="W985" i="1"/>
  <c r="V985" i="1"/>
  <c r="U985" i="1"/>
  <c r="W984" i="1"/>
  <c r="V984" i="1"/>
  <c r="U984" i="1"/>
  <c r="W983" i="1"/>
  <c r="V983" i="1"/>
  <c r="U983" i="1"/>
  <c r="W982" i="1"/>
  <c r="V982" i="1"/>
  <c r="U982" i="1"/>
  <c r="W981" i="1"/>
  <c r="V981" i="1"/>
  <c r="U981" i="1"/>
  <c r="W980" i="1"/>
  <c r="V980" i="1"/>
  <c r="U980" i="1"/>
  <c r="W979" i="1"/>
  <c r="V979" i="1"/>
  <c r="U979" i="1"/>
  <c r="W978" i="1"/>
  <c r="V978" i="1"/>
  <c r="U978" i="1"/>
  <c r="W977" i="1"/>
  <c r="V977" i="1"/>
  <c r="U977" i="1"/>
  <c r="W976" i="1"/>
  <c r="V976" i="1"/>
  <c r="U976" i="1"/>
  <c r="W975" i="1"/>
  <c r="V975" i="1"/>
  <c r="U975" i="1"/>
  <c r="W974" i="1"/>
  <c r="V974" i="1"/>
  <c r="U974" i="1"/>
  <c r="W973" i="1"/>
  <c r="V973" i="1"/>
  <c r="U973" i="1"/>
  <c r="W972" i="1"/>
  <c r="V972" i="1"/>
  <c r="U972" i="1"/>
  <c r="W971" i="1"/>
  <c r="V971" i="1"/>
  <c r="U971" i="1"/>
  <c r="W970" i="1"/>
  <c r="V970" i="1"/>
  <c r="U970" i="1"/>
  <c r="W969" i="1"/>
  <c r="V969" i="1"/>
  <c r="U969" i="1"/>
  <c r="W968" i="1"/>
  <c r="V968" i="1"/>
  <c r="U968" i="1"/>
  <c r="W967" i="1"/>
  <c r="V967" i="1"/>
  <c r="U967" i="1"/>
  <c r="W966" i="1"/>
  <c r="V966" i="1"/>
  <c r="U966" i="1"/>
  <c r="W965" i="1"/>
  <c r="V965" i="1"/>
  <c r="U965" i="1"/>
  <c r="W964" i="1"/>
  <c r="V964" i="1"/>
  <c r="U964" i="1"/>
  <c r="W963" i="1"/>
  <c r="V963" i="1"/>
  <c r="U963" i="1"/>
  <c r="W962" i="1"/>
  <c r="V962" i="1"/>
  <c r="U962" i="1"/>
  <c r="W961" i="1"/>
  <c r="V961" i="1"/>
  <c r="U961" i="1"/>
  <c r="W960" i="1"/>
  <c r="V960" i="1"/>
  <c r="U960" i="1"/>
  <c r="W959" i="1"/>
  <c r="V959" i="1"/>
  <c r="U959" i="1"/>
  <c r="W958" i="1"/>
  <c r="V958" i="1"/>
  <c r="U958" i="1"/>
  <c r="W957" i="1"/>
  <c r="V957" i="1"/>
  <c r="U957" i="1"/>
  <c r="W956" i="1"/>
  <c r="V956" i="1"/>
  <c r="U956" i="1"/>
  <c r="W955" i="1"/>
  <c r="V955" i="1"/>
  <c r="U955" i="1"/>
  <c r="W954" i="1"/>
  <c r="V954" i="1"/>
  <c r="U954" i="1"/>
  <c r="W953" i="1"/>
  <c r="V953" i="1"/>
  <c r="U953" i="1"/>
  <c r="W952" i="1"/>
  <c r="V952" i="1"/>
  <c r="U952" i="1"/>
  <c r="W951" i="1"/>
  <c r="V951" i="1"/>
  <c r="U951" i="1"/>
  <c r="W950" i="1"/>
  <c r="V950" i="1"/>
  <c r="U950" i="1"/>
  <c r="W949" i="1"/>
  <c r="V949" i="1"/>
  <c r="U949" i="1"/>
  <c r="W948" i="1"/>
  <c r="V948" i="1"/>
  <c r="U948" i="1"/>
  <c r="W947" i="1"/>
  <c r="V947" i="1"/>
  <c r="U947" i="1"/>
  <c r="W946" i="1"/>
  <c r="V946" i="1"/>
  <c r="U946" i="1"/>
  <c r="W945" i="1"/>
  <c r="V945" i="1"/>
  <c r="U945" i="1"/>
  <c r="W944" i="1"/>
  <c r="V944" i="1"/>
  <c r="U944" i="1"/>
  <c r="W943" i="1"/>
  <c r="V943" i="1"/>
  <c r="U943" i="1"/>
  <c r="W942" i="1"/>
  <c r="V942" i="1"/>
  <c r="U942" i="1"/>
  <c r="W941" i="1"/>
  <c r="V941" i="1"/>
  <c r="U941" i="1"/>
  <c r="W940" i="1"/>
  <c r="V940" i="1"/>
  <c r="U940" i="1"/>
  <c r="W939" i="1"/>
  <c r="V939" i="1"/>
  <c r="U939" i="1"/>
  <c r="W938" i="1"/>
  <c r="V938" i="1"/>
  <c r="U938" i="1"/>
  <c r="W937" i="1"/>
  <c r="V937" i="1"/>
  <c r="U937" i="1"/>
  <c r="W936" i="1"/>
  <c r="V936" i="1"/>
  <c r="U936" i="1"/>
  <c r="W935" i="1"/>
  <c r="V935" i="1"/>
  <c r="U935" i="1"/>
  <c r="W934" i="1"/>
  <c r="V934" i="1"/>
  <c r="U934" i="1"/>
  <c r="W933" i="1"/>
  <c r="V933" i="1"/>
  <c r="U933" i="1"/>
  <c r="W932" i="1"/>
  <c r="V932" i="1"/>
  <c r="U932" i="1"/>
  <c r="W931" i="1"/>
  <c r="V931" i="1"/>
  <c r="U931" i="1"/>
  <c r="W930" i="1"/>
  <c r="V930" i="1"/>
  <c r="U930" i="1"/>
  <c r="W929" i="1"/>
  <c r="V929" i="1"/>
  <c r="U929" i="1"/>
  <c r="W928" i="1"/>
  <c r="V928" i="1"/>
  <c r="U928" i="1"/>
  <c r="W927" i="1"/>
  <c r="V927" i="1"/>
  <c r="U927" i="1"/>
  <c r="W926" i="1"/>
  <c r="V926" i="1"/>
  <c r="U926" i="1"/>
  <c r="W925" i="1"/>
  <c r="V925" i="1"/>
  <c r="U925" i="1"/>
  <c r="W924" i="1"/>
  <c r="V924" i="1"/>
  <c r="U924" i="1"/>
  <c r="W923" i="1"/>
  <c r="V923" i="1"/>
  <c r="U923" i="1"/>
  <c r="W922" i="1"/>
  <c r="V922" i="1"/>
  <c r="U922" i="1"/>
  <c r="W921" i="1"/>
  <c r="V921" i="1"/>
  <c r="U921" i="1"/>
  <c r="W920" i="1"/>
  <c r="V920" i="1"/>
  <c r="U920" i="1"/>
  <c r="W919" i="1"/>
  <c r="V919" i="1"/>
  <c r="U919" i="1"/>
  <c r="W918" i="1"/>
  <c r="V918" i="1"/>
  <c r="U918" i="1"/>
  <c r="W917" i="1"/>
  <c r="V917" i="1"/>
  <c r="U917" i="1"/>
  <c r="W916" i="1"/>
  <c r="V916" i="1"/>
  <c r="U916" i="1"/>
  <c r="W915" i="1"/>
  <c r="V915" i="1"/>
  <c r="U915" i="1"/>
  <c r="W914" i="1"/>
  <c r="V914" i="1"/>
  <c r="U914" i="1"/>
  <c r="W913" i="1"/>
  <c r="V913" i="1"/>
  <c r="U913" i="1"/>
  <c r="W912" i="1"/>
  <c r="V912" i="1"/>
  <c r="U912" i="1"/>
  <c r="W911" i="1"/>
  <c r="V911" i="1"/>
  <c r="U911" i="1"/>
  <c r="W910" i="1"/>
  <c r="V910" i="1"/>
  <c r="U910" i="1"/>
  <c r="W909" i="1"/>
  <c r="V909" i="1"/>
  <c r="U909" i="1"/>
  <c r="W908" i="1"/>
  <c r="V908" i="1"/>
  <c r="U908" i="1"/>
  <c r="W907" i="1"/>
  <c r="V907" i="1"/>
  <c r="U907" i="1"/>
  <c r="W906" i="1"/>
  <c r="V906" i="1"/>
  <c r="U906" i="1"/>
  <c r="W905" i="1"/>
  <c r="V905" i="1"/>
  <c r="U905" i="1"/>
  <c r="W904" i="1"/>
  <c r="V904" i="1"/>
  <c r="U904" i="1"/>
  <c r="W903" i="1"/>
  <c r="V903" i="1"/>
  <c r="U903" i="1"/>
  <c r="W902" i="1"/>
  <c r="V902" i="1"/>
  <c r="U902" i="1"/>
  <c r="W901" i="1"/>
  <c r="V901" i="1"/>
  <c r="U901" i="1"/>
  <c r="W900" i="1"/>
  <c r="V900" i="1"/>
  <c r="U900" i="1"/>
  <c r="W899" i="1"/>
  <c r="V899" i="1"/>
  <c r="U899" i="1"/>
  <c r="W898" i="1"/>
  <c r="V898" i="1"/>
  <c r="U898" i="1"/>
  <c r="W897" i="1"/>
  <c r="V897" i="1"/>
  <c r="U897" i="1"/>
  <c r="W896" i="1"/>
  <c r="V896" i="1"/>
  <c r="U896" i="1"/>
  <c r="W895" i="1"/>
  <c r="V895" i="1"/>
  <c r="U895" i="1"/>
  <c r="W894" i="1"/>
  <c r="V894" i="1"/>
  <c r="U894" i="1"/>
  <c r="W893" i="1"/>
  <c r="V893" i="1"/>
  <c r="U893" i="1"/>
  <c r="W892" i="1"/>
  <c r="V892" i="1"/>
  <c r="U892" i="1"/>
  <c r="W891" i="1"/>
  <c r="V891" i="1"/>
  <c r="U891" i="1"/>
  <c r="W890" i="1"/>
  <c r="V890" i="1"/>
  <c r="U890" i="1"/>
  <c r="W889" i="1"/>
  <c r="V889" i="1"/>
  <c r="U889" i="1"/>
  <c r="W888" i="1"/>
  <c r="V888" i="1"/>
  <c r="U888" i="1"/>
  <c r="W887" i="1"/>
  <c r="V887" i="1"/>
  <c r="U887" i="1"/>
  <c r="W886" i="1"/>
  <c r="V886" i="1"/>
  <c r="U886" i="1"/>
  <c r="W885" i="1"/>
  <c r="V885" i="1"/>
  <c r="U885" i="1"/>
  <c r="W884" i="1"/>
  <c r="V884" i="1"/>
  <c r="U884" i="1"/>
  <c r="W883" i="1"/>
  <c r="V883" i="1"/>
  <c r="U883" i="1"/>
  <c r="W882" i="1"/>
  <c r="V882" i="1"/>
  <c r="U882" i="1"/>
  <c r="W881" i="1"/>
  <c r="V881" i="1"/>
  <c r="U881" i="1"/>
  <c r="W880" i="1"/>
  <c r="V880" i="1"/>
  <c r="U880" i="1"/>
  <c r="W879" i="1"/>
  <c r="V879" i="1"/>
  <c r="U879" i="1"/>
  <c r="W878" i="1"/>
  <c r="V878" i="1"/>
  <c r="U878" i="1"/>
  <c r="W877" i="1"/>
  <c r="V877" i="1"/>
  <c r="U877" i="1"/>
  <c r="W876" i="1"/>
  <c r="V876" i="1"/>
  <c r="U876" i="1"/>
  <c r="W875" i="1"/>
  <c r="V875" i="1"/>
  <c r="U875" i="1"/>
  <c r="W874" i="1"/>
  <c r="V874" i="1"/>
  <c r="U874" i="1"/>
  <c r="W873" i="1"/>
  <c r="V873" i="1"/>
  <c r="U873" i="1"/>
  <c r="W872" i="1"/>
  <c r="V872" i="1"/>
  <c r="U872" i="1"/>
  <c r="W871" i="1"/>
  <c r="V871" i="1"/>
  <c r="U871" i="1"/>
  <c r="W870" i="1"/>
  <c r="V870" i="1"/>
  <c r="U870" i="1"/>
  <c r="W869" i="1"/>
  <c r="V869" i="1"/>
  <c r="U869" i="1"/>
  <c r="W868" i="1"/>
  <c r="V868" i="1"/>
  <c r="U868" i="1"/>
  <c r="W867" i="1"/>
  <c r="V867" i="1"/>
  <c r="U867" i="1"/>
  <c r="W866" i="1"/>
  <c r="V866" i="1"/>
  <c r="U866" i="1"/>
  <c r="W865" i="1"/>
  <c r="V865" i="1"/>
  <c r="U865" i="1"/>
  <c r="W864" i="1"/>
  <c r="V864" i="1"/>
  <c r="U864" i="1"/>
  <c r="W863" i="1"/>
  <c r="V863" i="1"/>
  <c r="U863" i="1"/>
  <c r="W862" i="1"/>
  <c r="V862" i="1"/>
  <c r="U862" i="1"/>
  <c r="W861" i="1"/>
  <c r="V861" i="1"/>
  <c r="U861" i="1"/>
  <c r="W860" i="1"/>
  <c r="V860" i="1"/>
  <c r="U860" i="1"/>
  <c r="W859" i="1"/>
  <c r="V859" i="1"/>
  <c r="U859" i="1"/>
  <c r="W858" i="1"/>
  <c r="V858" i="1"/>
  <c r="U858" i="1"/>
  <c r="W857" i="1"/>
  <c r="V857" i="1"/>
  <c r="U857" i="1"/>
  <c r="W856" i="1"/>
  <c r="V856" i="1"/>
  <c r="U856" i="1"/>
  <c r="W855" i="1"/>
  <c r="V855" i="1"/>
  <c r="U855" i="1"/>
  <c r="W854" i="1"/>
  <c r="V854" i="1"/>
  <c r="U854" i="1"/>
  <c r="W853" i="1"/>
  <c r="V853" i="1"/>
  <c r="U853" i="1"/>
  <c r="W852" i="1"/>
  <c r="V852" i="1"/>
  <c r="U852" i="1"/>
  <c r="W851" i="1"/>
  <c r="V851" i="1"/>
  <c r="U851" i="1"/>
  <c r="W850" i="1"/>
  <c r="V850" i="1"/>
  <c r="U850" i="1"/>
  <c r="W849" i="1"/>
  <c r="V849" i="1"/>
  <c r="U849" i="1"/>
  <c r="W848" i="1"/>
  <c r="V848" i="1"/>
  <c r="U848" i="1"/>
  <c r="W847" i="1"/>
  <c r="V847" i="1"/>
  <c r="U847" i="1"/>
  <c r="W846" i="1"/>
  <c r="V846" i="1"/>
  <c r="U846" i="1"/>
  <c r="W845" i="1"/>
  <c r="V845" i="1"/>
  <c r="U845" i="1"/>
  <c r="W844" i="1"/>
  <c r="V844" i="1"/>
  <c r="U844" i="1"/>
  <c r="W843" i="1"/>
  <c r="V843" i="1"/>
  <c r="U843" i="1"/>
  <c r="W842" i="1"/>
  <c r="V842" i="1"/>
  <c r="U842" i="1"/>
  <c r="W841" i="1"/>
  <c r="V841" i="1"/>
  <c r="U841" i="1"/>
  <c r="W840" i="1"/>
  <c r="V840" i="1"/>
  <c r="U840" i="1"/>
  <c r="W839" i="1"/>
  <c r="V839" i="1"/>
  <c r="U839" i="1"/>
  <c r="W838" i="1"/>
  <c r="V838" i="1"/>
  <c r="U838" i="1"/>
  <c r="W837" i="1"/>
  <c r="V837" i="1"/>
  <c r="U837" i="1"/>
  <c r="W836" i="1"/>
  <c r="V836" i="1"/>
  <c r="U836" i="1"/>
  <c r="W835" i="1"/>
  <c r="V835" i="1"/>
  <c r="U835" i="1"/>
  <c r="W834" i="1"/>
  <c r="V834" i="1"/>
  <c r="W833" i="1"/>
  <c r="V833" i="1"/>
  <c r="U833" i="1"/>
  <c r="W832" i="1"/>
  <c r="V832" i="1"/>
  <c r="U832" i="1"/>
  <c r="W831" i="1"/>
  <c r="V831" i="1"/>
  <c r="U831" i="1"/>
  <c r="W830" i="1"/>
  <c r="V830" i="1"/>
  <c r="U830" i="1"/>
  <c r="W829" i="1"/>
  <c r="V829" i="1"/>
  <c r="U829" i="1"/>
  <c r="W828" i="1"/>
  <c r="V828" i="1"/>
  <c r="U828" i="1"/>
  <c r="W827" i="1"/>
  <c r="V827" i="1"/>
  <c r="U827" i="1"/>
  <c r="W826" i="1"/>
  <c r="V826" i="1"/>
  <c r="U826" i="1"/>
  <c r="W825" i="1"/>
  <c r="V825" i="1"/>
  <c r="U825" i="1"/>
  <c r="W824" i="1"/>
  <c r="V824" i="1"/>
  <c r="U824" i="1"/>
  <c r="W823" i="1"/>
  <c r="V823" i="1"/>
  <c r="U823" i="1"/>
  <c r="W822" i="1"/>
  <c r="V822" i="1"/>
  <c r="U822" i="1"/>
  <c r="W821" i="1"/>
  <c r="V821" i="1"/>
  <c r="U821" i="1"/>
  <c r="W820" i="1"/>
  <c r="V820" i="1"/>
  <c r="U820" i="1"/>
  <c r="W819" i="1"/>
  <c r="V819" i="1"/>
  <c r="U819" i="1"/>
  <c r="W818" i="1"/>
  <c r="V818" i="1"/>
  <c r="U818" i="1"/>
  <c r="W817" i="1"/>
  <c r="V817" i="1"/>
  <c r="U817" i="1"/>
  <c r="W816" i="1"/>
  <c r="V816" i="1"/>
  <c r="U816" i="1"/>
  <c r="W815" i="1"/>
  <c r="V815" i="1"/>
  <c r="U815" i="1"/>
  <c r="W814" i="1"/>
  <c r="V814" i="1"/>
  <c r="U814" i="1"/>
  <c r="W813" i="1"/>
  <c r="V813" i="1"/>
  <c r="U813" i="1"/>
  <c r="W812" i="1"/>
  <c r="V812" i="1"/>
  <c r="U812" i="1"/>
  <c r="W811" i="1"/>
  <c r="V811" i="1"/>
  <c r="U811" i="1"/>
  <c r="W810" i="1"/>
  <c r="V810" i="1"/>
  <c r="U810" i="1"/>
  <c r="W809" i="1"/>
  <c r="V809" i="1"/>
  <c r="U809" i="1"/>
  <c r="W808" i="1"/>
  <c r="V808" i="1"/>
  <c r="U808" i="1"/>
  <c r="W807" i="1"/>
  <c r="V807" i="1"/>
  <c r="U807" i="1"/>
  <c r="W806" i="1"/>
  <c r="V806" i="1"/>
  <c r="U806" i="1"/>
  <c r="W805" i="1"/>
  <c r="V805" i="1"/>
  <c r="U805" i="1"/>
  <c r="W804" i="1"/>
  <c r="V804" i="1"/>
  <c r="U804" i="1"/>
  <c r="W803" i="1"/>
  <c r="V803" i="1"/>
  <c r="U803" i="1"/>
  <c r="W802" i="1"/>
  <c r="V802" i="1"/>
  <c r="U802" i="1"/>
  <c r="W801" i="1"/>
  <c r="V801" i="1"/>
  <c r="U801" i="1"/>
  <c r="W800" i="1"/>
  <c r="V800" i="1"/>
  <c r="U800" i="1"/>
  <c r="W799" i="1"/>
  <c r="V799" i="1"/>
  <c r="U799" i="1"/>
  <c r="W798" i="1"/>
  <c r="V798" i="1"/>
  <c r="U798" i="1"/>
  <c r="W797" i="1"/>
  <c r="V797" i="1"/>
  <c r="U797" i="1"/>
  <c r="W796" i="1"/>
  <c r="V796" i="1"/>
  <c r="U796" i="1"/>
  <c r="W795" i="1"/>
  <c r="V795" i="1"/>
  <c r="U795" i="1"/>
  <c r="W794" i="1"/>
  <c r="V794" i="1"/>
  <c r="U794" i="1"/>
  <c r="W793" i="1"/>
  <c r="V793" i="1"/>
  <c r="U793" i="1"/>
  <c r="W792" i="1"/>
  <c r="V792" i="1"/>
  <c r="U792" i="1"/>
  <c r="W791" i="1"/>
  <c r="V791" i="1"/>
  <c r="U791" i="1"/>
  <c r="W790" i="1"/>
  <c r="V790" i="1"/>
  <c r="U790" i="1"/>
  <c r="W789" i="1"/>
  <c r="V789" i="1"/>
  <c r="U789" i="1"/>
  <c r="W788" i="1"/>
  <c r="V788" i="1"/>
  <c r="U788" i="1"/>
  <c r="W787" i="1"/>
  <c r="V787" i="1"/>
  <c r="U787" i="1"/>
  <c r="W786" i="1"/>
  <c r="V786" i="1"/>
  <c r="U786" i="1"/>
  <c r="W785" i="1"/>
  <c r="V785" i="1"/>
  <c r="U785" i="1"/>
  <c r="W784" i="1"/>
  <c r="V784" i="1"/>
  <c r="U784" i="1"/>
  <c r="W783" i="1"/>
  <c r="V783" i="1"/>
  <c r="U783" i="1"/>
  <c r="W782" i="1"/>
  <c r="V782" i="1"/>
  <c r="U782" i="1"/>
  <c r="W781" i="1"/>
  <c r="V781" i="1"/>
  <c r="U781" i="1"/>
  <c r="W780" i="1"/>
  <c r="V780" i="1"/>
  <c r="U780" i="1"/>
  <c r="W779" i="1"/>
  <c r="V779" i="1"/>
  <c r="U779" i="1"/>
  <c r="W778" i="1"/>
  <c r="V778" i="1"/>
  <c r="U778" i="1"/>
  <c r="W777" i="1"/>
  <c r="V777" i="1"/>
  <c r="U777" i="1"/>
  <c r="W776" i="1"/>
  <c r="V776" i="1"/>
  <c r="U776" i="1"/>
  <c r="W775" i="1"/>
  <c r="V775" i="1"/>
  <c r="U775" i="1"/>
  <c r="W774" i="1"/>
  <c r="V774" i="1"/>
  <c r="U774" i="1"/>
  <c r="W773" i="1"/>
  <c r="V773" i="1"/>
  <c r="U773" i="1"/>
  <c r="W772" i="1"/>
  <c r="V772" i="1"/>
  <c r="U772" i="1"/>
  <c r="W771" i="1"/>
  <c r="V771" i="1"/>
  <c r="U771" i="1"/>
  <c r="W770" i="1"/>
  <c r="V770" i="1"/>
  <c r="U770" i="1"/>
  <c r="W769" i="1"/>
  <c r="V769" i="1"/>
  <c r="U769" i="1"/>
  <c r="W768" i="1"/>
  <c r="V768" i="1"/>
  <c r="U768" i="1"/>
  <c r="W767" i="1"/>
  <c r="V767" i="1"/>
  <c r="U767" i="1"/>
  <c r="W766" i="1"/>
  <c r="V766" i="1"/>
  <c r="U766" i="1"/>
  <c r="W765" i="1"/>
  <c r="V765" i="1"/>
  <c r="U765" i="1"/>
  <c r="W764" i="1"/>
  <c r="V764" i="1"/>
  <c r="U764" i="1"/>
  <c r="W763" i="1"/>
  <c r="V763" i="1"/>
  <c r="U763" i="1"/>
  <c r="W762" i="1"/>
  <c r="V762" i="1"/>
  <c r="U762" i="1"/>
  <c r="V761" i="1"/>
  <c r="U761" i="1"/>
  <c r="V760" i="1"/>
  <c r="U760" i="1"/>
  <c r="V759" i="1"/>
  <c r="U759" i="1"/>
  <c r="V758" i="1"/>
  <c r="U758" i="1"/>
  <c r="V757" i="1"/>
  <c r="U757" i="1"/>
  <c r="V756" i="1"/>
  <c r="U756" i="1"/>
  <c r="V755" i="1"/>
  <c r="U755" i="1"/>
  <c r="V754" i="1"/>
  <c r="U754" i="1"/>
  <c r="V753" i="1"/>
  <c r="U753" i="1"/>
  <c r="V752" i="1"/>
  <c r="U752" i="1"/>
  <c r="V751" i="1"/>
  <c r="U751" i="1"/>
  <c r="V750" i="1"/>
  <c r="U750" i="1"/>
  <c r="V749" i="1"/>
  <c r="U749" i="1"/>
  <c r="V748" i="1"/>
  <c r="U748" i="1"/>
  <c r="V747" i="1"/>
  <c r="U747" i="1"/>
  <c r="V746" i="1"/>
  <c r="U746" i="1"/>
  <c r="V745" i="1"/>
  <c r="U745" i="1"/>
  <c r="V744" i="1"/>
  <c r="U744" i="1"/>
  <c r="V743" i="1"/>
  <c r="U743" i="1"/>
  <c r="V742" i="1"/>
  <c r="U742" i="1"/>
  <c r="V741" i="1"/>
  <c r="U741" i="1"/>
  <c r="V740" i="1"/>
  <c r="U740" i="1"/>
  <c r="V739" i="1"/>
  <c r="U739" i="1"/>
  <c r="V738" i="1"/>
  <c r="U738" i="1"/>
  <c r="V737" i="1"/>
  <c r="U737" i="1"/>
  <c r="V736" i="1"/>
  <c r="U736" i="1"/>
  <c r="V735" i="1"/>
  <c r="U735" i="1"/>
  <c r="V734" i="1"/>
  <c r="U734" i="1"/>
  <c r="V733" i="1"/>
  <c r="U733" i="1"/>
  <c r="V732" i="1"/>
  <c r="U732" i="1"/>
  <c r="V731" i="1"/>
  <c r="U731" i="1"/>
  <c r="V730" i="1"/>
  <c r="U730" i="1"/>
  <c r="V729" i="1"/>
  <c r="U729" i="1"/>
  <c r="V728" i="1"/>
  <c r="U728" i="1"/>
  <c r="V727" i="1"/>
  <c r="U727" i="1"/>
  <c r="V726" i="1"/>
  <c r="U726" i="1"/>
  <c r="V725" i="1"/>
  <c r="U725" i="1"/>
  <c r="V724" i="1"/>
  <c r="U724" i="1"/>
  <c r="V723" i="1"/>
  <c r="U723" i="1"/>
  <c r="V722" i="1"/>
  <c r="U722" i="1"/>
  <c r="V721" i="1"/>
  <c r="U721" i="1"/>
  <c r="V720" i="1"/>
  <c r="U720" i="1"/>
  <c r="V719" i="1"/>
  <c r="U719" i="1"/>
  <c r="V718" i="1"/>
  <c r="U718" i="1"/>
  <c r="V717" i="1"/>
  <c r="U717" i="1"/>
  <c r="V716" i="1"/>
  <c r="U716" i="1"/>
  <c r="V715" i="1"/>
  <c r="U715" i="1"/>
  <c r="V714" i="1"/>
  <c r="U714" i="1"/>
  <c r="V713" i="1"/>
  <c r="U713" i="1"/>
  <c r="V712" i="1"/>
  <c r="U712" i="1"/>
  <c r="V711" i="1"/>
  <c r="U711" i="1"/>
  <c r="V710" i="1"/>
  <c r="U710" i="1"/>
  <c r="V709" i="1"/>
  <c r="U709" i="1"/>
  <c r="V708" i="1"/>
  <c r="U708" i="1"/>
  <c r="V707" i="1"/>
  <c r="U707" i="1"/>
  <c r="V706" i="1"/>
  <c r="U706" i="1"/>
  <c r="V705" i="1"/>
  <c r="U705" i="1"/>
  <c r="V704" i="1"/>
  <c r="U704" i="1"/>
  <c r="V703" i="1"/>
  <c r="U703" i="1"/>
  <c r="V702" i="1"/>
  <c r="U702" i="1"/>
  <c r="V701" i="1"/>
  <c r="U701" i="1"/>
  <c r="V700" i="1"/>
  <c r="U700" i="1"/>
  <c r="V699" i="1"/>
  <c r="U699" i="1"/>
  <c r="V698" i="1"/>
  <c r="U698" i="1"/>
  <c r="V697" i="1"/>
  <c r="U697" i="1"/>
  <c r="V696" i="1"/>
  <c r="U696" i="1"/>
  <c r="V695" i="1"/>
  <c r="U695" i="1"/>
  <c r="V694" i="1"/>
  <c r="U694" i="1"/>
  <c r="V693" i="1"/>
  <c r="U693" i="1"/>
  <c r="V692" i="1"/>
  <c r="U692" i="1"/>
  <c r="V691" i="1"/>
  <c r="U691" i="1"/>
  <c r="V690" i="1"/>
  <c r="U690" i="1"/>
  <c r="V689" i="1"/>
  <c r="U689" i="1"/>
  <c r="V688" i="1"/>
  <c r="U688" i="1"/>
  <c r="V687" i="1"/>
  <c r="U687" i="1"/>
  <c r="V686" i="1"/>
  <c r="U686" i="1"/>
  <c r="V685" i="1"/>
  <c r="U685" i="1"/>
  <c r="V684" i="1"/>
  <c r="U684" i="1"/>
  <c r="V683" i="1"/>
  <c r="U683" i="1"/>
  <c r="V682" i="1"/>
  <c r="U682" i="1"/>
  <c r="V681" i="1"/>
  <c r="U681" i="1"/>
  <c r="V680" i="1"/>
  <c r="U680" i="1"/>
  <c r="V679" i="1"/>
  <c r="U679" i="1"/>
  <c r="V678" i="1"/>
  <c r="U678" i="1"/>
  <c r="V677" i="1"/>
  <c r="U677" i="1"/>
  <c r="V676" i="1"/>
  <c r="U676" i="1"/>
  <c r="V675" i="1"/>
  <c r="U675" i="1"/>
  <c r="V674" i="1"/>
  <c r="U674" i="1"/>
  <c r="V673" i="1"/>
  <c r="U673" i="1"/>
  <c r="V672" i="1"/>
  <c r="U672" i="1"/>
  <c r="V671" i="1"/>
  <c r="U671" i="1"/>
  <c r="V670" i="1"/>
  <c r="U670" i="1"/>
  <c r="V669" i="1"/>
  <c r="U669" i="1"/>
  <c r="V668" i="1"/>
  <c r="U668" i="1"/>
  <c r="V667" i="1"/>
  <c r="U667" i="1"/>
  <c r="V666" i="1"/>
  <c r="U666" i="1"/>
  <c r="V665" i="1"/>
  <c r="U665" i="1"/>
  <c r="V664" i="1"/>
  <c r="U664" i="1"/>
  <c r="V663" i="1"/>
  <c r="U663" i="1"/>
  <c r="V662" i="1"/>
  <c r="U662" i="1"/>
  <c r="V661" i="1"/>
  <c r="U661" i="1"/>
  <c r="V660" i="1"/>
  <c r="U660" i="1"/>
  <c r="V659" i="1"/>
  <c r="U659" i="1"/>
  <c r="V658" i="1"/>
  <c r="U658" i="1"/>
  <c r="V657" i="1"/>
  <c r="U657" i="1"/>
  <c r="V656" i="1"/>
  <c r="U656" i="1"/>
  <c r="V655" i="1"/>
  <c r="U655" i="1"/>
  <c r="V654" i="1"/>
  <c r="U654" i="1"/>
  <c r="V653" i="1"/>
  <c r="U653" i="1"/>
  <c r="V652" i="1"/>
  <c r="U652" i="1"/>
  <c r="V651" i="1"/>
  <c r="U651" i="1"/>
  <c r="V650" i="1"/>
  <c r="U650" i="1"/>
  <c r="V649" i="1"/>
  <c r="U649" i="1"/>
  <c r="V648" i="1"/>
  <c r="U648" i="1"/>
  <c r="V647" i="1"/>
  <c r="U647" i="1"/>
  <c r="V646" i="1"/>
  <c r="U646" i="1"/>
  <c r="V645" i="1"/>
  <c r="U645" i="1"/>
  <c r="V644" i="1"/>
  <c r="U644" i="1"/>
  <c r="V643" i="1"/>
  <c r="U643" i="1"/>
  <c r="V642" i="1"/>
  <c r="U642" i="1"/>
  <c r="V641" i="1"/>
  <c r="U641" i="1"/>
  <c r="V640" i="1"/>
  <c r="U640" i="1"/>
  <c r="V639" i="1"/>
  <c r="U639" i="1"/>
  <c r="V638" i="1"/>
  <c r="U638" i="1"/>
  <c r="V637" i="1"/>
  <c r="U637" i="1"/>
  <c r="V636" i="1"/>
  <c r="U636" i="1"/>
  <c r="V635" i="1"/>
  <c r="U635" i="1"/>
  <c r="V634" i="1"/>
  <c r="U634" i="1"/>
  <c r="V633" i="1"/>
  <c r="U633" i="1"/>
  <c r="V632" i="1"/>
  <c r="U632" i="1"/>
  <c r="V631" i="1"/>
  <c r="U631" i="1"/>
  <c r="V630" i="1"/>
  <c r="U630" i="1"/>
  <c r="V629" i="1"/>
  <c r="U629" i="1"/>
  <c r="V628" i="1"/>
  <c r="U628" i="1"/>
  <c r="V627" i="1"/>
  <c r="U627" i="1"/>
  <c r="V626" i="1"/>
  <c r="U626" i="1"/>
  <c r="V625" i="1"/>
  <c r="U625" i="1"/>
  <c r="V623" i="1"/>
  <c r="U623" i="1"/>
  <c r="V622" i="1"/>
  <c r="U622" i="1"/>
  <c r="V621" i="1"/>
  <c r="U621" i="1"/>
  <c r="V620" i="1"/>
  <c r="U620" i="1"/>
  <c r="V619" i="1"/>
  <c r="U619" i="1"/>
  <c r="V618" i="1"/>
  <c r="U618" i="1"/>
  <c r="V617" i="1"/>
  <c r="U617" i="1"/>
  <c r="V616" i="1"/>
  <c r="U616" i="1"/>
  <c r="V615" i="1"/>
  <c r="U615" i="1"/>
  <c r="V614" i="1"/>
  <c r="U614" i="1"/>
  <c r="V613" i="1"/>
  <c r="U613" i="1"/>
  <c r="V612" i="1"/>
  <c r="U612" i="1"/>
  <c r="V611" i="1"/>
  <c r="U611" i="1"/>
  <c r="V610" i="1"/>
  <c r="U610" i="1"/>
  <c r="V609" i="1"/>
  <c r="U609" i="1"/>
  <c r="V608" i="1"/>
  <c r="U608" i="1"/>
  <c r="V607" i="1"/>
  <c r="U607" i="1"/>
  <c r="V606" i="1"/>
  <c r="U606" i="1"/>
  <c r="V605" i="1"/>
  <c r="V604" i="1"/>
  <c r="U604" i="1"/>
  <c r="V603" i="1"/>
  <c r="U603" i="1"/>
  <c r="V602" i="1"/>
  <c r="U602" i="1"/>
  <c r="V601" i="1"/>
  <c r="U601" i="1"/>
  <c r="V600" i="1"/>
  <c r="U600" i="1"/>
  <c r="V599" i="1"/>
  <c r="U599" i="1"/>
  <c r="V598" i="1"/>
  <c r="U598" i="1"/>
  <c r="V597" i="1"/>
  <c r="U597" i="1"/>
  <c r="V596" i="1"/>
  <c r="U596" i="1"/>
  <c r="V595" i="1"/>
  <c r="U595" i="1"/>
  <c r="V594" i="1"/>
  <c r="U594" i="1"/>
  <c r="V593" i="1"/>
  <c r="U593" i="1"/>
  <c r="V592" i="1"/>
  <c r="U592" i="1"/>
  <c r="V591" i="1"/>
  <c r="U591" i="1"/>
  <c r="V590" i="1"/>
  <c r="U590" i="1"/>
  <c r="V589" i="1"/>
  <c r="U589" i="1"/>
  <c r="V588" i="1"/>
  <c r="U588" i="1"/>
  <c r="V587" i="1"/>
  <c r="U587" i="1"/>
  <c r="V586" i="1"/>
  <c r="U586" i="1"/>
  <c r="V585" i="1"/>
  <c r="U585" i="1"/>
  <c r="V584" i="1"/>
  <c r="U584" i="1"/>
  <c r="V583" i="1"/>
  <c r="U583" i="1"/>
  <c r="V582" i="1"/>
  <c r="U582" i="1"/>
  <c r="V581" i="1"/>
  <c r="U581" i="1"/>
  <c r="V580" i="1"/>
  <c r="U580" i="1"/>
  <c r="V579" i="1"/>
  <c r="U579" i="1"/>
  <c r="V578" i="1"/>
  <c r="U578" i="1"/>
  <c r="V577" i="1"/>
  <c r="U577" i="1"/>
  <c r="V576" i="1"/>
  <c r="U576" i="1"/>
  <c r="V575" i="1"/>
  <c r="U575" i="1"/>
  <c r="V574" i="1"/>
  <c r="U574" i="1"/>
  <c r="V573" i="1"/>
  <c r="U573" i="1"/>
  <c r="V572" i="1"/>
  <c r="U572" i="1"/>
  <c r="V571" i="1"/>
  <c r="U571" i="1"/>
  <c r="V570" i="1"/>
  <c r="U570" i="1"/>
  <c r="V569" i="1"/>
  <c r="U569" i="1"/>
  <c r="V568" i="1"/>
  <c r="U568" i="1"/>
  <c r="V567" i="1"/>
  <c r="U567" i="1"/>
  <c r="V566" i="1"/>
  <c r="U566" i="1"/>
  <c r="V565" i="1"/>
  <c r="U565" i="1"/>
  <c r="V564" i="1"/>
  <c r="U564" i="1"/>
  <c r="V563" i="1"/>
  <c r="U563" i="1"/>
  <c r="V562" i="1"/>
  <c r="U562" i="1"/>
  <c r="V561" i="1"/>
  <c r="U561" i="1"/>
  <c r="V560" i="1"/>
  <c r="U560" i="1"/>
  <c r="V559" i="1"/>
  <c r="U559" i="1"/>
  <c r="V558" i="1"/>
  <c r="U558" i="1"/>
  <c r="V557" i="1"/>
  <c r="U557" i="1"/>
  <c r="V556" i="1"/>
  <c r="U556" i="1"/>
  <c r="V555" i="1"/>
  <c r="V554" i="1"/>
  <c r="V553" i="1"/>
  <c r="V552" i="1"/>
  <c r="V551" i="1"/>
  <c r="V550" i="1"/>
  <c r="V549" i="1"/>
  <c r="U549" i="1"/>
  <c r="V548" i="1"/>
  <c r="V547" i="1"/>
  <c r="V546" i="1"/>
  <c r="V545" i="1"/>
  <c r="U545" i="1"/>
  <c r="V544" i="1"/>
  <c r="V543" i="1"/>
  <c r="V542" i="1"/>
  <c r="V541" i="1"/>
  <c r="V540" i="1"/>
  <c r="U540" i="1"/>
  <c r="V539" i="1"/>
  <c r="U539" i="1"/>
  <c r="V538" i="1"/>
  <c r="V537" i="1"/>
  <c r="V536" i="1"/>
  <c r="V535" i="1"/>
  <c r="V534" i="1"/>
  <c r="V533" i="1"/>
  <c r="V532" i="1"/>
  <c r="V531" i="1"/>
  <c r="V530" i="1"/>
  <c r="V529" i="1"/>
  <c r="V528" i="1"/>
  <c r="V527" i="1"/>
  <c r="U527" i="1"/>
  <c r="V526" i="1"/>
  <c r="V525" i="1"/>
  <c r="V524" i="1"/>
  <c r="V523" i="1"/>
  <c r="V522" i="1"/>
  <c r="V521" i="1"/>
  <c r="V520" i="1"/>
  <c r="V519" i="1"/>
  <c r="V518" i="1"/>
  <c r="U518" i="1"/>
  <c r="V517" i="1"/>
  <c r="U517" i="1"/>
  <c r="V516" i="1"/>
  <c r="V515" i="1"/>
  <c r="U515" i="1"/>
  <c r="V514" i="1"/>
  <c r="U514" i="1"/>
  <c r="V513" i="1"/>
  <c r="U513" i="1"/>
  <c r="V512" i="1"/>
  <c r="U512" i="1"/>
  <c r="V511" i="1"/>
  <c r="U511" i="1"/>
  <c r="V510" i="1"/>
  <c r="U510" i="1"/>
  <c r="V509" i="1"/>
  <c r="U509" i="1"/>
  <c r="V508" i="1"/>
  <c r="U508" i="1"/>
  <c r="V507" i="1"/>
  <c r="U507" i="1"/>
  <c r="V506" i="1"/>
  <c r="U506" i="1"/>
  <c r="V505" i="1"/>
  <c r="V504" i="1"/>
  <c r="V503" i="1"/>
  <c r="V502" i="1"/>
  <c r="V501" i="1"/>
  <c r="U501" i="1"/>
  <c r="V500" i="1"/>
  <c r="U500" i="1"/>
  <c r="V499" i="1"/>
  <c r="V498" i="1"/>
  <c r="V497" i="1"/>
  <c r="V496" i="1"/>
  <c r="V495" i="1"/>
  <c r="V494" i="1"/>
  <c r="V493" i="1"/>
  <c r="V492" i="1"/>
  <c r="V491" i="1"/>
  <c r="V490" i="1"/>
  <c r="V489" i="1"/>
  <c r="V488" i="1"/>
  <c r="V487" i="1"/>
  <c r="V486" i="1"/>
  <c r="V485" i="1"/>
  <c r="V484" i="1"/>
  <c r="V483" i="1"/>
  <c r="V482" i="1"/>
  <c r="V481" i="1"/>
  <c r="U481" i="1"/>
  <c r="V480" i="1"/>
  <c r="U480" i="1"/>
  <c r="V479" i="1"/>
  <c r="U479" i="1"/>
  <c r="V478" i="1"/>
  <c r="U478" i="1"/>
  <c r="V477" i="1"/>
  <c r="U477" i="1"/>
  <c r="V476" i="1"/>
  <c r="U476" i="1"/>
  <c r="V475" i="1"/>
  <c r="V474" i="1"/>
  <c r="U474" i="1"/>
  <c r="V473" i="1"/>
  <c r="V472" i="1"/>
  <c r="V471" i="1"/>
  <c r="V470" i="1"/>
  <c r="U470" i="1"/>
  <c r="V469" i="1"/>
  <c r="U469" i="1"/>
  <c r="V468" i="1"/>
  <c r="U468" i="1"/>
  <c r="V467" i="1"/>
  <c r="U467" i="1"/>
  <c r="V466" i="1"/>
  <c r="U466" i="1"/>
  <c r="V465" i="1"/>
  <c r="U465" i="1"/>
  <c r="V464" i="1"/>
  <c r="V463" i="1"/>
  <c r="V462" i="1"/>
  <c r="V461" i="1"/>
  <c r="U461" i="1"/>
  <c r="V460" i="1"/>
  <c r="U460" i="1"/>
  <c r="V459" i="1"/>
  <c r="V458" i="1"/>
  <c r="U458" i="1"/>
  <c r="V457" i="1"/>
  <c r="U457" i="1"/>
  <c r="V456" i="1"/>
  <c r="U456" i="1"/>
  <c r="V455" i="1"/>
  <c r="U455" i="1"/>
  <c r="V454" i="1"/>
  <c r="U454" i="1"/>
  <c r="V453" i="1"/>
  <c r="U453" i="1"/>
  <c r="V452" i="1"/>
  <c r="U452" i="1"/>
  <c r="V451" i="1"/>
  <c r="U451" i="1"/>
  <c r="V450" i="1"/>
  <c r="U450" i="1"/>
  <c r="V449" i="1"/>
  <c r="U449" i="1"/>
  <c r="V448" i="1"/>
  <c r="U448" i="1"/>
  <c r="V447" i="1"/>
  <c r="U447" i="1"/>
  <c r="V446" i="1"/>
  <c r="U446" i="1"/>
  <c r="V445" i="1"/>
  <c r="U445" i="1"/>
  <c r="V444" i="1"/>
  <c r="U444" i="1"/>
  <c r="V443" i="1"/>
  <c r="U443" i="1"/>
  <c r="V442" i="1"/>
  <c r="U442" i="1"/>
  <c r="V441" i="1"/>
  <c r="U441" i="1"/>
  <c r="V440" i="1"/>
  <c r="U440" i="1"/>
  <c r="V439" i="1"/>
  <c r="U439" i="1"/>
  <c r="W438" i="1"/>
  <c r="W437" i="1"/>
  <c r="W436" i="1"/>
  <c r="W435" i="1"/>
  <c r="W434" i="1"/>
  <c r="W433" i="1"/>
  <c r="W432" i="1"/>
  <c r="W431" i="1"/>
  <c r="W430" i="1"/>
  <c r="W429" i="1"/>
  <c r="W428" i="1"/>
  <c r="W427" i="1"/>
  <c r="W426" i="1"/>
  <c r="W425" i="1"/>
  <c r="W424" i="1"/>
  <c r="V424" i="1"/>
  <c r="W423" i="1"/>
  <c r="V423" i="1"/>
  <c r="W422" i="1"/>
  <c r="W421" i="1"/>
  <c r="W420" i="1"/>
  <c r="W419" i="1"/>
  <c r="W418" i="1"/>
  <c r="W417" i="1"/>
  <c r="W416" i="1"/>
  <c r="W415" i="1"/>
  <c r="W414" i="1"/>
  <c r="W413" i="1"/>
  <c r="W412" i="1"/>
  <c r="W411" i="1"/>
  <c r="W410" i="1"/>
  <c r="W409" i="1"/>
  <c r="W408" i="1"/>
  <c r="W407" i="1"/>
  <c r="W406" i="1"/>
  <c r="W405" i="1"/>
  <c r="W404" i="1"/>
  <c r="V404" i="1"/>
  <c r="U404" i="1"/>
  <c r="W403" i="1"/>
  <c r="V403" i="1"/>
  <c r="U403" i="1"/>
  <c r="W398" i="1"/>
  <c r="W397" i="1"/>
  <c r="W396" i="1"/>
  <c r="W395" i="1"/>
  <c r="W394" i="1"/>
  <c r="W393" i="1"/>
  <c r="W392" i="1"/>
  <c r="W391" i="1"/>
  <c r="W390" i="1"/>
  <c r="W389" i="1"/>
  <c r="W388" i="1"/>
  <c r="W387" i="1"/>
  <c r="W386" i="1"/>
  <c r="W385" i="1"/>
  <c r="W384" i="1"/>
  <c r="W383" i="1"/>
  <c r="W382" i="1"/>
  <c r="W381" i="1"/>
  <c r="W380" i="1"/>
  <c r="W379" i="1"/>
  <c r="W378" i="1"/>
  <c r="W377" i="1"/>
  <c r="W376" i="1"/>
  <c r="W375" i="1"/>
  <c r="W374" i="1"/>
  <c r="W373" i="1"/>
  <c r="W372" i="1"/>
  <c r="W371" i="1"/>
  <c r="W370" i="1"/>
  <c r="W369" i="1"/>
  <c r="W368" i="1"/>
  <c r="W367" i="1"/>
  <c r="W366" i="1"/>
  <c r="W365" i="1"/>
  <c r="W364" i="1"/>
  <c r="W363" i="1"/>
  <c r="W362" i="1"/>
  <c r="W361" i="1"/>
  <c r="W360" i="1"/>
  <c r="W359" i="1"/>
  <c r="W356" i="1"/>
  <c r="W355" i="1"/>
  <c r="W354" i="1"/>
  <c r="W353" i="1"/>
  <c r="W352" i="1"/>
  <c r="W351" i="1"/>
  <c r="W350" i="1"/>
  <c r="W349" i="1"/>
  <c r="W348" i="1"/>
  <c r="W347" i="1"/>
  <c r="W346" i="1"/>
  <c r="W345" i="1"/>
  <c r="W344" i="1"/>
  <c r="W343" i="1"/>
  <c r="W342" i="1"/>
  <c r="W341" i="1"/>
  <c r="W340" i="1"/>
  <c r="W339" i="1"/>
  <c r="W338" i="1"/>
  <c r="W337" i="1"/>
  <c r="V336" i="1"/>
  <c r="V335" i="1"/>
  <c r="V334" i="1"/>
  <c r="V333" i="1"/>
  <c r="V332" i="1"/>
  <c r="V331" i="1"/>
  <c r="V330" i="1"/>
  <c r="V329" i="1"/>
  <c r="V328" i="1"/>
  <c r="V327" i="1"/>
  <c r="W326" i="1"/>
  <c r="W325" i="1"/>
  <c r="W324" i="1"/>
  <c r="W323" i="1"/>
  <c r="W322" i="1"/>
  <c r="W321" i="1"/>
  <c r="W320" i="1"/>
  <c r="W319" i="1"/>
  <c r="W318" i="1"/>
  <c r="W317" i="1"/>
  <c r="W316" i="1"/>
  <c r="W315" i="1"/>
  <c r="W314" i="1"/>
  <c r="V314" i="1"/>
  <c r="W313" i="1"/>
  <c r="V313" i="1"/>
  <c r="W312" i="1"/>
  <c r="V312" i="1"/>
  <c r="W311" i="1"/>
  <c r="V311" i="1"/>
  <c r="W310" i="1"/>
  <c r="V310" i="1"/>
  <c r="W309" i="1"/>
  <c r="V309" i="1"/>
  <c r="W308" i="1"/>
  <c r="V308" i="1"/>
  <c r="W307" i="1"/>
  <c r="V307" i="1"/>
  <c r="W306" i="1"/>
  <c r="V306" i="1"/>
  <c r="W305" i="1"/>
  <c r="V305" i="1"/>
  <c r="W304" i="1"/>
  <c r="V304" i="1"/>
  <c r="W303" i="1"/>
  <c r="V303" i="1"/>
  <c r="V302" i="1"/>
  <c r="V301" i="1"/>
  <c r="W300" i="1"/>
  <c r="V300" i="1"/>
  <c r="V299" i="1"/>
  <c r="V298" i="1"/>
  <c r="V297" i="1"/>
  <c r="V296" i="1"/>
  <c r="V295" i="1"/>
  <c r="V294" i="1"/>
  <c r="V293" i="1"/>
  <c r="W292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V273" i="1"/>
  <c r="W267" i="1"/>
  <c r="V264" i="1"/>
  <c r="V263" i="1"/>
  <c r="W262" i="1"/>
  <c r="V262" i="1"/>
  <c r="W261" i="1"/>
  <c r="V261" i="1"/>
  <c r="W260" i="1"/>
  <c r="V260" i="1"/>
  <c r="W259" i="1"/>
  <c r="V259" i="1"/>
  <c r="W258" i="1"/>
  <c r="V258" i="1"/>
  <c r="W257" i="1"/>
  <c r="V257" i="1"/>
  <c r="W256" i="1"/>
  <c r="V256" i="1"/>
  <c r="W255" i="1"/>
  <c r="V255" i="1"/>
  <c r="W254" i="1"/>
  <c r="V254" i="1"/>
  <c r="W253" i="1"/>
  <c r="V253" i="1"/>
  <c r="W252" i="1"/>
  <c r="V252" i="1"/>
  <c r="W251" i="1"/>
  <c r="V251" i="1"/>
  <c r="W250" i="1"/>
  <c r="V250" i="1"/>
  <c r="W249" i="1"/>
  <c r="V249" i="1"/>
  <c r="V248" i="1"/>
  <c r="V247" i="1"/>
  <c r="V246" i="1"/>
  <c r="V245" i="1"/>
  <c r="V244" i="1"/>
  <c r="V243" i="1"/>
  <c r="V242" i="1"/>
  <c r="V241" i="1"/>
  <c r="V240" i="1"/>
  <c r="V239" i="1"/>
  <c r="V238" i="1"/>
  <c r="V237" i="1"/>
  <c r="V236" i="1"/>
  <c r="V227" i="1"/>
  <c r="V226" i="1"/>
  <c r="V225" i="1"/>
  <c r="V224" i="1"/>
  <c r="V223" i="1"/>
  <c r="W222" i="1"/>
  <c r="V222" i="1"/>
  <c r="V216" i="1"/>
  <c r="V215" i="1"/>
  <c r="V214" i="1"/>
  <c r="V213" i="1"/>
  <c r="V212" i="1"/>
  <c r="V211" i="1"/>
  <c r="V210" i="1"/>
  <c r="V209" i="1"/>
  <c r="V208" i="1"/>
  <c r="V207" i="1"/>
  <c r="V206" i="1"/>
  <c r="W205" i="1"/>
  <c r="V205" i="1"/>
  <c r="V204" i="1"/>
  <c r="V203" i="1"/>
  <c r="V202" i="1"/>
  <c r="V201" i="1"/>
  <c r="V200" i="1"/>
  <c r="V199" i="1"/>
  <c r="V198" i="1"/>
  <c r="V197" i="1"/>
  <c r="W196" i="1"/>
  <c r="V196" i="1"/>
  <c r="V195" i="1"/>
  <c r="V194" i="1"/>
  <c r="V193" i="1"/>
  <c r="V192" i="1"/>
  <c r="V191" i="1"/>
  <c r="V190" i="1"/>
  <c r="V189" i="1"/>
  <c r="V188" i="1"/>
  <c r="V187" i="1"/>
  <c r="W186" i="1"/>
  <c r="V186" i="1"/>
  <c r="W185" i="1"/>
  <c r="V185" i="1"/>
  <c r="W184" i="1"/>
  <c r="V184" i="1"/>
  <c r="W183" i="1"/>
  <c r="V183" i="1"/>
  <c r="W182" i="1"/>
  <c r="W181" i="1"/>
  <c r="W180" i="1"/>
  <c r="W179" i="1"/>
  <c r="W178" i="1"/>
  <c r="W177" i="1"/>
  <c r="V176" i="1"/>
  <c r="V175" i="1"/>
  <c r="V174" i="1"/>
  <c r="V173" i="1"/>
  <c r="V172" i="1"/>
  <c r="U172" i="1"/>
  <c r="V171" i="1"/>
  <c r="U171" i="1"/>
  <c r="V167" i="1"/>
  <c r="W166" i="1"/>
  <c r="V166" i="1"/>
  <c r="W165" i="1"/>
  <c r="V165" i="1"/>
  <c r="V164" i="1"/>
  <c r="V163" i="1"/>
  <c r="V162" i="1"/>
  <c r="W161" i="1"/>
  <c r="V161" i="1"/>
  <c r="W160" i="1"/>
  <c r="V160" i="1"/>
  <c r="V159" i="1"/>
  <c r="V158" i="1"/>
  <c r="V157" i="1"/>
  <c r="V156" i="1"/>
  <c r="V155" i="1"/>
  <c r="V154" i="1"/>
  <c r="V153" i="1"/>
  <c r="V152" i="1"/>
  <c r="U152" i="1"/>
  <c r="V151" i="1"/>
  <c r="U151" i="1"/>
  <c r="V150" i="1"/>
  <c r="U150" i="1"/>
  <c r="V149" i="1"/>
  <c r="U149" i="1"/>
  <c r="V148" i="1"/>
  <c r="U148" i="1"/>
  <c r="V147" i="1"/>
  <c r="U147" i="1"/>
  <c r="V146" i="1"/>
  <c r="U146" i="1"/>
  <c r="V145" i="1"/>
  <c r="U145" i="1"/>
  <c r="V144" i="1"/>
  <c r="U144" i="1"/>
  <c r="V143" i="1"/>
  <c r="U143" i="1"/>
  <c r="V142" i="1"/>
  <c r="U142" i="1"/>
  <c r="V141" i="1"/>
  <c r="U141" i="1"/>
  <c r="V140" i="1"/>
  <c r="U140" i="1"/>
  <c r="V139" i="1"/>
  <c r="U139" i="1"/>
  <c r="V138" i="1"/>
  <c r="U138" i="1"/>
  <c r="V137" i="1"/>
  <c r="U137" i="1"/>
  <c r="V136" i="1"/>
  <c r="U136" i="1"/>
  <c r="V135" i="1"/>
  <c r="U135" i="1"/>
  <c r="V134" i="1"/>
  <c r="U134" i="1"/>
  <c r="U133" i="1"/>
  <c r="U132" i="1"/>
  <c r="V131" i="1"/>
  <c r="U131" i="1"/>
  <c r="V130" i="1"/>
  <c r="U130" i="1"/>
  <c r="V129" i="1"/>
  <c r="U129" i="1"/>
  <c r="V128" i="1"/>
  <c r="U128" i="1"/>
  <c r="V127" i="1"/>
  <c r="U127" i="1"/>
  <c r="V126" i="1"/>
  <c r="U126" i="1"/>
  <c r="V125" i="1"/>
  <c r="U125" i="1"/>
  <c r="V124" i="1"/>
  <c r="U124" i="1"/>
  <c r="V123" i="1"/>
  <c r="U123" i="1"/>
  <c r="V122" i="1"/>
  <c r="U122" i="1"/>
  <c r="V121" i="1"/>
  <c r="U121" i="1"/>
  <c r="V120" i="1"/>
  <c r="U120" i="1"/>
  <c r="V119" i="1"/>
  <c r="U119" i="1"/>
  <c r="V118" i="1"/>
  <c r="U118" i="1"/>
  <c r="V117" i="1"/>
  <c r="U117" i="1"/>
  <c r="V116" i="1"/>
  <c r="U116" i="1"/>
  <c r="V115" i="1"/>
  <c r="U115" i="1"/>
  <c r="V114" i="1"/>
  <c r="U114" i="1"/>
  <c r="V113" i="1"/>
  <c r="U113" i="1"/>
  <c r="V112" i="1"/>
  <c r="U112" i="1"/>
  <c r="V111" i="1"/>
  <c r="U111" i="1"/>
  <c r="V110" i="1"/>
  <c r="U110" i="1"/>
  <c r="V109" i="1"/>
  <c r="U109" i="1"/>
  <c r="V108" i="1"/>
  <c r="U108" i="1"/>
  <c r="V107" i="1"/>
  <c r="U107" i="1"/>
  <c r="V106" i="1"/>
  <c r="U106" i="1"/>
  <c r="V105" i="1"/>
  <c r="U105" i="1"/>
  <c r="V104" i="1"/>
  <c r="U104" i="1"/>
  <c r="V103" i="1"/>
  <c r="U103" i="1"/>
  <c r="V102" i="1"/>
  <c r="U102" i="1"/>
  <c r="V101" i="1"/>
  <c r="U101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V93" i="1"/>
  <c r="U93" i="1"/>
  <c r="V92" i="1"/>
  <c r="U92" i="1"/>
  <c r="V91" i="1"/>
  <c r="U91" i="1"/>
  <c r="V90" i="1"/>
  <c r="U90" i="1"/>
  <c r="V89" i="1"/>
  <c r="U89" i="1"/>
  <c r="V88" i="1"/>
  <c r="U88" i="1"/>
  <c r="V87" i="1"/>
  <c r="U87" i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V79" i="1"/>
  <c r="U79" i="1"/>
  <c r="V78" i="1"/>
  <c r="U78" i="1"/>
  <c r="V77" i="1"/>
  <c r="U77" i="1"/>
  <c r="V76" i="1"/>
  <c r="U76" i="1"/>
  <c r="V75" i="1"/>
  <c r="U75" i="1"/>
  <c r="V74" i="1"/>
  <c r="U74" i="1"/>
  <c r="V73" i="1"/>
  <c r="U73" i="1"/>
  <c r="V72" i="1"/>
  <c r="U72" i="1"/>
  <c r="V71" i="1"/>
  <c r="U71" i="1"/>
  <c r="V70" i="1"/>
  <c r="U70" i="1"/>
  <c r="V69" i="1"/>
  <c r="U69" i="1"/>
  <c r="V68" i="1"/>
  <c r="U68" i="1"/>
  <c r="V67" i="1"/>
  <c r="U67" i="1"/>
  <c r="V66" i="1"/>
  <c r="U66" i="1"/>
  <c r="V65" i="1"/>
  <c r="U65" i="1"/>
  <c r="V64" i="1"/>
  <c r="U64" i="1"/>
  <c r="V63" i="1"/>
  <c r="U63" i="1"/>
  <c r="V62" i="1"/>
  <c r="U62" i="1"/>
  <c r="V61" i="1"/>
  <c r="U61" i="1"/>
  <c r="V60" i="1"/>
  <c r="U60" i="1"/>
  <c r="V59" i="1"/>
  <c r="U59" i="1"/>
  <c r="V58" i="1"/>
  <c r="U58" i="1"/>
  <c r="V57" i="1"/>
  <c r="U57" i="1"/>
  <c r="V56" i="1"/>
  <c r="U56" i="1"/>
  <c r="V55" i="1"/>
  <c r="U55" i="1"/>
  <c r="V54" i="1"/>
  <c r="U54" i="1"/>
  <c r="V53" i="1"/>
  <c r="U53" i="1"/>
  <c r="V52" i="1"/>
  <c r="U52" i="1"/>
  <c r="V51" i="1"/>
  <c r="U51" i="1"/>
  <c r="V50" i="1"/>
  <c r="U50" i="1"/>
  <c r="V49" i="1"/>
  <c r="U49" i="1"/>
  <c r="V48" i="1"/>
  <c r="U48" i="1"/>
  <c r="V47" i="1"/>
  <c r="U47" i="1"/>
  <c r="V46" i="1"/>
  <c r="U46" i="1"/>
  <c r="V45" i="1"/>
  <c r="U45" i="1"/>
  <c r="V44" i="1"/>
  <c r="U44" i="1"/>
  <c r="V43" i="1"/>
  <c r="U43" i="1"/>
  <c r="V42" i="1"/>
  <c r="U42" i="1"/>
  <c r="V41" i="1"/>
  <c r="U41" i="1"/>
  <c r="V40" i="1"/>
  <c r="U40" i="1"/>
  <c r="V39" i="1"/>
  <c r="U39" i="1"/>
  <c r="V38" i="1"/>
  <c r="U38" i="1"/>
  <c r="V37" i="1"/>
  <c r="U37" i="1"/>
  <c r="W35" i="1"/>
  <c r="V35" i="1"/>
  <c r="U35" i="1"/>
  <c r="W34" i="1"/>
  <c r="V34" i="1"/>
  <c r="U34" i="1"/>
  <c r="W33" i="1"/>
  <c r="V33" i="1"/>
  <c r="U33" i="1"/>
  <c r="W32" i="1"/>
  <c r="V32" i="1"/>
  <c r="U32" i="1"/>
  <c r="W31" i="1"/>
  <c r="V31" i="1"/>
  <c r="U31" i="1"/>
  <c r="W30" i="1"/>
  <c r="V30" i="1"/>
  <c r="U30" i="1"/>
  <c r="W29" i="1"/>
  <c r="W28" i="1"/>
  <c r="V28" i="1"/>
  <c r="U28" i="1"/>
  <c r="W27" i="1"/>
  <c r="V27" i="1"/>
  <c r="U27" i="1"/>
  <c r="W26" i="1"/>
  <c r="V26" i="1"/>
  <c r="U26" i="1"/>
  <c r="W25" i="1"/>
  <c r="V25" i="1"/>
  <c r="U25" i="1"/>
  <c r="W24" i="1"/>
  <c r="V24" i="1"/>
  <c r="U24" i="1"/>
  <c r="W23" i="1"/>
  <c r="V23" i="1"/>
  <c r="U23" i="1"/>
  <c r="W22" i="1"/>
  <c r="V22" i="1"/>
  <c r="U22" i="1"/>
  <c r="W21" i="1"/>
  <c r="V21" i="1"/>
  <c r="U21" i="1"/>
  <c r="W20" i="1"/>
  <c r="V20" i="1"/>
  <c r="U20" i="1"/>
  <c r="W19" i="1"/>
  <c r="V19" i="1"/>
  <c r="U19" i="1"/>
  <c r="W18" i="1"/>
  <c r="V18" i="1"/>
  <c r="U18" i="1"/>
  <c r="W17" i="1"/>
  <c r="V17" i="1"/>
  <c r="U17" i="1"/>
  <c r="W16" i="1"/>
  <c r="V16" i="1"/>
  <c r="U16" i="1"/>
  <c r="W15" i="1"/>
  <c r="V15" i="1"/>
  <c r="U15" i="1"/>
  <c r="W14" i="1"/>
  <c r="V14" i="1"/>
  <c r="U14" i="1"/>
  <c r="W13" i="1"/>
  <c r="V13" i="1"/>
  <c r="U13" i="1"/>
  <c r="W12" i="1"/>
  <c r="V12" i="1"/>
  <c r="U12" i="1"/>
  <c r="W11" i="1"/>
  <c r="V11" i="1"/>
  <c r="U11" i="1"/>
  <c r="W10" i="1"/>
  <c r="V10" i="1"/>
  <c r="U10" i="1"/>
  <c r="W9" i="1"/>
  <c r="V9" i="1"/>
  <c r="U9" i="1"/>
  <c r="W8" i="1"/>
  <c r="V8" i="1"/>
  <c r="U8" i="1"/>
  <c r="W7" i="1"/>
  <c r="V7" i="1"/>
  <c r="U7" i="1"/>
  <c r="W6" i="1"/>
  <c r="V6" i="1"/>
  <c r="U6" i="1"/>
  <c r="W5" i="1"/>
  <c r="V5" i="1"/>
  <c r="U5" i="1"/>
  <c r="W4" i="1"/>
  <c r="V4" i="1"/>
  <c r="U4" i="1"/>
  <c r="W3" i="1"/>
  <c r="V3" i="1"/>
  <c r="U3" i="1"/>
  <c r="W2" i="1"/>
  <c r="V2" i="1"/>
  <c r="U2" i="1"/>
  <c r="Q1163" i="1"/>
  <c r="R1163" i="1"/>
  <c r="S1163" i="1"/>
  <c r="T1163" i="1" s="1"/>
  <c r="Q1111" i="1"/>
  <c r="Y1111" i="1"/>
  <c r="H1111" i="1"/>
  <c r="S1111" i="1" s="1"/>
  <c r="T1111" i="1" s="1"/>
  <c r="Q1110" i="1"/>
  <c r="H1110" i="1"/>
  <c r="R1110" i="1" s="1"/>
  <c r="Q1109" i="1"/>
  <c r="H1109" i="1"/>
  <c r="R1109" i="1" s="1"/>
  <c r="Q1108" i="1"/>
  <c r="H1108" i="1"/>
  <c r="S1108" i="1" s="1"/>
  <c r="T1108" i="1" s="1"/>
  <c r="Q1107" i="1"/>
  <c r="H1107" i="1"/>
  <c r="R1107" i="1" s="1"/>
  <c r="Q1106" i="1"/>
  <c r="H1106" i="1"/>
  <c r="S1106" i="1" s="1"/>
  <c r="T1106" i="1" s="1"/>
  <c r="Q1105" i="1"/>
  <c r="H1105" i="1"/>
  <c r="R1105" i="1" s="1"/>
  <c r="Q1104" i="1"/>
  <c r="H1104" i="1"/>
  <c r="R1104" i="1" s="1"/>
  <c r="Q927" i="1"/>
  <c r="H927" i="1"/>
  <c r="Q926" i="1"/>
  <c r="H926" i="1"/>
  <c r="Q925" i="1"/>
  <c r="H925" i="1"/>
  <c r="Q924" i="1"/>
  <c r="H924" i="1"/>
  <c r="Q923" i="1"/>
  <c r="H923" i="1"/>
  <c r="Q922" i="1"/>
  <c r="H922" i="1"/>
  <c r="Q921" i="1"/>
  <c r="H921" i="1"/>
  <c r="Q920" i="1"/>
  <c r="H920" i="1"/>
  <c r="Q919" i="1"/>
  <c r="H919" i="1"/>
  <c r="Q918" i="1"/>
  <c r="H918" i="1"/>
  <c r="Q917" i="1"/>
  <c r="H917" i="1"/>
  <c r="Q916" i="1"/>
  <c r="H916" i="1"/>
  <c r="Q915" i="1"/>
  <c r="H915" i="1"/>
  <c r="Q914" i="1"/>
  <c r="H914" i="1"/>
  <c r="Q913" i="1"/>
  <c r="H913" i="1"/>
  <c r="Q912" i="1"/>
  <c r="H912" i="1"/>
  <c r="Q911" i="1"/>
  <c r="H911" i="1"/>
  <c r="Q910" i="1"/>
  <c r="H910" i="1"/>
  <c r="Q909" i="1"/>
  <c r="H909" i="1"/>
  <c r="Q908" i="1"/>
  <c r="H908" i="1"/>
  <c r="Q907" i="1"/>
  <c r="H907" i="1"/>
  <c r="Q906" i="1"/>
  <c r="H906" i="1"/>
  <c r="Q905" i="1"/>
  <c r="H905" i="1"/>
  <c r="Q904" i="1"/>
  <c r="H904" i="1"/>
  <c r="Q903" i="1"/>
  <c r="H903" i="1"/>
  <c r="Q902" i="1"/>
  <c r="H902" i="1"/>
  <c r="Q1113" i="1"/>
  <c r="H1113" i="1"/>
  <c r="Q1162" i="1"/>
  <c r="X1162" i="1"/>
  <c r="H1162" i="1"/>
  <c r="S1162" i="1" s="1"/>
  <c r="T1162" i="1" s="1"/>
  <c r="Q1161" i="1"/>
  <c r="H1161" i="1"/>
  <c r="S1161" i="1" s="1"/>
  <c r="T1161" i="1" s="1"/>
  <c r="Q1160" i="1"/>
  <c r="X1160" i="1"/>
  <c r="H1160" i="1"/>
  <c r="R1160" i="1" s="1"/>
  <c r="Q1159" i="1"/>
  <c r="X1159" i="1"/>
  <c r="H1159" i="1"/>
  <c r="S1159" i="1" s="1"/>
  <c r="T1159" i="1" s="1"/>
  <c r="Q1158" i="1"/>
  <c r="X1158" i="1"/>
  <c r="H1158" i="1"/>
  <c r="S1158" i="1" s="1"/>
  <c r="T1158" i="1" s="1"/>
  <c r="Q1157" i="1"/>
  <c r="X1157" i="1"/>
  <c r="H1157" i="1"/>
  <c r="R1157" i="1" s="1"/>
  <c r="Q1156" i="1"/>
  <c r="H1156" i="1"/>
  <c r="R1156" i="1" s="1"/>
  <c r="Q1155" i="1"/>
  <c r="X1155" i="1"/>
  <c r="H1155" i="1"/>
  <c r="S1155" i="1" s="1"/>
  <c r="T1155" i="1" s="1"/>
  <c r="Q1154" i="1"/>
  <c r="Y1154" i="1"/>
  <c r="H1154" i="1"/>
  <c r="S1154" i="1" s="1"/>
  <c r="T1154" i="1" s="1"/>
  <c r="Q1153" i="1"/>
  <c r="X1153" i="1"/>
  <c r="H1153" i="1"/>
  <c r="R1153" i="1" s="1"/>
  <c r="Q1152" i="1"/>
  <c r="X1152" i="1"/>
  <c r="H1152" i="1"/>
  <c r="S1152" i="1" s="1"/>
  <c r="T1152" i="1" s="1"/>
  <c r="Q1151" i="1"/>
  <c r="X1151" i="1"/>
  <c r="H1151" i="1"/>
  <c r="R1151" i="1" s="1"/>
  <c r="Q1150" i="1"/>
  <c r="Y1150" i="1"/>
  <c r="H1150" i="1"/>
  <c r="R1150" i="1" s="1"/>
  <c r="Q1149" i="1"/>
  <c r="H1149" i="1"/>
  <c r="R1149" i="1" s="1"/>
  <c r="Q1148" i="1"/>
  <c r="H1148" i="1"/>
  <c r="R1148" i="1" s="1"/>
  <c r="X1163" i="1" l="1"/>
  <c r="Z1163" i="1" s="1"/>
  <c r="Z1107" i="1"/>
  <c r="R1111" i="1"/>
  <c r="X1111" i="1"/>
  <c r="Z1111" i="1" s="1"/>
  <c r="X1110" i="1"/>
  <c r="Z1110" i="1" s="1"/>
  <c r="Z1108" i="1"/>
  <c r="S1110" i="1"/>
  <c r="T1110" i="1" s="1"/>
  <c r="S1109" i="1"/>
  <c r="T1109" i="1" s="1"/>
  <c r="X1109" i="1"/>
  <c r="Z1109" i="1" s="1"/>
  <c r="R1108" i="1"/>
  <c r="Y1108" i="1"/>
  <c r="S1107" i="1"/>
  <c r="T1107" i="1" s="1"/>
  <c r="Y1107" i="1"/>
  <c r="R1106" i="1"/>
  <c r="X1106" i="1"/>
  <c r="Z1106" i="1" s="1"/>
  <c r="Y1105" i="1"/>
  <c r="S1105" i="1"/>
  <c r="T1105" i="1" s="1"/>
  <c r="Z1105" i="1"/>
  <c r="X1104" i="1"/>
  <c r="Z1104" i="1" s="1"/>
  <c r="S1104" i="1"/>
  <c r="T1104" i="1" s="1"/>
  <c r="Z1162" i="1"/>
  <c r="X927" i="1"/>
  <c r="Z927" i="1" s="1"/>
  <c r="Y927" i="1"/>
  <c r="R927" i="1"/>
  <c r="S927" i="1"/>
  <c r="T927" i="1" s="1"/>
  <c r="X926" i="1"/>
  <c r="Z926" i="1" s="1"/>
  <c r="Y926" i="1"/>
  <c r="R926" i="1"/>
  <c r="S926" i="1"/>
  <c r="T926" i="1" s="1"/>
  <c r="X925" i="1"/>
  <c r="Z925" i="1" s="1"/>
  <c r="Y925" i="1"/>
  <c r="R925" i="1"/>
  <c r="S925" i="1"/>
  <c r="T925" i="1" s="1"/>
  <c r="X924" i="1"/>
  <c r="Z924" i="1" s="1"/>
  <c r="Y924" i="1"/>
  <c r="R924" i="1"/>
  <c r="S924" i="1"/>
  <c r="T924" i="1" s="1"/>
  <c r="X923" i="1"/>
  <c r="Z923" i="1" s="1"/>
  <c r="Y923" i="1"/>
  <c r="R923" i="1"/>
  <c r="S923" i="1"/>
  <c r="T923" i="1" s="1"/>
  <c r="X922" i="1"/>
  <c r="Z922" i="1" s="1"/>
  <c r="Y922" i="1"/>
  <c r="R922" i="1"/>
  <c r="S922" i="1"/>
  <c r="T922" i="1" s="1"/>
  <c r="Y921" i="1"/>
  <c r="X921" i="1"/>
  <c r="Z921" i="1" s="1"/>
  <c r="R921" i="1"/>
  <c r="S921" i="1"/>
  <c r="T921" i="1" s="1"/>
  <c r="Y920" i="1"/>
  <c r="X920" i="1"/>
  <c r="Z920" i="1" s="1"/>
  <c r="R920" i="1"/>
  <c r="S920" i="1"/>
  <c r="T920" i="1" s="1"/>
  <c r="Y919" i="1"/>
  <c r="X919" i="1"/>
  <c r="Z919" i="1" s="1"/>
  <c r="R919" i="1"/>
  <c r="S919" i="1"/>
  <c r="T919" i="1" s="1"/>
  <c r="X918" i="1"/>
  <c r="Z918" i="1" s="1"/>
  <c r="Y918" i="1"/>
  <c r="R918" i="1"/>
  <c r="S918" i="1"/>
  <c r="T918" i="1" s="1"/>
  <c r="X917" i="1"/>
  <c r="Z917" i="1" s="1"/>
  <c r="Y917" i="1"/>
  <c r="R917" i="1"/>
  <c r="S917" i="1"/>
  <c r="T917" i="1" s="1"/>
  <c r="Y916" i="1"/>
  <c r="X916" i="1"/>
  <c r="Z916" i="1" s="1"/>
  <c r="R916" i="1"/>
  <c r="S916" i="1"/>
  <c r="T916" i="1" s="1"/>
  <c r="Y915" i="1"/>
  <c r="X915" i="1"/>
  <c r="Z915" i="1" s="1"/>
  <c r="R915" i="1"/>
  <c r="S915" i="1"/>
  <c r="T915" i="1" s="1"/>
  <c r="X914" i="1"/>
  <c r="Z914" i="1" s="1"/>
  <c r="Y914" i="1"/>
  <c r="R914" i="1"/>
  <c r="S914" i="1"/>
  <c r="T914" i="1" s="1"/>
  <c r="Y913" i="1"/>
  <c r="X913" i="1"/>
  <c r="Z913" i="1" s="1"/>
  <c r="R913" i="1"/>
  <c r="S913" i="1"/>
  <c r="T913" i="1" s="1"/>
  <c r="X912" i="1"/>
  <c r="Z912" i="1" s="1"/>
  <c r="Y912" i="1"/>
  <c r="R912" i="1"/>
  <c r="S912" i="1"/>
  <c r="T912" i="1" s="1"/>
  <c r="X911" i="1"/>
  <c r="Z911" i="1" s="1"/>
  <c r="Y911" i="1"/>
  <c r="R911" i="1"/>
  <c r="S911" i="1"/>
  <c r="T911" i="1" s="1"/>
  <c r="X910" i="1"/>
  <c r="Z910" i="1" s="1"/>
  <c r="Y910" i="1"/>
  <c r="R910" i="1"/>
  <c r="S910" i="1"/>
  <c r="T910" i="1" s="1"/>
  <c r="X909" i="1"/>
  <c r="Z909" i="1" s="1"/>
  <c r="Y909" i="1"/>
  <c r="R909" i="1"/>
  <c r="S909" i="1"/>
  <c r="T909" i="1" s="1"/>
  <c r="Y908" i="1"/>
  <c r="X908" i="1"/>
  <c r="Z908" i="1" s="1"/>
  <c r="R908" i="1"/>
  <c r="S908" i="1"/>
  <c r="T908" i="1" s="1"/>
  <c r="X907" i="1"/>
  <c r="Z907" i="1" s="1"/>
  <c r="Y907" i="1"/>
  <c r="R907" i="1"/>
  <c r="S907" i="1"/>
  <c r="T907" i="1" s="1"/>
  <c r="X906" i="1"/>
  <c r="Z906" i="1" s="1"/>
  <c r="Y906" i="1"/>
  <c r="R906" i="1"/>
  <c r="S906" i="1"/>
  <c r="T906" i="1" s="1"/>
  <c r="X905" i="1"/>
  <c r="Z905" i="1" s="1"/>
  <c r="Y905" i="1"/>
  <c r="R905" i="1"/>
  <c r="S905" i="1"/>
  <c r="T905" i="1" s="1"/>
  <c r="Y904" i="1"/>
  <c r="X904" i="1"/>
  <c r="Z904" i="1" s="1"/>
  <c r="R904" i="1"/>
  <c r="S904" i="1"/>
  <c r="T904" i="1" s="1"/>
  <c r="Y903" i="1"/>
  <c r="X903" i="1"/>
  <c r="Z903" i="1" s="1"/>
  <c r="R903" i="1"/>
  <c r="S903" i="1"/>
  <c r="T903" i="1" s="1"/>
  <c r="Y902" i="1"/>
  <c r="X902" i="1"/>
  <c r="Z902" i="1" s="1"/>
  <c r="R902" i="1"/>
  <c r="S902" i="1"/>
  <c r="T902" i="1" s="1"/>
  <c r="X1113" i="1"/>
  <c r="Z1113" i="1" s="1"/>
  <c r="Y1113" i="1"/>
  <c r="R1113" i="1"/>
  <c r="S1113" i="1"/>
  <c r="T1113" i="1" s="1"/>
  <c r="Z1161" i="1"/>
  <c r="R1161" i="1"/>
  <c r="R1162" i="1"/>
  <c r="Y1162" i="1"/>
  <c r="Y1161" i="1"/>
  <c r="Y1160" i="1"/>
  <c r="S1160" i="1"/>
  <c r="T1160" i="1" s="1"/>
  <c r="Z1160" i="1"/>
  <c r="Z1159" i="1"/>
  <c r="Z1158" i="1"/>
  <c r="Z1152" i="1"/>
  <c r="R1158" i="1"/>
  <c r="R1159" i="1"/>
  <c r="Y1159" i="1"/>
  <c r="Y1158" i="1"/>
  <c r="Y1157" i="1"/>
  <c r="S1157" i="1"/>
  <c r="T1157" i="1" s="1"/>
  <c r="Z1157" i="1"/>
  <c r="X1156" i="1"/>
  <c r="Z1156" i="1" s="1"/>
  <c r="S1156" i="1"/>
  <c r="T1156" i="1" s="1"/>
  <c r="R1155" i="1"/>
  <c r="Z1155" i="1"/>
  <c r="Y1155" i="1"/>
  <c r="R1154" i="1"/>
  <c r="X1154" i="1"/>
  <c r="Z1154" i="1" s="1"/>
  <c r="S1153" i="1"/>
  <c r="T1153" i="1" s="1"/>
  <c r="Z1153" i="1"/>
  <c r="Y1153" i="1"/>
  <c r="R1152" i="1"/>
  <c r="Y1152" i="1"/>
  <c r="Y1151" i="1"/>
  <c r="S1151" i="1"/>
  <c r="T1151" i="1" s="1"/>
  <c r="Z1151" i="1"/>
  <c r="X1150" i="1"/>
  <c r="Z1150" i="1" s="1"/>
  <c r="S1150" i="1"/>
  <c r="T1150" i="1" s="1"/>
  <c r="X1149" i="1"/>
  <c r="Z1149" i="1" s="1"/>
  <c r="S1149" i="1"/>
  <c r="T1149" i="1" s="1"/>
  <c r="X1148" i="1"/>
  <c r="Z1148" i="1" s="1"/>
  <c r="S1148" i="1"/>
  <c r="T1148" i="1" s="1"/>
  <c r="H1147" i="1"/>
  <c r="R1147" i="1" s="1"/>
  <c r="Q1147" i="1"/>
  <c r="X1147" i="1"/>
  <c r="H1146" i="1"/>
  <c r="R1146" i="1" s="1"/>
  <c r="Q1146" i="1"/>
  <c r="Y1146" i="1"/>
  <c r="Q1145" i="1"/>
  <c r="Y1145" i="1"/>
  <c r="H1145" i="1"/>
  <c r="R1145" i="1" s="1"/>
  <c r="Q1144" i="1"/>
  <c r="Y1144" i="1"/>
  <c r="H1144" i="1"/>
  <c r="R1144" i="1" s="1"/>
  <c r="Q1143" i="1"/>
  <c r="Y1143" i="1"/>
  <c r="H1143" i="1"/>
  <c r="S1143" i="1" s="1"/>
  <c r="T1143" i="1" s="1"/>
  <c r="Q1142" i="1"/>
  <c r="Y1142" i="1"/>
  <c r="H1142" i="1"/>
  <c r="S1142" i="1" s="1"/>
  <c r="T1142" i="1" s="1"/>
  <c r="Q1141" i="1"/>
  <c r="Y1141" i="1"/>
  <c r="H1141" i="1"/>
  <c r="S1141" i="1" s="1"/>
  <c r="T1141" i="1" s="1"/>
  <c r="Q1140" i="1"/>
  <c r="Y1140" i="1"/>
  <c r="H1140" i="1"/>
  <c r="S1140" i="1" s="1"/>
  <c r="T1140" i="1" s="1"/>
  <c r="Q1139" i="1"/>
  <c r="Y1139" i="1"/>
  <c r="H1139" i="1"/>
  <c r="S1139" i="1" s="1"/>
  <c r="T1139" i="1" s="1"/>
  <c r="Q1138" i="1"/>
  <c r="Y1138" i="1"/>
  <c r="H1138" i="1"/>
  <c r="R1138" i="1" s="1"/>
  <c r="Q1137" i="1"/>
  <c r="Y1137" i="1"/>
  <c r="H1137" i="1"/>
  <c r="S1137" i="1" s="1"/>
  <c r="T1137" i="1" s="1"/>
  <c r="Q1136" i="1"/>
  <c r="Y1136" i="1"/>
  <c r="H1136" i="1"/>
  <c r="R1136" i="1" s="1"/>
  <c r="Q1135" i="1"/>
  <c r="Y1135" i="1"/>
  <c r="H1135" i="1"/>
  <c r="S1135" i="1" s="1"/>
  <c r="T1135" i="1" s="1"/>
  <c r="Q1134" i="1"/>
  <c r="Y1134" i="1"/>
  <c r="H1134" i="1"/>
  <c r="R1134" i="1" s="1"/>
  <c r="Q1133" i="1"/>
  <c r="Y1133" i="1"/>
  <c r="H1133" i="1"/>
  <c r="R1133" i="1" s="1"/>
  <c r="Q1132" i="1"/>
  <c r="Y1132" i="1"/>
  <c r="H1132" i="1"/>
  <c r="S1132" i="1" s="1"/>
  <c r="T1132" i="1" s="1"/>
  <c r="Q1131" i="1"/>
  <c r="Y1131" i="1"/>
  <c r="H1131" i="1"/>
  <c r="S1131" i="1" s="1"/>
  <c r="T1131" i="1" s="1"/>
  <c r="Q1130" i="1"/>
  <c r="Y1130" i="1"/>
  <c r="H1130" i="1"/>
  <c r="R1130" i="1" s="1"/>
  <c r="Q1129" i="1"/>
  <c r="Y1129" i="1"/>
  <c r="H1129" i="1"/>
  <c r="R1129" i="1" s="1"/>
  <c r="Q1128" i="1"/>
  <c r="Y1128" i="1"/>
  <c r="H1128" i="1"/>
  <c r="S1128" i="1" s="1"/>
  <c r="T1128" i="1" s="1"/>
  <c r="Q1127" i="1"/>
  <c r="Y1127" i="1"/>
  <c r="H1127" i="1"/>
  <c r="S1127" i="1" s="1"/>
  <c r="T1127" i="1" s="1"/>
  <c r="Q1126" i="1"/>
  <c r="Y1126" i="1"/>
  <c r="H1126" i="1"/>
  <c r="R1126" i="1" s="1"/>
  <c r="Q1125" i="1"/>
  <c r="Y1125" i="1"/>
  <c r="H1125" i="1"/>
  <c r="S1125" i="1" s="1"/>
  <c r="T1125" i="1" s="1"/>
  <c r="Q1124" i="1"/>
  <c r="Y1124" i="1"/>
  <c r="H1124" i="1"/>
  <c r="S1124" i="1" s="1"/>
  <c r="T1124" i="1" s="1"/>
  <c r="Q1123" i="1"/>
  <c r="Y1123" i="1"/>
  <c r="H1123" i="1"/>
  <c r="S1123" i="1" s="1"/>
  <c r="T1123" i="1" s="1"/>
  <c r="Q1122" i="1"/>
  <c r="Y1122" i="1"/>
  <c r="H1122" i="1"/>
  <c r="S1122" i="1" s="1"/>
  <c r="T1122" i="1" s="1"/>
  <c r="Q1121" i="1"/>
  <c r="Y1121" i="1"/>
  <c r="H1121" i="1"/>
  <c r="R1121" i="1" s="1"/>
  <c r="Q1120" i="1"/>
  <c r="Y1120" i="1"/>
  <c r="H1120" i="1"/>
  <c r="S1120" i="1" s="1"/>
  <c r="T1120" i="1" s="1"/>
  <c r="Q1119" i="1"/>
  <c r="Y1119" i="1"/>
  <c r="H1119" i="1"/>
  <c r="R1119" i="1" s="1"/>
  <c r="Q1118" i="1"/>
  <c r="Y1118" i="1"/>
  <c r="H1118" i="1"/>
  <c r="S1118" i="1" s="1"/>
  <c r="T1118" i="1" s="1"/>
  <c r="Q1117" i="1"/>
  <c r="Y1117" i="1"/>
  <c r="H1117" i="1"/>
  <c r="S1117" i="1" s="1"/>
  <c r="T1117" i="1" s="1"/>
  <c r="Q1116" i="1"/>
  <c r="Y1116" i="1"/>
  <c r="H1116" i="1"/>
  <c r="S1116" i="1" s="1"/>
  <c r="T1116" i="1" s="1"/>
  <c r="Q1115" i="1"/>
  <c r="Y1115" i="1"/>
  <c r="H1115" i="1"/>
  <c r="S1115" i="1" s="1"/>
  <c r="T1115" i="1" s="1"/>
  <c r="Q1114" i="1"/>
  <c r="Y1114" i="1"/>
  <c r="H1114" i="1"/>
  <c r="S1114" i="1" s="1"/>
  <c r="T1114" i="1" s="1"/>
  <c r="Q1112" i="1"/>
  <c r="Y1112" i="1"/>
  <c r="H1112" i="1"/>
  <c r="R1112" i="1" s="1"/>
  <c r="N5248" i="6"/>
  <c r="N5172" i="6"/>
  <c r="N5173" i="6"/>
  <c r="N5174" i="6"/>
  <c r="N5175" i="6"/>
  <c r="N5176" i="6"/>
  <c r="N5177" i="6"/>
  <c r="N5178" i="6"/>
  <c r="N5179" i="6"/>
  <c r="N5180" i="6"/>
  <c r="N5181" i="6"/>
  <c r="N5182" i="6"/>
  <c r="N5183" i="6"/>
  <c r="N5184" i="6"/>
  <c r="N5185" i="6"/>
  <c r="N5186" i="6"/>
  <c r="N5187" i="6"/>
  <c r="N5188" i="6"/>
  <c r="N5189" i="6"/>
  <c r="N5190" i="6"/>
  <c r="N5191" i="6"/>
  <c r="N5192" i="6"/>
  <c r="N5193" i="6"/>
  <c r="N5194" i="6"/>
  <c r="N5195" i="6"/>
  <c r="N5196" i="6"/>
  <c r="N5197" i="6"/>
  <c r="N5198" i="6"/>
  <c r="N5199" i="6"/>
  <c r="N5200" i="6"/>
  <c r="N5201" i="6"/>
  <c r="N5202" i="6"/>
  <c r="N5203" i="6"/>
  <c r="N5204" i="6"/>
  <c r="N5205" i="6"/>
  <c r="N5206" i="6"/>
  <c r="N5207" i="6"/>
  <c r="N5208" i="6"/>
  <c r="N5209" i="6"/>
  <c r="N5210" i="6"/>
  <c r="N5211" i="6"/>
  <c r="N5212" i="6"/>
  <c r="N5213" i="6"/>
  <c r="N5214" i="6"/>
  <c r="N5215" i="6"/>
  <c r="N5216" i="6"/>
  <c r="N5217" i="6"/>
  <c r="N5218" i="6"/>
  <c r="N5219" i="6"/>
  <c r="N5220" i="6"/>
  <c r="N5221" i="6"/>
  <c r="N5222" i="6"/>
  <c r="N5223" i="6"/>
  <c r="N5224" i="6"/>
  <c r="N5225" i="6"/>
  <c r="N5226" i="6"/>
  <c r="N5227" i="6"/>
  <c r="N5228" i="6"/>
  <c r="N5229" i="6"/>
  <c r="N5230" i="6"/>
  <c r="N5231" i="6"/>
  <c r="N5232" i="6"/>
  <c r="N5233" i="6"/>
  <c r="N5234" i="6"/>
  <c r="N5235" i="6"/>
  <c r="N5236" i="6"/>
  <c r="N5237" i="6"/>
  <c r="N5238" i="6"/>
  <c r="N5239" i="6"/>
  <c r="N5240" i="6"/>
  <c r="N5241" i="6"/>
  <c r="N5242" i="6"/>
  <c r="N5243" i="6"/>
  <c r="N5244" i="6"/>
  <c r="N5245" i="6"/>
  <c r="N5246" i="6"/>
  <c r="N5247" i="6"/>
  <c r="Y1015" i="1"/>
  <c r="Q1015" i="1"/>
  <c r="H1015" i="1"/>
  <c r="Q846" i="1"/>
  <c r="X846" i="1"/>
  <c r="H846" i="1"/>
  <c r="R846" i="1" s="1"/>
  <c r="Q844" i="1"/>
  <c r="X844" i="1"/>
  <c r="H844" i="1"/>
  <c r="S844" i="1" s="1"/>
  <c r="T844" i="1" s="1"/>
  <c r="Y1103" i="1"/>
  <c r="Q1103" i="1"/>
  <c r="H1103" i="1"/>
  <c r="Y1102" i="1"/>
  <c r="Q1102" i="1"/>
  <c r="H1102" i="1"/>
  <c r="Y1101" i="1"/>
  <c r="Q1101" i="1"/>
  <c r="H1101" i="1"/>
  <c r="R1101" i="1" s="1"/>
  <c r="Y1100" i="1"/>
  <c r="Q1100" i="1"/>
  <c r="H1100" i="1"/>
  <c r="Y1099" i="1"/>
  <c r="Q1099" i="1"/>
  <c r="H1099" i="1"/>
  <c r="R1099" i="1" s="1"/>
  <c r="N5139" i="6"/>
  <c r="N5140" i="6"/>
  <c r="N5141" i="6"/>
  <c r="N5142" i="6"/>
  <c r="N5143" i="6"/>
  <c r="N5144" i="6"/>
  <c r="N5145" i="6"/>
  <c r="N5146" i="6"/>
  <c r="N5147" i="6"/>
  <c r="N5148" i="6"/>
  <c r="N5149" i="6"/>
  <c r="N5150" i="6"/>
  <c r="N5151" i="6"/>
  <c r="N5152" i="6"/>
  <c r="N5153" i="6"/>
  <c r="N5154" i="6"/>
  <c r="N5155" i="6"/>
  <c r="N5156" i="6"/>
  <c r="N5157" i="6"/>
  <c r="N5158" i="6"/>
  <c r="N5159" i="6"/>
  <c r="N5160" i="6"/>
  <c r="N5161" i="6"/>
  <c r="N5162" i="6"/>
  <c r="N5163" i="6"/>
  <c r="N5164" i="6"/>
  <c r="N5165" i="6"/>
  <c r="N5166" i="6"/>
  <c r="N5167" i="6"/>
  <c r="N5168" i="6"/>
  <c r="N5169" i="6"/>
  <c r="N5170" i="6"/>
  <c r="N5171" i="6"/>
  <c r="S1147" i="1" l="1"/>
  <c r="T1147" i="1" s="1"/>
  <c r="Z1147" i="1"/>
  <c r="Y1147" i="1"/>
  <c r="X1146" i="1"/>
  <c r="Z1146" i="1" s="1"/>
  <c r="S1146" i="1"/>
  <c r="T1146" i="1" s="1"/>
  <c r="X1145" i="1"/>
  <c r="Z1145" i="1" s="1"/>
  <c r="S1145" i="1"/>
  <c r="T1145" i="1" s="1"/>
  <c r="X1144" i="1"/>
  <c r="Z1144" i="1" s="1"/>
  <c r="S1144" i="1"/>
  <c r="T1144" i="1" s="1"/>
  <c r="R1143" i="1"/>
  <c r="X1143" i="1"/>
  <c r="Z1143" i="1" s="1"/>
  <c r="R1142" i="1"/>
  <c r="X1142" i="1"/>
  <c r="Z1142" i="1" s="1"/>
  <c r="R1141" i="1"/>
  <c r="X1141" i="1"/>
  <c r="Z1141" i="1" s="1"/>
  <c r="R1137" i="1"/>
  <c r="R1140" i="1"/>
  <c r="X1140" i="1"/>
  <c r="Z1140" i="1" s="1"/>
  <c r="R1139" i="1"/>
  <c r="X1139" i="1"/>
  <c r="Z1139" i="1" s="1"/>
  <c r="X1137" i="1"/>
  <c r="Z1137" i="1" s="1"/>
  <c r="X1138" i="1"/>
  <c r="Z1138" i="1" s="1"/>
  <c r="S1138" i="1"/>
  <c r="T1138" i="1" s="1"/>
  <c r="X1136" i="1"/>
  <c r="Z1136" i="1" s="1"/>
  <c r="S1136" i="1"/>
  <c r="T1136" i="1" s="1"/>
  <c r="R1135" i="1"/>
  <c r="X1135" i="1"/>
  <c r="Z1135" i="1" s="1"/>
  <c r="X1134" i="1"/>
  <c r="Z1134" i="1" s="1"/>
  <c r="S1134" i="1"/>
  <c r="T1134" i="1" s="1"/>
  <c r="X1133" i="1"/>
  <c r="Z1133" i="1" s="1"/>
  <c r="S1133" i="1"/>
  <c r="T1133" i="1" s="1"/>
  <c r="R1132" i="1"/>
  <c r="X1132" i="1"/>
  <c r="Z1132" i="1" s="1"/>
  <c r="R1131" i="1"/>
  <c r="X1131" i="1"/>
  <c r="Z1131" i="1" s="1"/>
  <c r="X1130" i="1"/>
  <c r="Z1130" i="1" s="1"/>
  <c r="S1130" i="1"/>
  <c r="T1130" i="1" s="1"/>
  <c r="X1129" i="1"/>
  <c r="Z1129" i="1" s="1"/>
  <c r="S1129" i="1"/>
  <c r="T1129" i="1" s="1"/>
  <c r="R1128" i="1"/>
  <c r="X1128" i="1"/>
  <c r="Z1128" i="1" s="1"/>
  <c r="R1127" i="1"/>
  <c r="X1127" i="1"/>
  <c r="Z1127" i="1" s="1"/>
  <c r="X1126" i="1"/>
  <c r="Z1126" i="1" s="1"/>
  <c r="S1126" i="1"/>
  <c r="T1126" i="1" s="1"/>
  <c r="R1125" i="1"/>
  <c r="X1125" i="1"/>
  <c r="Z1125" i="1" s="1"/>
  <c r="X1124" i="1"/>
  <c r="Z1124" i="1" s="1"/>
  <c r="R1124" i="1"/>
  <c r="R1123" i="1"/>
  <c r="X1123" i="1"/>
  <c r="Z1123" i="1" s="1"/>
  <c r="R1122" i="1"/>
  <c r="X1122" i="1"/>
  <c r="Z1122" i="1" s="1"/>
  <c r="X1121" i="1"/>
  <c r="Z1121" i="1" s="1"/>
  <c r="S1121" i="1"/>
  <c r="T1121" i="1" s="1"/>
  <c r="R1120" i="1"/>
  <c r="X1120" i="1"/>
  <c r="Z1120" i="1" s="1"/>
  <c r="X1119" i="1"/>
  <c r="Z1119" i="1" s="1"/>
  <c r="S1119" i="1"/>
  <c r="T1119" i="1" s="1"/>
  <c r="R1118" i="1"/>
  <c r="X1118" i="1"/>
  <c r="Z1118" i="1" s="1"/>
  <c r="R1117" i="1"/>
  <c r="X1117" i="1"/>
  <c r="Z1117" i="1" s="1"/>
  <c r="R1116" i="1"/>
  <c r="X1116" i="1"/>
  <c r="Z1116" i="1" s="1"/>
  <c r="R1115" i="1"/>
  <c r="X1115" i="1"/>
  <c r="Z1115" i="1" s="1"/>
  <c r="R1114" i="1"/>
  <c r="X1114" i="1"/>
  <c r="Z1114" i="1" s="1"/>
  <c r="X1112" i="1"/>
  <c r="Z1112" i="1" s="1"/>
  <c r="S1112" i="1"/>
  <c r="T1112" i="1" s="1"/>
  <c r="R1015" i="1"/>
  <c r="S1015" i="1"/>
  <c r="T1015" i="1" s="1"/>
  <c r="X1015" i="1"/>
  <c r="Z1015" i="1" s="1"/>
  <c r="R844" i="1"/>
  <c r="Z844" i="1"/>
  <c r="Y846" i="1"/>
  <c r="Y844" i="1"/>
  <c r="S846" i="1"/>
  <c r="T846" i="1" s="1"/>
  <c r="Z846" i="1"/>
  <c r="R1103" i="1"/>
  <c r="S1103" i="1"/>
  <c r="T1103" i="1" s="1"/>
  <c r="X1103" i="1"/>
  <c r="Z1103" i="1" s="1"/>
  <c r="R1102" i="1"/>
  <c r="S1102" i="1"/>
  <c r="T1102" i="1" s="1"/>
  <c r="X1102" i="1"/>
  <c r="Z1102" i="1" s="1"/>
  <c r="S1101" i="1"/>
  <c r="T1101" i="1" s="1"/>
  <c r="X1101" i="1"/>
  <c r="Z1101" i="1" s="1"/>
  <c r="R1100" i="1"/>
  <c r="S1100" i="1"/>
  <c r="T1100" i="1" s="1"/>
  <c r="X1100" i="1"/>
  <c r="Z1100" i="1" s="1"/>
  <c r="S1099" i="1"/>
  <c r="T1099" i="1" s="1"/>
  <c r="X1099" i="1"/>
  <c r="Z1099" i="1" s="1"/>
  <c r="Q1098" i="1"/>
  <c r="H1098" i="1"/>
  <c r="Q1097" i="1"/>
  <c r="H1097" i="1"/>
  <c r="Q1096" i="1"/>
  <c r="H1096" i="1"/>
  <c r="Q1095" i="1"/>
  <c r="H1095" i="1"/>
  <c r="Q1094" i="1"/>
  <c r="H1094" i="1"/>
  <c r="Q1093" i="1"/>
  <c r="H1093" i="1"/>
  <c r="Q1092" i="1"/>
  <c r="H1092" i="1"/>
  <c r="Q1091" i="1"/>
  <c r="H1091" i="1"/>
  <c r="Q1090" i="1"/>
  <c r="H1090" i="1"/>
  <c r="Q1089" i="1"/>
  <c r="H1089" i="1"/>
  <c r="Q1088" i="1"/>
  <c r="H1088" i="1"/>
  <c r="Q1087" i="1"/>
  <c r="H1087" i="1"/>
  <c r="Q1086" i="1"/>
  <c r="H1086" i="1"/>
  <c r="Q1085" i="1"/>
  <c r="H1085" i="1"/>
  <c r="Q1084" i="1"/>
  <c r="H1084" i="1"/>
  <c r="Q1081" i="1"/>
  <c r="H1081" i="1"/>
  <c r="Q1080" i="1"/>
  <c r="H1080" i="1"/>
  <c r="Q1079" i="1"/>
  <c r="H1079" i="1"/>
  <c r="Q1078" i="1"/>
  <c r="H1078" i="1"/>
  <c r="Q1077" i="1"/>
  <c r="H1077" i="1"/>
  <c r="Q1076" i="1"/>
  <c r="H1076" i="1"/>
  <c r="Q1075" i="1"/>
  <c r="H1075" i="1"/>
  <c r="Q1074" i="1"/>
  <c r="H1074" i="1"/>
  <c r="Q1073" i="1"/>
  <c r="H1073" i="1"/>
  <c r="Q1072" i="1"/>
  <c r="H1072" i="1"/>
  <c r="Q1071" i="1"/>
  <c r="H1071" i="1"/>
  <c r="Q1070" i="1"/>
  <c r="H1070" i="1"/>
  <c r="Q1069" i="1"/>
  <c r="H1069" i="1"/>
  <c r="Q1068" i="1"/>
  <c r="H1068" i="1"/>
  <c r="Y1067" i="1"/>
  <c r="Q1067" i="1"/>
  <c r="H1067" i="1"/>
  <c r="S1067" i="1" s="1"/>
  <c r="T1067" i="1" s="1"/>
  <c r="Y1066" i="1"/>
  <c r="Q1066" i="1"/>
  <c r="H1066" i="1"/>
  <c r="S1066" i="1" s="1"/>
  <c r="T1066" i="1" s="1"/>
  <c r="Y1065" i="1"/>
  <c r="Q1065" i="1"/>
  <c r="H1065" i="1"/>
  <c r="Y1064" i="1"/>
  <c r="Q1064" i="1"/>
  <c r="H1064" i="1"/>
  <c r="Y1063" i="1"/>
  <c r="Q1063" i="1"/>
  <c r="H1063" i="1"/>
  <c r="Y1062" i="1"/>
  <c r="Q1062" i="1"/>
  <c r="H1062" i="1"/>
  <c r="S1062" i="1" s="1"/>
  <c r="T1062" i="1" s="1"/>
  <c r="Y1061" i="1"/>
  <c r="Q1061" i="1"/>
  <c r="H1061" i="1"/>
  <c r="Y1060" i="1"/>
  <c r="Q1060" i="1"/>
  <c r="H1060" i="1"/>
  <c r="S1060" i="1" s="1"/>
  <c r="T1060" i="1" s="1"/>
  <c r="Y1059" i="1"/>
  <c r="Q1059" i="1"/>
  <c r="H1059" i="1"/>
  <c r="X1058" i="1"/>
  <c r="Q1058" i="1"/>
  <c r="H1058" i="1"/>
  <c r="S1058" i="1" s="1"/>
  <c r="T1058" i="1" s="1"/>
  <c r="Y1057" i="1"/>
  <c r="Q1057" i="1"/>
  <c r="H1057" i="1"/>
  <c r="R1057" i="1" s="1"/>
  <c r="X1056" i="1"/>
  <c r="Q1056" i="1"/>
  <c r="H1056" i="1"/>
  <c r="S1056" i="1" s="1"/>
  <c r="T1056" i="1" s="1"/>
  <c r="Y1055" i="1"/>
  <c r="Q1055" i="1"/>
  <c r="H1055" i="1"/>
  <c r="S1055" i="1" s="1"/>
  <c r="T1055" i="1" s="1"/>
  <c r="Y1054" i="1"/>
  <c r="Q1054" i="1"/>
  <c r="H1054" i="1"/>
  <c r="Y1053" i="1"/>
  <c r="Q1053" i="1"/>
  <c r="H1053" i="1"/>
  <c r="S1053" i="1" s="1"/>
  <c r="T1053" i="1" s="1"/>
  <c r="Y1052" i="1"/>
  <c r="Q1052" i="1"/>
  <c r="H1052" i="1"/>
  <c r="S1052" i="1" s="1"/>
  <c r="T1052" i="1" s="1"/>
  <c r="Y1051" i="1"/>
  <c r="Q1051" i="1"/>
  <c r="H1051" i="1"/>
  <c r="Y1050" i="1"/>
  <c r="Q1050" i="1"/>
  <c r="H1050" i="1"/>
  <c r="S1050" i="1" s="1"/>
  <c r="T1050" i="1" s="1"/>
  <c r="X1049" i="1"/>
  <c r="Q1049" i="1"/>
  <c r="H1049" i="1"/>
  <c r="R1049" i="1" s="1"/>
  <c r="X1048" i="1"/>
  <c r="Q1048" i="1"/>
  <c r="H1048" i="1"/>
  <c r="R1048" i="1" s="1"/>
  <c r="Y1047" i="1"/>
  <c r="Q1047" i="1"/>
  <c r="H1047" i="1"/>
  <c r="S1047" i="1" s="1"/>
  <c r="T1047" i="1" s="1"/>
  <c r="Y1046" i="1"/>
  <c r="Q1046" i="1"/>
  <c r="H1046" i="1"/>
  <c r="S1046" i="1" s="1"/>
  <c r="T1046" i="1" s="1"/>
  <c r="Z1058" i="1" l="1"/>
  <c r="Y1098" i="1"/>
  <c r="X1098" i="1"/>
  <c r="Z1098" i="1" s="1"/>
  <c r="R1098" i="1"/>
  <c r="S1098" i="1"/>
  <c r="T1098" i="1" s="1"/>
  <c r="Y1097" i="1"/>
  <c r="X1097" i="1"/>
  <c r="Z1097" i="1" s="1"/>
  <c r="R1097" i="1"/>
  <c r="S1097" i="1"/>
  <c r="T1097" i="1" s="1"/>
  <c r="X1096" i="1"/>
  <c r="Z1096" i="1" s="1"/>
  <c r="Y1096" i="1"/>
  <c r="R1096" i="1"/>
  <c r="S1096" i="1"/>
  <c r="T1096" i="1" s="1"/>
  <c r="Y1095" i="1"/>
  <c r="X1095" i="1"/>
  <c r="Z1095" i="1" s="1"/>
  <c r="R1095" i="1"/>
  <c r="S1095" i="1"/>
  <c r="T1095" i="1" s="1"/>
  <c r="Y1094" i="1"/>
  <c r="X1094" i="1"/>
  <c r="Z1094" i="1" s="1"/>
  <c r="R1094" i="1"/>
  <c r="S1094" i="1"/>
  <c r="T1094" i="1" s="1"/>
  <c r="X1093" i="1"/>
  <c r="Z1093" i="1" s="1"/>
  <c r="Y1093" i="1"/>
  <c r="R1093" i="1"/>
  <c r="S1093" i="1"/>
  <c r="T1093" i="1" s="1"/>
  <c r="X1092" i="1"/>
  <c r="Z1092" i="1" s="1"/>
  <c r="Y1092" i="1"/>
  <c r="R1092" i="1"/>
  <c r="S1092" i="1"/>
  <c r="T1092" i="1" s="1"/>
  <c r="Y1091" i="1"/>
  <c r="X1091" i="1"/>
  <c r="Z1091" i="1" s="1"/>
  <c r="R1091" i="1"/>
  <c r="S1091" i="1"/>
  <c r="T1091" i="1" s="1"/>
  <c r="Y1090" i="1"/>
  <c r="X1090" i="1"/>
  <c r="Z1090" i="1" s="1"/>
  <c r="R1090" i="1"/>
  <c r="S1090" i="1"/>
  <c r="T1090" i="1" s="1"/>
  <c r="X1089" i="1"/>
  <c r="Z1089" i="1" s="1"/>
  <c r="Y1089" i="1"/>
  <c r="R1089" i="1"/>
  <c r="S1089" i="1"/>
  <c r="T1089" i="1" s="1"/>
  <c r="X1088" i="1"/>
  <c r="Z1088" i="1" s="1"/>
  <c r="Y1088" i="1"/>
  <c r="R1088" i="1"/>
  <c r="S1088" i="1"/>
  <c r="T1088" i="1" s="1"/>
  <c r="X1087" i="1"/>
  <c r="Z1087" i="1" s="1"/>
  <c r="Y1087" i="1"/>
  <c r="R1087" i="1"/>
  <c r="S1087" i="1"/>
  <c r="T1087" i="1" s="1"/>
  <c r="Y1086" i="1"/>
  <c r="X1086" i="1"/>
  <c r="Z1086" i="1" s="1"/>
  <c r="R1086" i="1"/>
  <c r="S1086" i="1"/>
  <c r="T1086" i="1" s="1"/>
  <c r="Y1085" i="1"/>
  <c r="X1085" i="1"/>
  <c r="Z1085" i="1" s="1"/>
  <c r="R1085" i="1"/>
  <c r="S1085" i="1"/>
  <c r="T1085" i="1" s="1"/>
  <c r="X1084" i="1"/>
  <c r="Z1084" i="1" s="1"/>
  <c r="Y1084" i="1"/>
  <c r="R1084" i="1"/>
  <c r="S1084" i="1"/>
  <c r="T1084" i="1" s="1"/>
  <c r="X1081" i="1"/>
  <c r="Z1081" i="1" s="1"/>
  <c r="Y1081" i="1"/>
  <c r="R1081" i="1"/>
  <c r="S1081" i="1"/>
  <c r="T1081" i="1" s="1"/>
  <c r="X1080" i="1"/>
  <c r="Z1080" i="1" s="1"/>
  <c r="Y1080" i="1"/>
  <c r="R1080" i="1"/>
  <c r="S1080" i="1"/>
  <c r="T1080" i="1" s="1"/>
  <c r="X1079" i="1"/>
  <c r="Z1079" i="1" s="1"/>
  <c r="Y1079" i="1"/>
  <c r="R1079" i="1"/>
  <c r="S1079" i="1"/>
  <c r="T1079" i="1" s="1"/>
  <c r="X1078" i="1"/>
  <c r="Z1078" i="1" s="1"/>
  <c r="Y1078" i="1"/>
  <c r="R1078" i="1"/>
  <c r="S1078" i="1"/>
  <c r="T1078" i="1" s="1"/>
  <c r="X1077" i="1"/>
  <c r="Z1077" i="1" s="1"/>
  <c r="Y1077" i="1"/>
  <c r="R1077" i="1"/>
  <c r="S1077" i="1"/>
  <c r="T1077" i="1" s="1"/>
  <c r="X1076" i="1"/>
  <c r="Z1076" i="1" s="1"/>
  <c r="Y1076" i="1"/>
  <c r="R1076" i="1"/>
  <c r="S1076" i="1"/>
  <c r="T1076" i="1" s="1"/>
  <c r="X1075" i="1"/>
  <c r="Z1075" i="1" s="1"/>
  <c r="Y1075" i="1"/>
  <c r="R1075" i="1"/>
  <c r="S1075" i="1"/>
  <c r="T1075" i="1" s="1"/>
  <c r="Y1074" i="1"/>
  <c r="X1074" i="1"/>
  <c r="Z1074" i="1" s="1"/>
  <c r="R1074" i="1"/>
  <c r="S1074" i="1"/>
  <c r="T1074" i="1" s="1"/>
  <c r="X1073" i="1"/>
  <c r="Z1073" i="1" s="1"/>
  <c r="Y1073" i="1"/>
  <c r="S1073" i="1"/>
  <c r="T1073" i="1" s="1"/>
  <c r="R1073" i="1"/>
  <c r="X1072" i="1"/>
  <c r="Z1072" i="1" s="1"/>
  <c r="Y1072" i="1"/>
  <c r="R1072" i="1"/>
  <c r="S1072" i="1"/>
  <c r="T1072" i="1" s="1"/>
  <c r="Y1071" i="1"/>
  <c r="X1071" i="1"/>
  <c r="Z1071" i="1" s="1"/>
  <c r="R1071" i="1"/>
  <c r="S1071" i="1"/>
  <c r="T1071" i="1" s="1"/>
  <c r="X1070" i="1"/>
  <c r="Z1070" i="1" s="1"/>
  <c r="Y1070" i="1"/>
  <c r="R1070" i="1"/>
  <c r="S1070" i="1"/>
  <c r="T1070" i="1" s="1"/>
  <c r="X1069" i="1"/>
  <c r="Z1069" i="1" s="1"/>
  <c r="Y1069" i="1"/>
  <c r="R1069" i="1"/>
  <c r="S1069" i="1"/>
  <c r="T1069" i="1" s="1"/>
  <c r="Y1068" i="1"/>
  <c r="X1068" i="1"/>
  <c r="Z1068" i="1" s="1"/>
  <c r="R1068" i="1"/>
  <c r="S1068" i="1"/>
  <c r="T1068" i="1" s="1"/>
  <c r="R1067" i="1"/>
  <c r="X1067" i="1"/>
  <c r="Z1067" i="1" s="1"/>
  <c r="R1066" i="1"/>
  <c r="X1066" i="1"/>
  <c r="Z1066" i="1" s="1"/>
  <c r="R1065" i="1"/>
  <c r="S1065" i="1"/>
  <c r="T1065" i="1" s="1"/>
  <c r="X1065" i="1"/>
  <c r="Z1065" i="1" s="1"/>
  <c r="R1064" i="1"/>
  <c r="S1064" i="1"/>
  <c r="T1064" i="1" s="1"/>
  <c r="X1064" i="1"/>
  <c r="Z1064" i="1" s="1"/>
  <c r="S1063" i="1"/>
  <c r="T1063" i="1" s="1"/>
  <c r="X1063" i="1"/>
  <c r="Z1063" i="1" s="1"/>
  <c r="R1063" i="1"/>
  <c r="R1062" i="1"/>
  <c r="X1062" i="1"/>
  <c r="Z1062" i="1" s="1"/>
  <c r="R1061" i="1"/>
  <c r="S1061" i="1"/>
  <c r="T1061" i="1" s="1"/>
  <c r="X1061" i="1"/>
  <c r="Z1061" i="1" s="1"/>
  <c r="Z1056" i="1"/>
  <c r="Z1049" i="1"/>
  <c r="S1049" i="1"/>
  <c r="T1049" i="1" s="1"/>
  <c r="R1060" i="1"/>
  <c r="X1060" i="1"/>
  <c r="Z1060" i="1" s="1"/>
  <c r="R1059" i="1"/>
  <c r="S1059" i="1"/>
  <c r="T1059" i="1" s="1"/>
  <c r="X1059" i="1"/>
  <c r="Z1059" i="1" s="1"/>
  <c r="S1057" i="1"/>
  <c r="T1057" i="1" s="1"/>
  <c r="Y1058" i="1"/>
  <c r="R1058" i="1"/>
  <c r="X1057" i="1"/>
  <c r="Z1057" i="1" s="1"/>
  <c r="R1056" i="1"/>
  <c r="Y1056" i="1"/>
  <c r="R1055" i="1"/>
  <c r="X1055" i="1"/>
  <c r="Z1055" i="1" s="1"/>
  <c r="R1054" i="1"/>
  <c r="S1054" i="1"/>
  <c r="T1054" i="1" s="1"/>
  <c r="X1054" i="1"/>
  <c r="Z1054" i="1" s="1"/>
  <c r="X1053" i="1"/>
  <c r="Z1053" i="1" s="1"/>
  <c r="R1053" i="1"/>
  <c r="X1052" i="1"/>
  <c r="Z1052" i="1" s="1"/>
  <c r="R1052" i="1"/>
  <c r="R1051" i="1"/>
  <c r="S1051" i="1"/>
  <c r="T1051" i="1" s="1"/>
  <c r="Y1049" i="1"/>
  <c r="R1050" i="1"/>
  <c r="X1051" i="1"/>
  <c r="Z1051" i="1" s="1"/>
  <c r="X1050" i="1"/>
  <c r="Z1050" i="1" s="1"/>
  <c r="S1048" i="1"/>
  <c r="T1048" i="1" s="1"/>
  <c r="Y1048" i="1"/>
  <c r="Z1048" i="1"/>
  <c r="R1047" i="1"/>
  <c r="X1047" i="1"/>
  <c r="Z1047" i="1" s="1"/>
  <c r="X1046" i="1"/>
  <c r="Z1046" i="1" s="1"/>
  <c r="R1046" i="1"/>
  <c r="Y1045" i="1"/>
  <c r="Q1045" i="1"/>
  <c r="H1045" i="1"/>
  <c r="Y1044" i="1"/>
  <c r="Q1044" i="1"/>
  <c r="H1044" i="1"/>
  <c r="S1044" i="1" s="1"/>
  <c r="T1044" i="1" s="1"/>
  <c r="Y1043" i="1"/>
  <c r="Q1043" i="1"/>
  <c r="H1043" i="1"/>
  <c r="Y1042" i="1"/>
  <c r="Q1042" i="1"/>
  <c r="H1042" i="1"/>
  <c r="S1042" i="1" s="1"/>
  <c r="T1042" i="1" s="1"/>
  <c r="Y1041" i="1"/>
  <c r="Q1041" i="1"/>
  <c r="H1041" i="1"/>
  <c r="S1041" i="1" s="1"/>
  <c r="T1041" i="1" s="1"/>
  <c r="Y1040" i="1"/>
  <c r="Q1040" i="1"/>
  <c r="H1040" i="1"/>
  <c r="S1040" i="1" s="1"/>
  <c r="T1040" i="1" s="1"/>
  <c r="Y1039" i="1"/>
  <c r="Q1039" i="1"/>
  <c r="H1039" i="1"/>
  <c r="Y1038" i="1"/>
  <c r="Q1038" i="1"/>
  <c r="H1038" i="1"/>
  <c r="Y1037" i="1"/>
  <c r="Q1037" i="1"/>
  <c r="H1037" i="1"/>
  <c r="H1036" i="1"/>
  <c r="R1036" i="1" s="1"/>
  <c r="Y1036" i="1"/>
  <c r="Q1036" i="1"/>
  <c r="Y1035" i="1"/>
  <c r="Q1035" i="1"/>
  <c r="H1035" i="1"/>
  <c r="R1035" i="1" s="1"/>
  <c r="H1014" i="1"/>
  <c r="R1014" i="1" s="1"/>
  <c r="Q1014" i="1"/>
  <c r="X1014" i="1"/>
  <c r="Y1034" i="1"/>
  <c r="Q1034" i="1"/>
  <c r="H1034" i="1"/>
  <c r="S1034" i="1" s="1"/>
  <c r="T1034" i="1" s="1"/>
  <c r="Q1033" i="1"/>
  <c r="Y1033" i="1"/>
  <c r="H1033" i="1"/>
  <c r="S1033" i="1" s="1"/>
  <c r="T1033" i="1" s="1"/>
  <c r="Q1032" i="1"/>
  <c r="Y1032" i="1"/>
  <c r="H1032" i="1"/>
  <c r="R1032" i="1" s="1"/>
  <c r="Q1031" i="1"/>
  <c r="Y1031" i="1"/>
  <c r="H1031" i="1"/>
  <c r="S1031" i="1" s="1"/>
  <c r="T1031" i="1" s="1"/>
  <c r="Q1030" i="1"/>
  <c r="Y1030" i="1"/>
  <c r="H1030" i="1"/>
  <c r="S1030" i="1" s="1"/>
  <c r="T1030" i="1" s="1"/>
  <c r="Q1029" i="1"/>
  <c r="Y1029" i="1"/>
  <c r="H1029" i="1"/>
  <c r="R1029" i="1" s="1"/>
  <c r="Q1028" i="1"/>
  <c r="Y1028" i="1"/>
  <c r="H1028" i="1"/>
  <c r="R1028" i="1" s="1"/>
  <c r="Q1027" i="1"/>
  <c r="Y1027" i="1"/>
  <c r="H1027" i="1"/>
  <c r="R1027" i="1" s="1"/>
  <c r="Q1026" i="1"/>
  <c r="Y1026" i="1"/>
  <c r="H1026" i="1"/>
  <c r="S1026" i="1" s="1"/>
  <c r="T1026" i="1" s="1"/>
  <c r="Q1025" i="1"/>
  <c r="Y1025" i="1"/>
  <c r="H1025" i="1"/>
  <c r="R1025" i="1" s="1"/>
  <c r="Q1024" i="1"/>
  <c r="Y1024" i="1"/>
  <c r="H1024" i="1"/>
  <c r="S1024" i="1" s="1"/>
  <c r="T1024" i="1" s="1"/>
  <c r="Q1023" i="1"/>
  <c r="Y1023" i="1"/>
  <c r="H1023" i="1"/>
  <c r="R1023" i="1" s="1"/>
  <c r="Q1022" i="1"/>
  <c r="Y1022" i="1"/>
  <c r="H1022" i="1"/>
  <c r="S1022" i="1" s="1"/>
  <c r="T1022" i="1" s="1"/>
  <c r="Q1021" i="1"/>
  <c r="Y1021" i="1"/>
  <c r="H1021" i="1"/>
  <c r="S1021" i="1" s="1"/>
  <c r="T1021" i="1" s="1"/>
  <c r="Q1020" i="1"/>
  <c r="Y1020" i="1"/>
  <c r="H1020" i="1"/>
  <c r="R1020" i="1" s="1"/>
  <c r="Q1019" i="1"/>
  <c r="Y1019" i="1"/>
  <c r="H1019" i="1"/>
  <c r="R1019" i="1" s="1"/>
  <c r="Q1018" i="1"/>
  <c r="Y1018" i="1"/>
  <c r="H1018" i="1"/>
  <c r="S1018" i="1" s="1"/>
  <c r="T1018" i="1" s="1"/>
  <c r="Q1017" i="1"/>
  <c r="Y1017" i="1"/>
  <c r="H1017" i="1"/>
  <c r="S1017" i="1" s="1"/>
  <c r="T1017" i="1" s="1"/>
  <c r="Q1016" i="1"/>
  <c r="Y1016" i="1"/>
  <c r="H1016" i="1"/>
  <c r="R1016" i="1" s="1"/>
  <c r="H37" i="1"/>
  <c r="R37" i="1" s="1"/>
  <c r="Q37" i="1"/>
  <c r="X37" i="1"/>
  <c r="H38" i="1"/>
  <c r="R38" i="1" s="1"/>
  <c r="Q38" i="1"/>
  <c r="X38" i="1"/>
  <c r="H39" i="1"/>
  <c r="S39" i="1" s="1"/>
  <c r="T39" i="1" s="1"/>
  <c r="Q39" i="1"/>
  <c r="H40" i="1"/>
  <c r="S40" i="1" s="1"/>
  <c r="T40" i="1" s="1"/>
  <c r="Q40" i="1"/>
  <c r="H41" i="1"/>
  <c r="S41" i="1" s="1"/>
  <c r="T41" i="1" s="1"/>
  <c r="Q41" i="1"/>
  <c r="X41" i="1"/>
  <c r="H42" i="1"/>
  <c r="S42" i="1" s="1"/>
  <c r="T42" i="1" s="1"/>
  <c r="Q42" i="1"/>
  <c r="X42" i="1"/>
  <c r="H43" i="1"/>
  <c r="S43" i="1" s="1"/>
  <c r="T43" i="1" s="1"/>
  <c r="Q43" i="1"/>
  <c r="X43" i="1"/>
  <c r="H44" i="1"/>
  <c r="R44" i="1" s="1"/>
  <c r="Q44" i="1"/>
  <c r="X44" i="1"/>
  <c r="H45" i="1"/>
  <c r="S45" i="1" s="1"/>
  <c r="T45" i="1" s="1"/>
  <c r="Q45" i="1"/>
  <c r="X45" i="1"/>
  <c r="H46" i="1"/>
  <c r="S46" i="1" s="1"/>
  <c r="T46" i="1" s="1"/>
  <c r="Q46" i="1"/>
  <c r="X46" i="1"/>
  <c r="H47" i="1"/>
  <c r="S47" i="1" s="1"/>
  <c r="T47" i="1" s="1"/>
  <c r="Q47" i="1"/>
  <c r="X47" i="1"/>
  <c r="H48" i="1"/>
  <c r="S48" i="1" s="1"/>
  <c r="T48" i="1" s="1"/>
  <c r="Q48" i="1"/>
  <c r="H49" i="1"/>
  <c r="R49" i="1" s="1"/>
  <c r="Q49" i="1"/>
  <c r="H50" i="1"/>
  <c r="S50" i="1" s="1"/>
  <c r="T50" i="1" s="1"/>
  <c r="Q50" i="1"/>
  <c r="H51" i="1"/>
  <c r="S51" i="1" s="1"/>
  <c r="T51" i="1" s="1"/>
  <c r="Q51" i="1"/>
  <c r="H52" i="1"/>
  <c r="S52" i="1" s="1"/>
  <c r="T52" i="1" s="1"/>
  <c r="Q52" i="1"/>
  <c r="H53" i="1"/>
  <c r="R53" i="1" s="1"/>
  <c r="Q53" i="1"/>
  <c r="H54" i="1"/>
  <c r="S54" i="1" s="1"/>
  <c r="T54" i="1" s="1"/>
  <c r="Q54" i="1"/>
  <c r="H55" i="1"/>
  <c r="S55" i="1" s="1"/>
  <c r="T55" i="1" s="1"/>
  <c r="Q55" i="1"/>
  <c r="H56" i="1"/>
  <c r="S56" i="1" s="1"/>
  <c r="T56" i="1" s="1"/>
  <c r="Q56" i="1"/>
  <c r="H57" i="1"/>
  <c r="R57" i="1" s="1"/>
  <c r="Q57" i="1"/>
  <c r="H58" i="1"/>
  <c r="S58" i="1" s="1"/>
  <c r="T58" i="1" s="1"/>
  <c r="Q58" i="1"/>
  <c r="H59" i="1"/>
  <c r="S59" i="1" s="1"/>
  <c r="T59" i="1" s="1"/>
  <c r="Q59" i="1"/>
  <c r="H60" i="1"/>
  <c r="S60" i="1" s="1"/>
  <c r="T60" i="1" s="1"/>
  <c r="Q60" i="1"/>
  <c r="H61" i="1"/>
  <c r="R61" i="1" s="1"/>
  <c r="Q61" i="1"/>
  <c r="H62" i="1"/>
  <c r="S62" i="1" s="1"/>
  <c r="T62" i="1" s="1"/>
  <c r="Q62" i="1"/>
  <c r="H63" i="1"/>
  <c r="S63" i="1" s="1"/>
  <c r="T63" i="1" s="1"/>
  <c r="Q63" i="1"/>
  <c r="H64" i="1"/>
  <c r="S64" i="1" s="1"/>
  <c r="T64" i="1" s="1"/>
  <c r="Q64" i="1"/>
  <c r="H65" i="1"/>
  <c r="R65" i="1" s="1"/>
  <c r="Q65" i="1"/>
  <c r="H66" i="1"/>
  <c r="S66" i="1" s="1"/>
  <c r="T66" i="1" s="1"/>
  <c r="Q66" i="1"/>
  <c r="H67" i="1"/>
  <c r="S67" i="1" s="1"/>
  <c r="T67" i="1" s="1"/>
  <c r="Q67" i="1"/>
  <c r="AI67" i="1"/>
  <c r="H68" i="1"/>
  <c r="R68" i="1" s="1"/>
  <c r="Q68" i="1"/>
  <c r="X68" i="1"/>
  <c r="H69" i="1"/>
  <c r="R69" i="1" s="1"/>
  <c r="Q69" i="1"/>
  <c r="X69" i="1"/>
  <c r="H70" i="1"/>
  <c r="S70" i="1" s="1"/>
  <c r="T70" i="1" s="1"/>
  <c r="Q70" i="1"/>
  <c r="H71" i="1"/>
  <c r="Q71" i="1"/>
  <c r="X71" i="1"/>
  <c r="H72" i="1"/>
  <c r="Q72" i="1"/>
  <c r="X72" i="1"/>
  <c r="H73" i="1"/>
  <c r="R73" i="1" s="1"/>
  <c r="Q73" i="1"/>
  <c r="H74" i="1"/>
  <c r="S74" i="1" s="1"/>
  <c r="T74" i="1" s="1"/>
  <c r="Q74" i="1"/>
  <c r="H75" i="1"/>
  <c r="R75" i="1" s="1"/>
  <c r="Q75" i="1"/>
  <c r="X75" i="1"/>
  <c r="H76" i="1"/>
  <c r="R76" i="1" s="1"/>
  <c r="Q76" i="1"/>
  <c r="X76" i="1"/>
  <c r="H77" i="1"/>
  <c r="R77" i="1" s="1"/>
  <c r="Q77" i="1"/>
  <c r="H78" i="1"/>
  <c r="S78" i="1" s="1"/>
  <c r="T78" i="1" s="1"/>
  <c r="Q78" i="1"/>
  <c r="H79" i="1"/>
  <c r="Q79" i="1"/>
  <c r="X79" i="1"/>
  <c r="H81" i="1"/>
  <c r="Q81" i="1"/>
  <c r="X81" i="1"/>
  <c r="H82" i="1"/>
  <c r="R82" i="1" s="1"/>
  <c r="Q82" i="1"/>
  <c r="H83" i="1"/>
  <c r="S83" i="1" s="1"/>
  <c r="T83" i="1" s="1"/>
  <c r="Q83" i="1"/>
  <c r="H84" i="1"/>
  <c r="R84" i="1" s="1"/>
  <c r="Q84" i="1"/>
  <c r="X84" i="1"/>
  <c r="H85" i="1"/>
  <c r="R85" i="1" s="1"/>
  <c r="Q85" i="1"/>
  <c r="X85" i="1"/>
  <c r="H86" i="1"/>
  <c r="S86" i="1" s="1"/>
  <c r="T86" i="1" s="1"/>
  <c r="Q86" i="1"/>
  <c r="H87" i="1"/>
  <c r="R87" i="1" s="1"/>
  <c r="Q87" i="1"/>
  <c r="H88" i="1"/>
  <c r="R88" i="1" s="1"/>
  <c r="Q88" i="1"/>
  <c r="X88" i="1"/>
  <c r="H89" i="1"/>
  <c r="S89" i="1" s="1"/>
  <c r="T89" i="1" s="1"/>
  <c r="Q89" i="1"/>
  <c r="X89" i="1"/>
  <c r="H90" i="1"/>
  <c r="R90" i="1" s="1"/>
  <c r="Q90" i="1"/>
  <c r="H91" i="1"/>
  <c r="R91" i="1" s="1"/>
  <c r="Q91" i="1"/>
  <c r="H92" i="1"/>
  <c r="R92" i="1" s="1"/>
  <c r="Q92" i="1"/>
  <c r="X92" i="1"/>
  <c r="H93" i="1"/>
  <c r="R93" i="1" s="1"/>
  <c r="Q93" i="1"/>
  <c r="X93" i="1"/>
  <c r="H94" i="1"/>
  <c r="R94" i="1" s="1"/>
  <c r="Q94" i="1"/>
  <c r="H95" i="1"/>
  <c r="S95" i="1" s="1"/>
  <c r="T95" i="1" s="1"/>
  <c r="Q95" i="1"/>
  <c r="H96" i="1"/>
  <c r="R96" i="1" s="1"/>
  <c r="Q96" i="1"/>
  <c r="X96" i="1"/>
  <c r="H97" i="1"/>
  <c r="R97" i="1" s="1"/>
  <c r="Q97" i="1"/>
  <c r="X97" i="1"/>
  <c r="H98" i="1"/>
  <c r="R98" i="1" s="1"/>
  <c r="Q98" i="1"/>
  <c r="H99" i="1"/>
  <c r="R99" i="1" s="1"/>
  <c r="Q99" i="1"/>
  <c r="H100" i="1"/>
  <c r="R100" i="1" s="1"/>
  <c r="Q100" i="1"/>
  <c r="X100" i="1"/>
  <c r="H101" i="1"/>
  <c r="S101" i="1" s="1"/>
  <c r="T101" i="1" s="1"/>
  <c r="Q101" i="1"/>
  <c r="H102" i="1"/>
  <c r="R102" i="1" s="1"/>
  <c r="Q102" i="1"/>
  <c r="H103" i="1"/>
  <c r="S103" i="1" s="1"/>
  <c r="T103" i="1" s="1"/>
  <c r="Q103" i="1"/>
  <c r="H104" i="1"/>
  <c r="R104" i="1" s="1"/>
  <c r="Q104" i="1"/>
  <c r="X104" i="1"/>
  <c r="H105" i="1"/>
  <c r="R105" i="1" s="1"/>
  <c r="Q105" i="1"/>
  <c r="H106" i="1"/>
  <c r="S106" i="1" s="1"/>
  <c r="T106" i="1" s="1"/>
  <c r="Q106" i="1"/>
  <c r="H107" i="1"/>
  <c r="S107" i="1" s="1"/>
  <c r="T107" i="1" s="1"/>
  <c r="Q107" i="1"/>
  <c r="H108" i="1"/>
  <c r="Q108" i="1"/>
  <c r="X108" i="1"/>
  <c r="H109" i="1"/>
  <c r="R109" i="1" s="1"/>
  <c r="Q109" i="1"/>
  <c r="H110" i="1"/>
  <c r="R110" i="1" s="1"/>
  <c r="Q110" i="1"/>
  <c r="H111" i="1"/>
  <c r="S111" i="1" s="1"/>
  <c r="T111" i="1" s="1"/>
  <c r="Q111" i="1"/>
  <c r="H112" i="1"/>
  <c r="S112" i="1" s="1"/>
  <c r="T112" i="1" s="1"/>
  <c r="Q112" i="1"/>
  <c r="X112" i="1"/>
  <c r="H113" i="1"/>
  <c r="R113" i="1" s="1"/>
  <c r="Q113" i="1"/>
  <c r="H114" i="1"/>
  <c r="R114" i="1" s="1"/>
  <c r="Q114" i="1"/>
  <c r="H116" i="1"/>
  <c r="S116" i="1" s="1"/>
  <c r="T116" i="1" s="1"/>
  <c r="Q116" i="1"/>
  <c r="X116" i="1"/>
  <c r="H117" i="1"/>
  <c r="R117" i="1" s="1"/>
  <c r="Q117" i="1"/>
  <c r="H118" i="1"/>
  <c r="R118" i="1" s="1"/>
  <c r="Q118" i="1"/>
  <c r="X118" i="1"/>
  <c r="H119" i="1"/>
  <c r="S119" i="1" s="1"/>
  <c r="T119" i="1" s="1"/>
  <c r="Q119" i="1"/>
  <c r="H120" i="1"/>
  <c r="Q120" i="1"/>
  <c r="H121" i="1"/>
  <c r="R121" i="1" s="1"/>
  <c r="Q121" i="1"/>
  <c r="H122" i="1"/>
  <c r="R122" i="1" s="1"/>
  <c r="Q122" i="1"/>
  <c r="X122" i="1"/>
  <c r="H123" i="1"/>
  <c r="S123" i="1" s="1"/>
  <c r="T123" i="1" s="1"/>
  <c r="Q123" i="1"/>
  <c r="H124" i="1"/>
  <c r="Q124" i="1"/>
  <c r="Y124" i="1"/>
  <c r="H125" i="1"/>
  <c r="S125" i="1" s="1"/>
  <c r="T125" i="1" s="1"/>
  <c r="Q125" i="1"/>
  <c r="Y125" i="1"/>
  <c r="H126" i="1"/>
  <c r="Q126" i="1"/>
  <c r="X126" i="1"/>
  <c r="H127" i="1"/>
  <c r="S127" i="1" s="1"/>
  <c r="T127" i="1" s="1"/>
  <c r="Q127" i="1"/>
  <c r="Y127" i="1"/>
  <c r="H128" i="1"/>
  <c r="Q128" i="1"/>
  <c r="X128" i="1"/>
  <c r="Q129" i="1"/>
  <c r="R129" i="1"/>
  <c r="S129" i="1"/>
  <c r="T129" i="1" s="1"/>
  <c r="H130" i="1"/>
  <c r="R130" i="1" s="1"/>
  <c r="Q130" i="1"/>
  <c r="H131" i="1"/>
  <c r="S131" i="1" s="1"/>
  <c r="T131" i="1" s="1"/>
  <c r="Q131" i="1"/>
  <c r="Y131" i="1"/>
  <c r="H132" i="1"/>
  <c r="S132" i="1" s="1"/>
  <c r="T132" i="1" s="1"/>
  <c r="Q132" i="1"/>
  <c r="Y132" i="1"/>
  <c r="H133" i="1"/>
  <c r="Q133" i="1"/>
  <c r="X133" i="1"/>
  <c r="H134" i="1"/>
  <c r="R134" i="1" s="1"/>
  <c r="Q134" i="1"/>
  <c r="H135" i="1"/>
  <c r="S135" i="1" s="1"/>
  <c r="T135" i="1" s="1"/>
  <c r="Q135" i="1"/>
  <c r="H136" i="1"/>
  <c r="R136" i="1" s="1"/>
  <c r="Q136" i="1"/>
  <c r="Y136" i="1"/>
  <c r="H137" i="1"/>
  <c r="Q137" i="1"/>
  <c r="Y137" i="1"/>
  <c r="H138" i="1"/>
  <c r="R138" i="1" s="1"/>
  <c r="Q138" i="1"/>
  <c r="H139" i="1"/>
  <c r="Q139" i="1"/>
  <c r="X139" i="1"/>
  <c r="H140" i="1"/>
  <c r="Q140" i="1"/>
  <c r="H141" i="1"/>
  <c r="Q141" i="1"/>
  <c r="X141" i="1"/>
  <c r="H142" i="1"/>
  <c r="Q142" i="1"/>
  <c r="H143" i="1"/>
  <c r="S143" i="1" s="1"/>
  <c r="T143" i="1" s="1"/>
  <c r="Q143" i="1"/>
  <c r="X143" i="1"/>
  <c r="H144" i="1"/>
  <c r="Q144" i="1"/>
  <c r="X144" i="1"/>
  <c r="H145" i="1"/>
  <c r="S145" i="1" s="1"/>
  <c r="T145" i="1" s="1"/>
  <c r="Q145" i="1"/>
  <c r="H146" i="1"/>
  <c r="S146" i="1" s="1"/>
  <c r="T146" i="1" s="1"/>
  <c r="Q146" i="1"/>
  <c r="Y146" i="1"/>
  <c r="H147" i="1"/>
  <c r="Q147" i="1"/>
  <c r="H148" i="1"/>
  <c r="Q148" i="1"/>
  <c r="Y148" i="1"/>
  <c r="H149" i="1"/>
  <c r="S149" i="1" s="1"/>
  <c r="T149" i="1" s="1"/>
  <c r="Q149" i="1"/>
  <c r="Y149" i="1"/>
  <c r="H150" i="1"/>
  <c r="Q150" i="1"/>
  <c r="Y150" i="1"/>
  <c r="H151" i="1"/>
  <c r="S151" i="1" s="1"/>
  <c r="T151" i="1" s="1"/>
  <c r="Q151" i="1"/>
  <c r="Y151" i="1"/>
  <c r="H152" i="1"/>
  <c r="R152" i="1" s="1"/>
  <c r="Q152" i="1"/>
  <c r="X152" i="1"/>
  <c r="H442" i="1"/>
  <c r="S442" i="1" s="1"/>
  <c r="T442" i="1" s="1"/>
  <c r="Q442" i="1"/>
  <c r="H443" i="1"/>
  <c r="Q443" i="1"/>
  <c r="X443" i="1"/>
  <c r="H444" i="1"/>
  <c r="Q444" i="1"/>
  <c r="X444" i="1"/>
  <c r="H445" i="1"/>
  <c r="Q445" i="1"/>
  <c r="Y445" i="1"/>
  <c r="H446" i="1"/>
  <c r="Q446" i="1"/>
  <c r="H447" i="1"/>
  <c r="R447" i="1" s="1"/>
  <c r="Q447" i="1"/>
  <c r="H448" i="1"/>
  <c r="S448" i="1" s="1"/>
  <c r="T448" i="1" s="1"/>
  <c r="Q448" i="1"/>
  <c r="X448" i="1"/>
  <c r="H449" i="1"/>
  <c r="Q449" i="1"/>
  <c r="H450" i="1"/>
  <c r="S450" i="1" s="1"/>
  <c r="T450" i="1" s="1"/>
  <c r="Q450" i="1"/>
  <c r="Y450" i="1"/>
  <c r="H451" i="1"/>
  <c r="Q451" i="1"/>
  <c r="H604" i="1"/>
  <c r="Q604" i="1"/>
  <c r="Y604" i="1"/>
  <c r="H606" i="1"/>
  <c r="R606" i="1" s="1"/>
  <c r="Q606" i="1"/>
  <c r="W606" i="1"/>
  <c r="H607" i="1"/>
  <c r="R607" i="1" s="1"/>
  <c r="Q607" i="1"/>
  <c r="X607" i="1"/>
  <c r="W607" i="1"/>
  <c r="H608" i="1"/>
  <c r="Q608" i="1"/>
  <c r="X608" i="1"/>
  <c r="W608" i="1"/>
  <c r="H609" i="1"/>
  <c r="S609" i="1" s="1"/>
  <c r="T609" i="1" s="1"/>
  <c r="Q609" i="1"/>
  <c r="X609" i="1"/>
  <c r="W609" i="1"/>
  <c r="H610" i="1"/>
  <c r="R610" i="1" s="1"/>
  <c r="Q610" i="1"/>
  <c r="Y610" i="1"/>
  <c r="W610" i="1"/>
  <c r="H611" i="1"/>
  <c r="Q611" i="1"/>
  <c r="Y611" i="1"/>
  <c r="W611" i="1"/>
  <c r="H612" i="1"/>
  <c r="Q612" i="1"/>
  <c r="Y612" i="1"/>
  <c r="W612" i="1"/>
  <c r="H613" i="1"/>
  <c r="S613" i="1" s="1"/>
  <c r="T613" i="1" s="1"/>
  <c r="Q613" i="1"/>
  <c r="W613" i="1"/>
  <c r="H614" i="1"/>
  <c r="Q614" i="1"/>
  <c r="W614" i="1"/>
  <c r="H615" i="1"/>
  <c r="Q615" i="1"/>
  <c r="Y615" i="1"/>
  <c r="W615" i="1"/>
  <c r="H616" i="1"/>
  <c r="Q616" i="1"/>
  <c r="X616" i="1"/>
  <c r="W616" i="1"/>
  <c r="H617" i="1"/>
  <c r="S617" i="1" s="1"/>
  <c r="T617" i="1" s="1"/>
  <c r="Q617" i="1"/>
  <c r="X617" i="1"/>
  <c r="W617" i="1"/>
  <c r="H618" i="1"/>
  <c r="S618" i="1" s="1"/>
  <c r="T618" i="1" s="1"/>
  <c r="Q618" i="1"/>
  <c r="Y618" i="1"/>
  <c r="W618" i="1"/>
  <c r="H619" i="1"/>
  <c r="S619" i="1" s="1"/>
  <c r="T619" i="1" s="1"/>
  <c r="Q619" i="1"/>
  <c r="W619" i="1"/>
  <c r="H620" i="1"/>
  <c r="R620" i="1" s="1"/>
  <c r="Q620" i="1"/>
  <c r="W620" i="1"/>
  <c r="H621" i="1"/>
  <c r="S621" i="1" s="1"/>
  <c r="T621" i="1" s="1"/>
  <c r="Q621" i="1"/>
  <c r="X621" i="1"/>
  <c r="W621" i="1"/>
  <c r="H622" i="1"/>
  <c r="Q622" i="1"/>
  <c r="W622" i="1"/>
  <c r="H623" i="1"/>
  <c r="R623" i="1" s="1"/>
  <c r="Q623" i="1"/>
  <c r="X623" i="1"/>
  <c r="W623" i="1"/>
  <c r="H775" i="1"/>
  <c r="Q775" i="1"/>
  <c r="X775" i="1"/>
  <c r="H776" i="1"/>
  <c r="S776" i="1" s="1"/>
  <c r="T776" i="1" s="1"/>
  <c r="Q776" i="1"/>
  <c r="X776" i="1"/>
  <c r="H777" i="1"/>
  <c r="R777" i="1" s="1"/>
  <c r="Q777" i="1"/>
  <c r="X777" i="1"/>
  <c r="H778" i="1"/>
  <c r="Q778" i="1"/>
  <c r="Y778" i="1"/>
  <c r="H779" i="1"/>
  <c r="Q779" i="1"/>
  <c r="Y779" i="1"/>
  <c r="H780" i="1"/>
  <c r="S780" i="1" s="1"/>
  <c r="T780" i="1" s="1"/>
  <c r="Q780" i="1"/>
  <c r="Y780" i="1"/>
  <c r="H781" i="1"/>
  <c r="S781" i="1" s="1"/>
  <c r="T781" i="1" s="1"/>
  <c r="Q781" i="1"/>
  <c r="H782" i="1"/>
  <c r="S782" i="1" s="1"/>
  <c r="T782" i="1" s="1"/>
  <c r="Q782" i="1"/>
  <c r="X782" i="1"/>
  <c r="H783" i="1"/>
  <c r="Q783" i="1"/>
  <c r="H784" i="1"/>
  <c r="Q784" i="1"/>
  <c r="H785" i="1"/>
  <c r="Q785" i="1"/>
  <c r="X785" i="1"/>
  <c r="H786" i="1"/>
  <c r="R786" i="1" s="1"/>
  <c r="Q786" i="1"/>
  <c r="Y786" i="1"/>
  <c r="H787" i="1"/>
  <c r="R787" i="1" s="1"/>
  <c r="Q787" i="1"/>
  <c r="X787" i="1"/>
  <c r="H788" i="1"/>
  <c r="S788" i="1" s="1"/>
  <c r="T788" i="1" s="1"/>
  <c r="Q788" i="1"/>
  <c r="Y788" i="1"/>
  <c r="H789" i="1"/>
  <c r="R789" i="1" s="1"/>
  <c r="Q789" i="1"/>
  <c r="H790" i="1"/>
  <c r="Q790" i="1"/>
  <c r="Y790" i="1"/>
  <c r="H791" i="1"/>
  <c r="Q791" i="1"/>
  <c r="X791" i="1"/>
  <c r="H792" i="1"/>
  <c r="S792" i="1" s="1"/>
  <c r="T792" i="1" s="1"/>
  <c r="Q792" i="1"/>
  <c r="Y792" i="1"/>
  <c r="H793" i="1"/>
  <c r="S793" i="1" s="1"/>
  <c r="T793" i="1" s="1"/>
  <c r="Q793" i="1"/>
  <c r="H794" i="1"/>
  <c r="R794" i="1" s="1"/>
  <c r="Q794" i="1"/>
  <c r="Y794" i="1"/>
  <c r="H795" i="1"/>
  <c r="S795" i="1" s="1"/>
  <c r="T795" i="1" s="1"/>
  <c r="Q795" i="1"/>
  <c r="H796" i="1"/>
  <c r="R796" i="1" s="1"/>
  <c r="Q796" i="1"/>
  <c r="X796" i="1"/>
  <c r="H797" i="1"/>
  <c r="R797" i="1" s="1"/>
  <c r="Q797" i="1"/>
  <c r="X797" i="1"/>
  <c r="H798" i="1"/>
  <c r="S798" i="1" s="1"/>
  <c r="T798" i="1" s="1"/>
  <c r="Q798" i="1"/>
  <c r="Y798" i="1"/>
  <c r="H799" i="1"/>
  <c r="S799" i="1" s="1"/>
  <c r="T799" i="1" s="1"/>
  <c r="Q799" i="1"/>
  <c r="H800" i="1"/>
  <c r="Q800" i="1"/>
  <c r="H801" i="1"/>
  <c r="R801" i="1" s="1"/>
  <c r="Q801" i="1"/>
  <c r="Y801" i="1"/>
  <c r="H802" i="1"/>
  <c r="Q802" i="1"/>
  <c r="Y802" i="1"/>
  <c r="H803" i="1"/>
  <c r="S803" i="1" s="1"/>
  <c r="T803" i="1" s="1"/>
  <c r="Q803" i="1"/>
  <c r="X803" i="1"/>
  <c r="H804" i="1"/>
  <c r="S804" i="1" s="1"/>
  <c r="T804" i="1" s="1"/>
  <c r="Q804" i="1"/>
  <c r="X804" i="1"/>
  <c r="H805" i="1"/>
  <c r="R805" i="1" s="1"/>
  <c r="Q805" i="1"/>
  <c r="X805" i="1"/>
  <c r="H806" i="1"/>
  <c r="S806" i="1" s="1"/>
  <c r="T806" i="1" s="1"/>
  <c r="Q806" i="1"/>
  <c r="Y806" i="1"/>
  <c r="H807" i="1"/>
  <c r="Q807" i="1"/>
  <c r="X807" i="1"/>
  <c r="H808" i="1"/>
  <c r="Q808" i="1"/>
  <c r="Y808" i="1"/>
  <c r="H809" i="1"/>
  <c r="Q809" i="1"/>
  <c r="X809" i="1"/>
  <c r="H810" i="1"/>
  <c r="S810" i="1" s="1"/>
  <c r="T810" i="1" s="1"/>
  <c r="Q810" i="1"/>
  <c r="Y810" i="1"/>
  <c r="H811" i="1"/>
  <c r="R811" i="1" s="1"/>
  <c r="Q811" i="1"/>
  <c r="H812" i="1"/>
  <c r="Q812" i="1"/>
  <c r="Y812" i="1"/>
  <c r="H813" i="1"/>
  <c r="R813" i="1" s="1"/>
  <c r="Q813" i="1"/>
  <c r="X813" i="1"/>
  <c r="H814" i="1"/>
  <c r="Q814" i="1"/>
  <c r="X814" i="1"/>
  <c r="H815" i="1"/>
  <c r="S815" i="1" s="1"/>
  <c r="T815" i="1" s="1"/>
  <c r="Q815" i="1"/>
  <c r="X815" i="1"/>
  <c r="H816" i="1"/>
  <c r="R816" i="1" s="1"/>
  <c r="Q816" i="1"/>
  <c r="H817" i="1"/>
  <c r="S817" i="1" s="1"/>
  <c r="T817" i="1" s="1"/>
  <c r="Q817" i="1"/>
  <c r="X817" i="1"/>
  <c r="H818" i="1"/>
  <c r="Q818" i="1"/>
  <c r="Y818" i="1"/>
  <c r="H819" i="1"/>
  <c r="R819" i="1" s="1"/>
  <c r="Q819" i="1"/>
  <c r="X819" i="1"/>
  <c r="H820" i="1"/>
  <c r="Q820" i="1"/>
  <c r="X820" i="1"/>
  <c r="H821" i="1"/>
  <c r="R821" i="1" s="1"/>
  <c r="Q821" i="1"/>
  <c r="H822" i="1"/>
  <c r="S822" i="1" s="1"/>
  <c r="T822" i="1" s="1"/>
  <c r="Q822" i="1"/>
  <c r="X822" i="1"/>
  <c r="H823" i="1"/>
  <c r="Q823" i="1"/>
  <c r="Y823" i="1"/>
  <c r="H824" i="1"/>
  <c r="Q824" i="1"/>
  <c r="Y824" i="1"/>
  <c r="H825" i="1"/>
  <c r="R825" i="1" s="1"/>
  <c r="Q825" i="1"/>
  <c r="X825" i="1"/>
  <c r="H826" i="1"/>
  <c r="S826" i="1" s="1"/>
  <c r="T826" i="1" s="1"/>
  <c r="Q826" i="1"/>
  <c r="H827" i="1"/>
  <c r="R827" i="1" s="1"/>
  <c r="Q827" i="1"/>
  <c r="X827" i="1"/>
  <c r="H828" i="1"/>
  <c r="S828" i="1" s="1"/>
  <c r="T828" i="1" s="1"/>
  <c r="Q828" i="1"/>
  <c r="X828" i="1"/>
  <c r="H829" i="1"/>
  <c r="R829" i="1" s="1"/>
  <c r="Q829" i="1"/>
  <c r="X829" i="1"/>
  <c r="H830" i="1"/>
  <c r="R830" i="1" s="1"/>
  <c r="Q830" i="1"/>
  <c r="X830" i="1"/>
  <c r="H831" i="1"/>
  <c r="Q831" i="1"/>
  <c r="H832" i="1"/>
  <c r="S832" i="1" s="1"/>
  <c r="T832" i="1" s="1"/>
  <c r="Q832" i="1"/>
  <c r="H833" i="1"/>
  <c r="S833" i="1" s="1"/>
  <c r="T833" i="1" s="1"/>
  <c r="Q833" i="1"/>
  <c r="H835" i="1"/>
  <c r="Q835" i="1"/>
  <c r="Y835" i="1"/>
  <c r="H836" i="1"/>
  <c r="S836" i="1" s="1"/>
  <c r="T836" i="1" s="1"/>
  <c r="Q836" i="1"/>
  <c r="H837" i="1"/>
  <c r="S837" i="1" s="1"/>
  <c r="T837" i="1" s="1"/>
  <c r="Q837" i="1"/>
  <c r="X837" i="1"/>
  <c r="H838" i="1"/>
  <c r="R838" i="1" s="1"/>
  <c r="Q838" i="1"/>
  <c r="X838" i="1"/>
  <c r="H839" i="1"/>
  <c r="Q839" i="1"/>
  <c r="Y839" i="1"/>
  <c r="H840" i="1"/>
  <c r="S840" i="1" s="1"/>
  <c r="T840" i="1" s="1"/>
  <c r="Q840" i="1"/>
  <c r="Y840" i="1"/>
  <c r="H841" i="1"/>
  <c r="R841" i="1" s="1"/>
  <c r="Q841" i="1"/>
  <c r="Y841" i="1"/>
  <c r="H855" i="1"/>
  <c r="R855" i="1" s="1"/>
  <c r="Q855" i="1"/>
  <c r="H856" i="1"/>
  <c r="Q856" i="1"/>
  <c r="Y856" i="1"/>
  <c r="H857" i="1"/>
  <c r="S857" i="1" s="1"/>
  <c r="T857" i="1" s="1"/>
  <c r="Q857" i="1"/>
  <c r="X857" i="1"/>
  <c r="H858" i="1"/>
  <c r="Q858" i="1"/>
  <c r="X858" i="1"/>
  <c r="H859" i="1"/>
  <c r="R859" i="1" s="1"/>
  <c r="Q859" i="1"/>
  <c r="H860" i="1"/>
  <c r="R860" i="1" s="1"/>
  <c r="Q860" i="1"/>
  <c r="X860" i="1"/>
  <c r="H861" i="1"/>
  <c r="Q861" i="1"/>
  <c r="X861" i="1"/>
  <c r="H863" i="1"/>
  <c r="R863" i="1" s="1"/>
  <c r="Q863" i="1"/>
  <c r="Y863" i="1"/>
  <c r="H864" i="1"/>
  <c r="R864" i="1" s="1"/>
  <c r="Q864" i="1"/>
  <c r="Y864" i="1"/>
  <c r="H865" i="1"/>
  <c r="S865" i="1" s="1"/>
  <c r="T865" i="1" s="1"/>
  <c r="Q865" i="1"/>
  <c r="H866" i="1"/>
  <c r="Q866" i="1"/>
  <c r="X866" i="1"/>
  <c r="H867" i="1"/>
  <c r="S867" i="1" s="1"/>
  <c r="T867" i="1" s="1"/>
  <c r="Q867" i="1"/>
  <c r="Y867" i="1"/>
  <c r="H868" i="1"/>
  <c r="R868" i="1" s="1"/>
  <c r="Q868" i="1"/>
  <c r="X868" i="1"/>
  <c r="H1013" i="1"/>
  <c r="S1013" i="1" s="1"/>
  <c r="T1013" i="1" s="1"/>
  <c r="Q1013" i="1"/>
  <c r="Y1013" i="1"/>
  <c r="H874" i="1"/>
  <c r="R874" i="1" s="1"/>
  <c r="Q874" i="1"/>
  <c r="Y874" i="1"/>
  <c r="H875" i="1"/>
  <c r="S875" i="1" s="1"/>
  <c r="T875" i="1" s="1"/>
  <c r="Q875" i="1"/>
  <c r="Y875" i="1"/>
  <c r="H876" i="1"/>
  <c r="Q876" i="1"/>
  <c r="Y876" i="1"/>
  <c r="H877" i="1"/>
  <c r="S877" i="1" s="1"/>
  <c r="T877" i="1" s="1"/>
  <c r="Q877" i="1"/>
  <c r="X877" i="1"/>
  <c r="H878" i="1"/>
  <c r="S878" i="1" s="1"/>
  <c r="T878" i="1" s="1"/>
  <c r="Q878" i="1"/>
  <c r="X878" i="1"/>
  <c r="H879" i="1"/>
  <c r="R879" i="1" s="1"/>
  <c r="Q879" i="1"/>
  <c r="X879" i="1"/>
  <c r="H880" i="1"/>
  <c r="Q880" i="1"/>
  <c r="X880" i="1"/>
  <c r="H881" i="1"/>
  <c r="S881" i="1" s="1"/>
  <c r="T881" i="1" s="1"/>
  <c r="Q881" i="1"/>
  <c r="X881" i="1"/>
  <c r="H882" i="1"/>
  <c r="R882" i="1" s="1"/>
  <c r="Q882" i="1"/>
  <c r="Y882" i="1"/>
  <c r="H883" i="1"/>
  <c r="R883" i="1" s="1"/>
  <c r="Q883" i="1"/>
  <c r="Y883" i="1"/>
  <c r="H884" i="1"/>
  <c r="Q884" i="1"/>
  <c r="Y884" i="1"/>
  <c r="H885" i="1"/>
  <c r="R885" i="1" s="1"/>
  <c r="Q885" i="1"/>
  <c r="X885" i="1"/>
  <c r="H886" i="1"/>
  <c r="Q886" i="1"/>
  <c r="X886" i="1"/>
  <c r="H887" i="1"/>
  <c r="R887" i="1" s="1"/>
  <c r="Q887" i="1"/>
  <c r="X887" i="1"/>
  <c r="H888" i="1"/>
  <c r="R888" i="1" s="1"/>
  <c r="Q888" i="1"/>
  <c r="X888" i="1"/>
  <c r="H889" i="1"/>
  <c r="S889" i="1" s="1"/>
  <c r="T889" i="1" s="1"/>
  <c r="Q889" i="1"/>
  <c r="X889" i="1"/>
  <c r="H890" i="1"/>
  <c r="S890" i="1" s="1"/>
  <c r="T890" i="1" s="1"/>
  <c r="Q890" i="1"/>
  <c r="Y890" i="1"/>
  <c r="H891" i="1"/>
  <c r="Q891" i="1"/>
  <c r="X891" i="1"/>
  <c r="H892" i="1"/>
  <c r="S892" i="1" s="1"/>
  <c r="T892" i="1" s="1"/>
  <c r="Q892" i="1"/>
  <c r="Y892" i="1"/>
  <c r="H893" i="1"/>
  <c r="R893" i="1" s="1"/>
  <c r="Q893" i="1"/>
  <c r="H894" i="1"/>
  <c r="Q894" i="1"/>
  <c r="X894" i="1"/>
  <c r="H895" i="1"/>
  <c r="R895" i="1" s="1"/>
  <c r="Q895" i="1"/>
  <c r="X895" i="1"/>
  <c r="H896" i="1"/>
  <c r="Q896" i="1"/>
  <c r="Y896" i="1"/>
  <c r="H897" i="1"/>
  <c r="S897" i="1" s="1"/>
  <c r="T897" i="1" s="1"/>
  <c r="Q897" i="1"/>
  <c r="X897" i="1"/>
  <c r="H898" i="1"/>
  <c r="R898" i="1" s="1"/>
  <c r="Q898" i="1"/>
  <c r="H899" i="1"/>
  <c r="S899" i="1" s="1"/>
  <c r="T899" i="1" s="1"/>
  <c r="Q899" i="1"/>
  <c r="X899" i="1"/>
  <c r="H900" i="1"/>
  <c r="S900" i="1" s="1"/>
  <c r="T900" i="1" s="1"/>
  <c r="Q900" i="1"/>
  <c r="Y900" i="1"/>
  <c r="H901" i="1"/>
  <c r="R901" i="1" s="1"/>
  <c r="Q901" i="1"/>
  <c r="X901" i="1"/>
  <c r="H928" i="1"/>
  <c r="S928" i="1" s="1"/>
  <c r="T928" i="1" s="1"/>
  <c r="Q928" i="1"/>
  <c r="H929" i="1"/>
  <c r="R929" i="1" s="1"/>
  <c r="Q929" i="1"/>
  <c r="X929" i="1"/>
  <c r="H930" i="1"/>
  <c r="Q930" i="1"/>
  <c r="Y930" i="1"/>
  <c r="H931" i="1"/>
  <c r="S931" i="1" s="1"/>
  <c r="T931" i="1" s="1"/>
  <c r="Q931" i="1"/>
  <c r="Y931" i="1"/>
  <c r="H932" i="1"/>
  <c r="R932" i="1" s="1"/>
  <c r="Q932" i="1"/>
  <c r="X932" i="1"/>
  <c r="H933" i="1"/>
  <c r="Q933" i="1"/>
  <c r="Y933" i="1"/>
  <c r="H934" i="1"/>
  <c r="S934" i="1" s="1"/>
  <c r="T934" i="1" s="1"/>
  <c r="Q934" i="1"/>
  <c r="Y934" i="1"/>
  <c r="H935" i="1"/>
  <c r="S935" i="1" s="1"/>
  <c r="T935" i="1" s="1"/>
  <c r="Q935" i="1"/>
  <c r="H936" i="1"/>
  <c r="S936" i="1" s="1"/>
  <c r="T936" i="1" s="1"/>
  <c r="Q936" i="1"/>
  <c r="X936" i="1"/>
  <c r="H937" i="1"/>
  <c r="R937" i="1" s="1"/>
  <c r="Q937" i="1"/>
  <c r="H938" i="1"/>
  <c r="S938" i="1" s="1"/>
  <c r="T938" i="1" s="1"/>
  <c r="Q938" i="1"/>
  <c r="X938" i="1"/>
  <c r="H939" i="1"/>
  <c r="Q939" i="1"/>
  <c r="X939" i="1"/>
  <c r="H940" i="1"/>
  <c r="S940" i="1" s="1"/>
  <c r="T940" i="1" s="1"/>
  <c r="Q940" i="1"/>
  <c r="H941" i="1"/>
  <c r="R941" i="1" s="1"/>
  <c r="Q941" i="1"/>
  <c r="Y941" i="1"/>
  <c r="H942" i="1"/>
  <c r="R942" i="1" s="1"/>
  <c r="Q942" i="1"/>
  <c r="H943" i="1"/>
  <c r="Q943" i="1"/>
  <c r="Y943" i="1"/>
  <c r="H944" i="1"/>
  <c r="Q944" i="1"/>
  <c r="Y944" i="1"/>
  <c r="H945" i="1"/>
  <c r="R945" i="1" s="1"/>
  <c r="Q945" i="1"/>
  <c r="X945" i="1"/>
  <c r="H946" i="1"/>
  <c r="S946" i="1" s="1"/>
  <c r="T946" i="1" s="1"/>
  <c r="Q946" i="1"/>
  <c r="Y946" i="1"/>
  <c r="H947" i="1"/>
  <c r="R947" i="1" s="1"/>
  <c r="Q947" i="1"/>
  <c r="X947" i="1"/>
  <c r="H948" i="1"/>
  <c r="S948" i="1" s="1"/>
  <c r="T948" i="1" s="1"/>
  <c r="Q948" i="1"/>
  <c r="Y948" i="1"/>
  <c r="H949" i="1"/>
  <c r="R949" i="1" s="1"/>
  <c r="Q949" i="1"/>
  <c r="X949" i="1"/>
  <c r="H950" i="1"/>
  <c r="R950" i="1" s="1"/>
  <c r="Q950" i="1"/>
  <c r="X950" i="1"/>
  <c r="H951" i="1"/>
  <c r="S951" i="1" s="1"/>
  <c r="T951" i="1" s="1"/>
  <c r="Q951" i="1"/>
  <c r="X951" i="1"/>
  <c r="H952" i="1"/>
  <c r="Q952" i="1"/>
  <c r="Y952" i="1"/>
  <c r="H953" i="1"/>
  <c r="R953" i="1" s="1"/>
  <c r="Q953" i="1"/>
  <c r="X953" i="1"/>
  <c r="H954" i="1"/>
  <c r="S954" i="1" s="1"/>
  <c r="T954" i="1" s="1"/>
  <c r="Q954" i="1"/>
  <c r="Y954" i="1"/>
  <c r="H955" i="1"/>
  <c r="R955" i="1" s="1"/>
  <c r="Q955" i="1"/>
  <c r="H956" i="1"/>
  <c r="S956" i="1" s="1"/>
  <c r="T956" i="1" s="1"/>
  <c r="Q956" i="1"/>
  <c r="X956" i="1"/>
  <c r="H957" i="1"/>
  <c r="R957" i="1" s="1"/>
  <c r="Q957" i="1"/>
  <c r="X957" i="1"/>
  <c r="H958" i="1"/>
  <c r="Q958" i="1"/>
  <c r="X958" i="1"/>
  <c r="H959" i="1"/>
  <c r="S959" i="1" s="1"/>
  <c r="T959" i="1" s="1"/>
  <c r="Q959" i="1"/>
  <c r="X959" i="1"/>
  <c r="H960" i="1"/>
  <c r="Q960" i="1"/>
  <c r="Y960" i="1"/>
  <c r="H961" i="1"/>
  <c r="R961" i="1" s="1"/>
  <c r="Q961" i="1"/>
  <c r="X961" i="1"/>
  <c r="H962" i="1"/>
  <c r="Q962" i="1"/>
  <c r="Y962" i="1"/>
  <c r="H963" i="1"/>
  <c r="R963" i="1" s="1"/>
  <c r="Q963" i="1"/>
  <c r="H964" i="1"/>
  <c r="S964" i="1" s="1"/>
  <c r="T964" i="1" s="1"/>
  <c r="Q964" i="1"/>
  <c r="Y964" i="1"/>
  <c r="H965" i="1"/>
  <c r="R965" i="1" s="1"/>
  <c r="Q965" i="1"/>
  <c r="X965" i="1"/>
  <c r="H966" i="1"/>
  <c r="R966" i="1" s="1"/>
  <c r="Q966" i="1"/>
  <c r="X966" i="1"/>
  <c r="H967" i="1"/>
  <c r="S967" i="1" s="1"/>
  <c r="T967" i="1" s="1"/>
  <c r="Q967" i="1"/>
  <c r="X967" i="1"/>
  <c r="H968" i="1"/>
  <c r="Q968" i="1"/>
  <c r="Y968" i="1"/>
  <c r="H969" i="1"/>
  <c r="R969" i="1" s="1"/>
  <c r="Q969" i="1"/>
  <c r="Y969" i="1"/>
  <c r="H970" i="1"/>
  <c r="S970" i="1" s="1"/>
  <c r="T970" i="1" s="1"/>
  <c r="Q970" i="1"/>
  <c r="Y970" i="1"/>
  <c r="H971" i="1"/>
  <c r="R971" i="1" s="1"/>
  <c r="Q971" i="1"/>
  <c r="X971" i="1"/>
  <c r="H972" i="1"/>
  <c r="S972" i="1" s="1"/>
  <c r="T972" i="1" s="1"/>
  <c r="Q972" i="1"/>
  <c r="X972" i="1"/>
  <c r="H973" i="1"/>
  <c r="S973" i="1" s="1"/>
  <c r="T973" i="1" s="1"/>
  <c r="Q973" i="1"/>
  <c r="X973" i="1"/>
  <c r="H974" i="1"/>
  <c r="Q974" i="1"/>
  <c r="X974" i="1"/>
  <c r="H975" i="1"/>
  <c r="S975" i="1" s="1"/>
  <c r="T975" i="1" s="1"/>
  <c r="Q975" i="1"/>
  <c r="Y975" i="1"/>
  <c r="H976" i="1"/>
  <c r="R976" i="1" s="1"/>
  <c r="Q976" i="1"/>
  <c r="X976" i="1"/>
  <c r="H977" i="1"/>
  <c r="R977" i="1" s="1"/>
  <c r="Q977" i="1"/>
  <c r="X977" i="1"/>
  <c r="H978" i="1"/>
  <c r="R978" i="1" s="1"/>
  <c r="Q978" i="1"/>
  <c r="Y978" i="1"/>
  <c r="H979" i="1"/>
  <c r="R979" i="1" s="1"/>
  <c r="Q979" i="1"/>
  <c r="X979" i="1"/>
  <c r="H980" i="1"/>
  <c r="S980" i="1" s="1"/>
  <c r="T980" i="1" s="1"/>
  <c r="Q980" i="1"/>
  <c r="X980" i="1"/>
  <c r="H981" i="1"/>
  <c r="S981" i="1" s="1"/>
  <c r="T981" i="1" s="1"/>
  <c r="Q981" i="1"/>
  <c r="X981" i="1"/>
  <c r="H982" i="1"/>
  <c r="S982" i="1" s="1"/>
  <c r="T982" i="1" s="1"/>
  <c r="Q982" i="1"/>
  <c r="Y982" i="1"/>
  <c r="H983" i="1"/>
  <c r="R983" i="1" s="1"/>
  <c r="Q983" i="1"/>
  <c r="X983" i="1"/>
  <c r="H984" i="1"/>
  <c r="S984" i="1" s="1"/>
  <c r="T984" i="1" s="1"/>
  <c r="Q984" i="1"/>
  <c r="X984" i="1"/>
  <c r="H985" i="1"/>
  <c r="R985" i="1" s="1"/>
  <c r="Q985" i="1"/>
  <c r="X985" i="1"/>
  <c r="H986" i="1"/>
  <c r="R986" i="1" s="1"/>
  <c r="Q986" i="1"/>
  <c r="Y986" i="1"/>
  <c r="H987" i="1"/>
  <c r="R987" i="1" s="1"/>
  <c r="Q987" i="1"/>
  <c r="X987" i="1"/>
  <c r="H988" i="1"/>
  <c r="R988" i="1" s="1"/>
  <c r="Q988" i="1"/>
  <c r="X988" i="1"/>
  <c r="H989" i="1"/>
  <c r="R989" i="1" s="1"/>
  <c r="Q989" i="1"/>
  <c r="X989" i="1"/>
  <c r="H990" i="1"/>
  <c r="S990" i="1" s="1"/>
  <c r="T990" i="1" s="1"/>
  <c r="Q990" i="1"/>
  <c r="Y990" i="1"/>
  <c r="H991" i="1"/>
  <c r="R991" i="1" s="1"/>
  <c r="Q991" i="1"/>
  <c r="X991" i="1"/>
  <c r="H992" i="1"/>
  <c r="S992" i="1" s="1"/>
  <c r="T992" i="1" s="1"/>
  <c r="Q992" i="1"/>
  <c r="X992" i="1"/>
  <c r="H993" i="1"/>
  <c r="S993" i="1" s="1"/>
  <c r="T993" i="1" s="1"/>
  <c r="Q993" i="1"/>
  <c r="X993" i="1"/>
  <c r="H994" i="1"/>
  <c r="S994" i="1" s="1"/>
  <c r="T994" i="1" s="1"/>
  <c r="Q994" i="1"/>
  <c r="Y994" i="1"/>
  <c r="H995" i="1"/>
  <c r="R995" i="1" s="1"/>
  <c r="Q995" i="1"/>
  <c r="X995" i="1"/>
  <c r="H996" i="1"/>
  <c r="R996" i="1" s="1"/>
  <c r="Q996" i="1"/>
  <c r="X996" i="1"/>
  <c r="H997" i="1"/>
  <c r="R997" i="1" s="1"/>
  <c r="Q997" i="1"/>
  <c r="X997" i="1"/>
  <c r="H998" i="1"/>
  <c r="S998" i="1" s="1"/>
  <c r="T998" i="1" s="1"/>
  <c r="Q998" i="1"/>
  <c r="Y998" i="1"/>
  <c r="H999" i="1"/>
  <c r="R999" i="1" s="1"/>
  <c r="Q999" i="1"/>
  <c r="X999" i="1"/>
  <c r="H1000" i="1"/>
  <c r="S1000" i="1" s="1"/>
  <c r="T1000" i="1" s="1"/>
  <c r="Q1000" i="1"/>
  <c r="X1000" i="1"/>
  <c r="H1001" i="1"/>
  <c r="R1001" i="1" s="1"/>
  <c r="Q1001" i="1"/>
  <c r="X1001" i="1"/>
  <c r="H1002" i="1"/>
  <c r="R1002" i="1" s="1"/>
  <c r="Q1002" i="1"/>
  <c r="Y1002" i="1"/>
  <c r="H1003" i="1"/>
  <c r="R1003" i="1" s="1"/>
  <c r="Q1003" i="1"/>
  <c r="Y1003" i="1"/>
  <c r="H1004" i="1"/>
  <c r="R1004" i="1" s="1"/>
  <c r="Q1004" i="1"/>
  <c r="X1004" i="1"/>
  <c r="H1005" i="1"/>
  <c r="S1005" i="1" s="1"/>
  <c r="T1005" i="1" s="1"/>
  <c r="Q1005" i="1"/>
  <c r="X1005" i="1"/>
  <c r="H1006" i="1"/>
  <c r="S1006" i="1" s="1"/>
  <c r="T1006" i="1" s="1"/>
  <c r="Q1006" i="1"/>
  <c r="Y1006" i="1"/>
  <c r="H1007" i="1"/>
  <c r="R1007" i="1" s="1"/>
  <c r="Q1007" i="1"/>
  <c r="X1007" i="1"/>
  <c r="H1008" i="1"/>
  <c r="S1008" i="1" s="1"/>
  <c r="T1008" i="1" s="1"/>
  <c r="Q1008" i="1"/>
  <c r="X1008" i="1"/>
  <c r="H1009" i="1"/>
  <c r="R1009" i="1" s="1"/>
  <c r="Q1009" i="1"/>
  <c r="X1009" i="1"/>
  <c r="H1010" i="1"/>
  <c r="R1010" i="1" s="1"/>
  <c r="Q1010" i="1"/>
  <c r="Y1010" i="1"/>
  <c r="H1011" i="1"/>
  <c r="R1011" i="1" s="1"/>
  <c r="Q1011" i="1"/>
  <c r="X1011" i="1"/>
  <c r="H1012" i="1"/>
  <c r="R1012" i="1" s="1"/>
  <c r="Q1012" i="1"/>
  <c r="X1012" i="1"/>
  <c r="N5137" i="6"/>
  <c r="N5138" i="6"/>
  <c r="N5136" i="6"/>
  <c r="Y873" i="1"/>
  <c r="Q873" i="1"/>
  <c r="H873" i="1"/>
  <c r="Y872" i="1"/>
  <c r="Q872" i="1"/>
  <c r="H872" i="1"/>
  <c r="Y871" i="1"/>
  <c r="Q871" i="1"/>
  <c r="H871" i="1"/>
  <c r="Y870" i="1"/>
  <c r="Q870" i="1"/>
  <c r="H870" i="1"/>
  <c r="S870" i="1" s="1"/>
  <c r="T870" i="1" s="1"/>
  <c r="Y869" i="1"/>
  <c r="Q869" i="1"/>
  <c r="H869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Y862" i="1"/>
  <c r="Q862" i="1"/>
  <c r="H862" i="1"/>
  <c r="Y854" i="1"/>
  <c r="Q854" i="1"/>
  <c r="H854" i="1"/>
  <c r="R854" i="1" s="1"/>
  <c r="Y853" i="1"/>
  <c r="Q853" i="1"/>
  <c r="H853" i="1"/>
  <c r="Y852" i="1"/>
  <c r="Q852" i="1"/>
  <c r="H852" i="1"/>
  <c r="S852" i="1" s="1"/>
  <c r="T852" i="1" s="1"/>
  <c r="Y851" i="1"/>
  <c r="Q851" i="1"/>
  <c r="H851" i="1"/>
  <c r="R851" i="1" s="1"/>
  <c r="Y850" i="1"/>
  <c r="Q850" i="1"/>
  <c r="H850" i="1"/>
  <c r="Y849" i="1"/>
  <c r="Q849" i="1"/>
  <c r="H849" i="1"/>
  <c r="S849" i="1" s="1"/>
  <c r="T849" i="1" s="1"/>
  <c r="Y848" i="1"/>
  <c r="Q848" i="1"/>
  <c r="H848" i="1"/>
  <c r="S848" i="1" s="1"/>
  <c r="T848" i="1" s="1"/>
  <c r="Y847" i="1"/>
  <c r="Q847" i="1"/>
  <c r="H847" i="1"/>
  <c r="Y845" i="1"/>
  <c r="Q845" i="1"/>
  <c r="H845" i="1"/>
  <c r="S845" i="1" s="1"/>
  <c r="T845" i="1" s="1"/>
  <c r="Y843" i="1"/>
  <c r="Q843" i="1"/>
  <c r="H843" i="1"/>
  <c r="Y842" i="1"/>
  <c r="Q842" i="1"/>
  <c r="H842" i="1"/>
  <c r="S842" i="1" s="1"/>
  <c r="T842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S933" i="1" l="1"/>
  <c r="T933" i="1" s="1"/>
  <c r="R933" i="1"/>
  <c r="Z776" i="1"/>
  <c r="S622" i="1"/>
  <c r="T622" i="1" s="1"/>
  <c r="R622" i="1"/>
  <c r="R1045" i="1"/>
  <c r="S1045" i="1"/>
  <c r="T1045" i="1" s="1"/>
  <c r="X1045" i="1"/>
  <c r="Z1045" i="1" s="1"/>
  <c r="R1044" i="1"/>
  <c r="X1044" i="1"/>
  <c r="Z1044" i="1" s="1"/>
  <c r="R1043" i="1"/>
  <c r="S1043" i="1"/>
  <c r="T1043" i="1" s="1"/>
  <c r="X1043" i="1"/>
  <c r="Z1043" i="1" s="1"/>
  <c r="R1042" i="1"/>
  <c r="X1042" i="1"/>
  <c r="Z1042" i="1" s="1"/>
  <c r="R1041" i="1"/>
  <c r="X1041" i="1"/>
  <c r="Z1041" i="1" s="1"/>
  <c r="R1040" i="1"/>
  <c r="X1040" i="1"/>
  <c r="Z1040" i="1" s="1"/>
  <c r="R1039" i="1"/>
  <c r="S1039" i="1"/>
  <c r="T1039" i="1" s="1"/>
  <c r="X1039" i="1"/>
  <c r="Z1039" i="1" s="1"/>
  <c r="R1038" i="1"/>
  <c r="S1038" i="1"/>
  <c r="T1038" i="1" s="1"/>
  <c r="X1038" i="1"/>
  <c r="Z1038" i="1" s="1"/>
  <c r="R1037" i="1"/>
  <c r="S1037" i="1"/>
  <c r="T1037" i="1" s="1"/>
  <c r="X1037" i="1"/>
  <c r="Z1037" i="1" s="1"/>
  <c r="S1036" i="1"/>
  <c r="T1036" i="1" s="1"/>
  <c r="X1036" i="1"/>
  <c r="Z1036" i="1" s="1"/>
  <c r="S1035" i="1"/>
  <c r="T1035" i="1" s="1"/>
  <c r="X1035" i="1"/>
  <c r="Z1035" i="1" s="1"/>
  <c r="S1014" i="1"/>
  <c r="T1014" i="1" s="1"/>
  <c r="Z1014" i="1"/>
  <c r="Y1014" i="1"/>
  <c r="R1034" i="1"/>
  <c r="X1034" i="1"/>
  <c r="Z1034" i="1" s="1"/>
  <c r="X1027" i="1"/>
  <c r="Z1027" i="1" s="1"/>
  <c r="X1028" i="1"/>
  <c r="Z1028" i="1" s="1"/>
  <c r="X1026" i="1"/>
  <c r="Z1026" i="1" s="1"/>
  <c r="X1030" i="1"/>
  <c r="Z1030" i="1" s="1"/>
  <c r="X1025" i="1"/>
  <c r="Z1025" i="1" s="1"/>
  <c r="X1033" i="1"/>
  <c r="Z1033" i="1" s="1"/>
  <c r="X1024" i="1"/>
  <c r="Z1024" i="1" s="1"/>
  <c r="R1026" i="1"/>
  <c r="X1032" i="1"/>
  <c r="Z1032" i="1" s="1"/>
  <c r="X1031" i="1"/>
  <c r="Z1031" i="1" s="1"/>
  <c r="R1033" i="1"/>
  <c r="S1032" i="1"/>
  <c r="T1032" i="1" s="1"/>
  <c r="R1031" i="1"/>
  <c r="R1030" i="1"/>
  <c r="X1029" i="1"/>
  <c r="Z1029" i="1" s="1"/>
  <c r="S1029" i="1"/>
  <c r="T1029" i="1" s="1"/>
  <c r="S1028" i="1"/>
  <c r="T1028" i="1" s="1"/>
  <c r="S1027" i="1"/>
  <c r="T1027" i="1" s="1"/>
  <c r="S1025" i="1"/>
  <c r="T1025" i="1" s="1"/>
  <c r="R1024" i="1"/>
  <c r="X1023" i="1"/>
  <c r="Z1023" i="1" s="1"/>
  <c r="S1023" i="1"/>
  <c r="T1023" i="1" s="1"/>
  <c r="R1021" i="1"/>
  <c r="X1019" i="1"/>
  <c r="Z1019" i="1" s="1"/>
  <c r="R59" i="1"/>
  <c r="X1022" i="1"/>
  <c r="Z1022" i="1" s="1"/>
  <c r="S82" i="1"/>
  <c r="T82" i="1" s="1"/>
  <c r="X1021" i="1"/>
  <c r="Z1021" i="1" s="1"/>
  <c r="R1022" i="1"/>
  <c r="X1020" i="1"/>
  <c r="Z1020" i="1" s="1"/>
  <c r="S1020" i="1"/>
  <c r="T1020" i="1" s="1"/>
  <c r="S1019" i="1"/>
  <c r="T1019" i="1" s="1"/>
  <c r="R83" i="1"/>
  <c r="Z47" i="1"/>
  <c r="AI47" i="1" s="1"/>
  <c r="Z41" i="1"/>
  <c r="AI41" i="1" s="1"/>
  <c r="R50" i="1"/>
  <c r="S787" i="1"/>
  <c r="T787" i="1" s="1"/>
  <c r="X948" i="1"/>
  <c r="Z948" i="1" s="1"/>
  <c r="X978" i="1"/>
  <c r="Z978" i="1" s="1"/>
  <c r="X839" i="1"/>
  <c r="Z839" i="1" s="1"/>
  <c r="R42" i="1"/>
  <c r="S93" i="1"/>
  <c r="T93" i="1" s="1"/>
  <c r="X1003" i="1"/>
  <c r="Z1003" i="1" s="1"/>
  <c r="Z887" i="1"/>
  <c r="R946" i="1"/>
  <c r="Z938" i="1"/>
  <c r="X867" i="1"/>
  <c r="Z867" i="1" s="1"/>
  <c r="S829" i="1"/>
  <c r="T829" i="1" s="1"/>
  <c r="Z805" i="1"/>
  <c r="R66" i="1"/>
  <c r="X611" i="1"/>
  <c r="Z611" i="1" s="1"/>
  <c r="R58" i="1"/>
  <c r="X1018" i="1"/>
  <c r="Z1018" i="1" s="1"/>
  <c r="R934" i="1"/>
  <c r="X1017" i="1"/>
  <c r="Z1017" i="1" s="1"/>
  <c r="Z858" i="1"/>
  <c r="Z787" i="1"/>
  <c r="X1016" i="1"/>
  <c r="Z1016" i="1" s="1"/>
  <c r="R123" i="1"/>
  <c r="S859" i="1"/>
  <c r="T859" i="1" s="1"/>
  <c r="Y797" i="1"/>
  <c r="S98" i="1"/>
  <c r="T98" i="1" s="1"/>
  <c r="R51" i="1"/>
  <c r="R1017" i="1"/>
  <c r="R1018" i="1"/>
  <c r="S1016" i="1"/>
  <c r="T1016" i="1" s="1"/>
  <c r="X990" i="1"/>
  <c r="Z990" i="1" s="1"/>
  <c r="Z989" i="1"/>
  <c r="R890" i="1"/>
  <c r="S887" i="1"/>
  <c r="T887" i="1" s="1"/>
  <c r="S841" i="1"/>
  <c r="T841" i="1" s="1"/>
  <c r="X146" i="1"/>
  <c r="Z146" i="1" s="1"/>
  <c r="AI146" i="1" s="1"/>
  <c r="Z69" i="1"/>
  <c r="AI69" i="1" s="1"/>
  <c r="Z974" i="1"/>
  <c r="Z953" i="1"/>
  <c r="Z947" i="1"/>
  <c r="Z838" i="1"/>
  <c r="Y448" i="1"/>
  <c r="S69" i="1"/>
  <c r="T69" i="1" s="1"/>
  <c r="Z108" i="1"/>
  <c r="AI108" i="1" s="1"/>
  <c r="S885" i="1"/>
  <c r="T885" i="1" s="1"/>
  <c r="Y777" i="1"/>
  <c r="R111" i="1"/>
  <c r="Z42" i="1"/>
  <c r="AI42" i="1" s="1"/>
  <c r="Z985" i="1"/>
  <c r="Z976" i="1"/>
  <c r="Y860" i="1"/>
  <c r="Y814" i="1"/>
  <c r="S90" i="1"/>
  <c r="T90" i="1" s="1"/>
  <c r="S985" i="1"/>
  <c r="T985" i="1" s="1"/>
  <c r="R982" i="1"/>
  <c r="S976" i="1"/>
  <c r="T976" i="1" s="1"/>
  <c r="R973" i="1"/>
  <c r="X615" i="1"/>
  <c r="Z615" i="1" s="1"/>
  <c r="R149" i="1"/>
  <c r="S136" i="1"/>
  <c r="T136" i="1" s="1"/>
  <c r="R119" i="1"/>
  <c r="S105" i="1"/>
  <c r="T105" i="1" s="1"/>
  <c r="Z68" i="1"/>
  <c r="AI68" i="1" s="1"/>
  <c r="Z38" i="1"/>
  <c r="AI38" i="1" s="1"/>
  <c r="S1002" i="1"/>
  <c r="T1002" i="1" s="1"/>
  <c r="Z825" i="1"/>
  <c r="X801" i="1"/>
  <c r="Z801" i="1" s="1"/>
  <c r="AI801" i="1" s="1"/>
  <c r="Z143" i="1"/>
  <c r="AI143" i="1" s="1"/>
  <c r="Y139" i="1"/>
  <c r="S130" i="1"/>
  <c r="T130" i="1" s="1"/>
  <c r="S114" i="1"/>
  <c r="T114" i="1" s="1"/>
  <c r="Z112" i="1"/>
  <c r="AI112" i="1" s="1"/>
  <c r="Y108" i="1"/>
  <c r="R618" i="1"/>
  <c r="R617" i="1"/>
  <c r="Y144" i="1"/>
  <c r="Z973" i="1"/>
  <c r="Z958" i="1"/>
  <c r="S947" i="1"/>
  <c r="T947" i="1" s="1"/>
  <c r="R938" i="1"/>
  <c r="R935" i="1"/>
  <c r="Z888" i="1"/>
  <c r="R828" i="1"/>
  <c r="S827" i="1"/>
  <c r="T827" i="1" s="1"/>
  <c r="Z820" i="1"/>
  <c r="X812" i="1"/>
  <c r="Z812" i="1" s="1"/>
  <c r="Y133" i="1"/>
  <c r="S100" i="1"/>
  <c r="T100" i="1" s="1"/>
  <c r="R78" i="1"/>
  <c r="Y822" i="1"/>
  <c r="Y782" i="1"/>
  <c r="R74" i="1"/>
  <c r="R67" i="1"/>
  <c r="Z45" i="1"/>
  <c r="AI45" i="1" s="1"/>
  <c r="S974" i="1"/>
  <c r="T974" i="1" s="1"/>
  <c r="Y966" i="1"/>
  <c r="Y791" i="1"/>
  <c r="X618" i="1"/>
  <c r="Z618" i="1" s="1"/>
  <c r="Y617" i="1"/>
  <c r="X610" i="1"/>
  <c r="Z610" i="1" s="1"/>
  <c r="Y443" i="1"/>
  <c r="Y92" i="1"/>
  <c r="R54" i="1"/>
  <c r="S1007" i="1"/>
  <c r="T1007" i="1" s="1"/>
  <c r="Z984" i="1"/>
  <c r="R974" i="1"/>
  <c r="X943" i="1"/>
  <c r="Z943" i="1" s="1"/>
  <c r="Z901" i="1"/>
  <c r="Y878" i="1"/>
  <c r="S868" i="1"/>
  <c r="T868" i="1" s="1"/>
  <c r="S830" i="1"/>
  <c r="T830" i="1" s="1"/>
  <c r="Z827" i="1"/>
  <c r="S825" i="1"/>
  <c r="T825" i="1" s="1"/>
  <c r="Z804" i="1"/>
  <c r="AI804" i="1" s="1"/>
  <c r="S777" i="1"/>
  <c r="T777" i="1" s="1"/>
  <c r="X127" i="1"/>
  <c r="Z127" i="1" s="1"/>
  <c r="AI127" i="1" s="1"/>
  <c r="S110" i="1"/>
  <c r="T110" i="1" s="1"/>
  <c r="R101" i="1"/>
  <c r="Z88" i="1"/>
  <c r="AI88" i="1" s="1"/>
  <c r="Z1008" i="1"/>
  <c r="R984" i="1"/>
  <c r="X931" i="1"/>
  <c r="Z931" i="1" s="1"/>
  <c r="S901" i="1"/>
  <c r="T901" i="1" s="1"/>
  <c r="X896" i="1"/>
  <c r="Z896" i="1" s="1"/>
  <c r="Z877" i="1"/>
  <c r="Y827" i="1"/>
  <c r="R804" i="1"/>
  <c r="Y796" i="1"/>
  <c r="S794" i="1"/>
  <c r="T794" i="1" s="1"/>
  <c r="Z785" i="1"/>
  <c r="R781" i="1"/>
  <c r="R145" i="1"/>
  <c r="S138" i="1"/>
  <c r="T138" i="1" s="1"/>
  <c r="S118" i="1"/>
  <c r="T118" i="1" s="1"/>
  <c r="Z116" i="1"/>
  <c r="AI116" i="1" s="1"/>
  <c r="Y71" i="1"/>
  <c r="Z46" i="1"/>
  <c r="AI46" i="1" s="1"/>
  <c r="R1008" i="1"/>
  <c r="R865" i="1"/>
  <c r="S816" i="1"/>
  <c r="T816" i="1" s="1"/>
  <c r="R106" i="1"/>
  <c r="S99" i="1"/>
  <c r="T99" i="1" s="1"/>
  <c r="S92" i="1"/>
  <c r="T92" i="1" s="1"/>
  <c r="R55" i="1"/>
  <c r="R46" i="1"/>
  <c r="Y992" i="1"/>
  <c r="Z448" i="1"/>
  <c r="AI448" i="1" s="1"/>
  <c r="Y88" i="1"/>
  <c r="Z965" i="1"/>
  <c r="S958" i="1"/>
  <c r="T958" i="1" s="1"/>
  <c r="R940" i="1"/>
  <c r="Z895" i="1"/>
  <c r="X137" i="1"/>
  <c r="Z137" i="1" s="1"/>
  <c r="AI137" i="1" s="1"/>
  <c r="X131" i="1"/>
  <c r="Z131" i="1" s="1"/>
  <c r="AI131" i="1" s="1"/>
  <c r="Y128" i="1"/>
  <c r="R112" i="1"/>
  <c r="R107" i="1"/>
  <c r="Z1009" i="1"/>
  <c r="Z997" i="1"/>
  <c r="X994" i="1"/>
  <c r="Z994" i="1" s="1"/>
  <c r="Z993" i="1"/>
  <c r="S986" i="1"/>
  <c r="T986" i="1" s="1"/>
  <c r="Y979" i="1"/>
  <c r="S977" i="1"/>
  <c r="T977" i="1" s="1"/>
  <c r="Z972" i="1"/>
  <c r="S969" i="1"/>
  <c r="T969" i="1" s="1"/>
  <c r="S965" i="1"/>
  <c r="T965" i="1" s="1"/>
  <c r="R964" i="1"/>
  <c r="Z956" i="1"/>
  <c r="Z949" i="1"/>
  <c r="R936" i="1"/>
  <c r="S895" i="1"/>
  <c r="T895" i="1" s="1"/>
  <c r="X883" i="1"/>
  <c r="Z883" i="1" s="1"/>
  <c r="Y879" i="1"/>
  <c r="R877" i="1"/>
  <c r="Z866" i="1"/>
  <c r="Z828" i="1"/>
  <c r="Z813" i="1"/>
  <c r="Y807" i="1"/>
  <c r="S801" i="1"/>
  <c r="T801" i="1" s="1"/>
  <c r="Z797" i="1"/>
  <c r="Z92" i="1"/>
  <c r="AI92" i="1" s="1"/>
  <c r="S84" i="1"/>
  <c r="T84" i="1" s="1"/>
  <c r="Z71" i="1"/>
  <c r="AI71" i="1" s="1"/>
  <c r="S38" i="1"/>
  <c r="T38" i="1" s="1"/>
  <c r="S1009" i="1"/>
  <c r="T1009" i="1" s="1"/>
  <c r="X1006" i="1"/>
  <c r="Z1006" i="1" s="1"/>
  <c r="S997" i="1"/>
  <c r="T997" i="1" s="1"/>
  <c r="R993" i="1"/>
  <c r="Y967" i="1"/>
  <c r="Y956" i="1"/>
  <c r="S945" i="1"/>
  <c r="T945" i="1" s="1"/>
  <c r="S941" i="1"/>
  <c r="T941" i="1" s="1"/>
  <c r="S937" i="1"/>
  <c r="T937" i="1" s="1"/>
  <c r="X930" i="1"/>
  <c r="Z930" i="1" s="1"/>
  <c r="Z929" i="1"/>
  <c r="X823" i="1"/>
  <c r="Z823" i="1" s="1"/>
  <c r="S813" i="1"/>
  <c r="T813" i="1" s="1"/>
  <c r="S797" i="1"/>
  <c r="T797" i="1" s="1"/>
  <c r="X790" i="1"/>
  <c r="Z790" i="1" s="1"/>
  <c r="X612" i="1"/>
  <c r="Z612" i="1" s="1"/>
  <c r="R450" i="1"/>
  <c r="S447" i="1"/>
  <c r="T447" i="1" s="1"/>
  <c r="X445" i="1"/>
  <c r="Z445" i="1" s="1"/>
  <c r="AI445" i="1" s="1"/>
  <c r="Y143" i="1"/>
  <c r="S134" i="1"/>
  <c r="T134" i="1" s="1"/>
  <c r="Y126" i="1"/>
  <c r="Z93" i="1"/>
  <c r="AI93" i="1" s="1"/>
  <c r="Z81" i="1"/>
  <c r="AI81" i="1" s="1"/>
  <c r="X1002" i="1"/>
  <c r="Z1002" i="1" s="1"/>
  <c r="Y995" i="1"/>
  <c r="Y957" i="1"/>
  <c r="X884" i="1"/>
  <c r="Z884" i="1" s="1"/>
  <c r="Y880" i="1"/>
  <c r="Y837" i="1"/>
  <c r="S821" i="1"/>
  <c r="T821" i="1" s="1"/>
  <c r="X808" i="1"/>
  <c r="Z808" i="1" s="1"/>
  <c r="Y804" i="1"/>
  <c r="R798" i="1"/>
  <c r="S786" i="1"/>
  <c r="T786" i="1" s="1"/>
  <c r="S620" i="1"/>
  <c r="T620" i="1" s="1"/>
  <c r="R609" i="1"/>
  <c r="S606" i="1"/>
  <c r="T606" i="1" s="1"/>
  <c r="X132" i="1"/>
  <c r="Z132" i="1" s="1"/>
  <c r="X124" i="1"/>
  <c r="Z124" i="1" s="1"/>
  <c r="AI124" i="1" s="1"/>
  <c r="R103" i="1"/>
  <c r="R95" i="1"/>
  <c r="S91" i="1"/>
  <c r="T91" i="1" s="1"/>
  <c r="S85" i="1"/>
  <c r="T85" i="1" s="1"/>
  <c r="R62" i="1"/>
  <c r="R39" i="1"/>
  <c r="Y881" i="1"/>
  <c r="Z879" i="1"/>
  <c r="R875" i="1"/>
  <c r="Y866" i="1"/>
  <c r="Z857" i="1"/>
  <c r="Z777" i="1"/>
  <c r="S610" i="1"/>
  <c r="T610" i="1" s="1"/>
  <c r="S121" i="1"/>
  <c r="T121" i="1" s="1"/>
  <c r="Z89" i="1"/>
  <c r="AI89" i="1" s="1"/>
  <c r="Z72" i="1"/>
  <c r="AI72" i="1" s="1"/>
  <c r="R1006" i="1"/>
  <c r="S983" i="1"/>
  <c r="T983" i="1" s="1"/>
  <c r="Z980" i="1"/>
  <c r="Z971" i="1"/>
  <c r="Y899" i="1"/>
  <c r="Z880" i="1"/>
  <c r="R857" i="1"/>
  <c r="R780" i="1"/>
  <c r="X136" i="1"/>
  <c r="AI136" i="1" s="1"/>
  <c r="R86" i="1"/>
  <c r="Z84" i="1"/>
  <c r="AI84" i="1" s="1"/>
  <c r="Z79" i="1"/>
  <c r="AI79" i="1" s="1"/>
  <c r="S68" i="1"/>
  <c r="T68" i="1" s="1"/>
  <c r="R63" i="1"/>
  <c r="R47" i="1"/>
  <c r="R40" i="1"/>
  <c r="Y38" i="1"/>
  <c r="Y1000" i="1"/>
  <c r="Z885" i="1"/>
  <c r="Y820" i="1"/>
  <c r="Y817" i="1"/>
  <c r="X798" i="1"/>
  <c r="Z798" i="1" s="1"/>
  <c r="AI798" i="1" s="1"/>
  <c r="R776" i="1"/>
  <c r="Z617" i="1"/>
  <c r="R613" i="1"/>
  <c r="Z609" i="1"/>
  <c r="X604" i="1"/>
  <c r="Z604" i="1" s="1"/>
  <c r="AI604" i="1" s="1"/>
  <c r="Y444" i="1"/>
  <c r="S152" i="1"/>
  <c r="T152" i="1" s="1"/>
  <c r="Y100" i="1"/>
  <c r="R89" i="1"/>
  <c r="R1005" i="1"/>
  <c r="R994" i="1"/>
  <c r="R981" i="1"/>
  <c r="Z966" i="1"/>
  <c r="Y940" i="1"/>
  <c r="X940" i="1"/>
  <c r="Z940" i="1" s="1"/>
  <c r="S858" i="1"/>
  <c r="T858" i="1" s="1"/>
  <c r="R858" i="1"/>
  <c r="S839" i="1"/>
  <c r="T839" i="1" s="1"/>
  <c r="R836" i="1"/>
  <c r="S835" i="1"/>
  <c r="T835" i="1" s="1"/>
  <c r="R835" i="1"/>
  <c r="S818" i="1"/>
  <c r="T818" i="1" s="1"/>
  <c r="R818" i="1"/>
  <c r="X806" i="1"/>
  <c r="Z806" i="1" s="1"/>
  <c r="Z803" i="1"/>
  <c r="AI803" i="1" s="1"/>
  <c r="R784" i="1"/>
  <c r="S784" i="1"/>
  <c r="T784" i="1" s="1"/>
  <c r="Y623" i="1"/>
  <c r="R615" i="1"/>
  <c r="S615" i="1"/>
  <c r="T615" i="1" s="1"/>
  <c r="R148" i="1"/>
  <c r="S148" i="1"/>
  <c r="T148" i="1" s="1"/>
  <c r="X140" i="1"/>
  <c r="Z140" i="1" s="1"/>
  <c r="AI140" i="1" s="1"/>
  <c r="Y140" i="1"/>
  <c r="S888" i="1"/>
  <c r="T888" i="1" s="1"/>
  <c r="S863" i="1"/>
  <c r="T863" i="1" s="1"/>
  <c r="Y858" i="1"/>
  <c r="X856" i="1"/>
  <c r="Z856" i="1" s="1"/>
  <c r="R839" i="1"/>
  <c r="S838" i="1"/>
  <c r="T838" i="1" s="1"/>
  <c r="R810" i="1"/>
  <c r="R803" i="1"/>
  <c r="R793" i="1"/>
  <c r="S789" i="1"/>
  <c r="T789" i="1" s="1"/>
  <c r="Y613" i="1"/>
  <c r="X613" i="1"/>
  <c r="Z613" i="1" s="1"/>
  <c r="Y451" i="1"/>
  <c r="X451" i="1"/>
  <c r="Z451" i="1" s="1"/>
  <c r="AI451" i="1" s="1"/>
  <c r="Y965" i="1"/>
  <c r="X962" i="1"/>
  <c r="Z962" i="1" s="1"/>
  <c r="Z961" i="1"/>
  <c r="R958" i="1"/>
  <c r="S957" i="1"/>
  <c r="T957" i="1" s="1"/>
  <c r="S955" i="1"/>
  <c r="T955" i="1" s="1"/>
  <c r="R954" i="1"/>
  <c r="S953" i="1"/>
  <c r="T953" i="1" s="1"/>
  <c r="S942" i="1"/>
  <c r="T942" i="1" s="1"/>
  <c r="X933" i="1"/>
  <c r="Z933" i="1" s="1"/>
  <c r="Y932" i="1"/>
  <c r="Y885" i="1"/>
  <c r="X1013" i="1"/>
  <c r="Z1013" i="1" s="1"/>
  <c r="Y865" i="1"/>
  <c r="X865" i="1"/>
  <c r="Z865" i="1" s="1"/>
  <c r="S864" i="1"/>
  <c r="T864" i="1" s="1"/>
  <c r="Y832" i="1"/>
  <c r="X832" i="1"/>
  <c r="Z832" i="1" s="1"/>
  <c r="Y830" i="1"/>
  <c r="Z830" i="1"/>
  <c r="S820" i="1"/>
  <c r="T820" i="1" s="1"/>
  <c r="R820" i="1"/>
  <c r="X818" i="1"/>
  <c r="Z818" i="1" s="1"/>
  <c r="S811" i="1"/>
  <c r="T811" i="1" s="1"/>
  <c r="S805" i="1"/>
  <c r="T805" i="1" s="1"/>
  <c r="Y800" i="1"/>
  <c r="X800" i="1"/>
  <c r="Z800" i="1" s="1"/>
  <c r="AI800" i="1" s="1"/>
  <c r="X147" i="1"/>
  <c r="Z147" i="1" s="1"/>
  <c r="AI147" i="1" s="1"/>
  <c r="Y147" i="1"/>
  <c r="R142" i="1"/>
  <c r="S142" i="1"/>
  <c r="T142" i="1" s="1"/>
  <c r="R140" i="1"/>
  <c r="S140" i="1"/>
  <c r="T140" i="1" s="1"/>
  <c r="S1010" i="1"/>
  <c r="T1010" i="1" s="1"/>
  <c r="Z1001" i="1"/>
  <c r="Z1000" i="1"/>
  <c r="S999" i="1"/>
  <c r="T999" i="1" s="1"/>
  <c r="R998" i="1"/>
  <c r="S989" i="1"/>
  <c r="T989" i="1" s="1"/>
  <c r="S971" i="1"/>
  <c r="T971" i="1" s="1"/>
  <c r="X964" i="1"/>
  <c r="Z964" i="1" s="1"/>
  <c r="S961" i="1"/>
  <c r="T961" i="1" s="1"/>
  <c r="S950" i="1"/>
  <c r="T950" i="1" s="1"/>
  <c r="S949" i="1"/>
  <c r="T949" i="1" s="1"/>
  <c r="Y938" i="1"/>
  <c r="Y936" i="1"/>
  <c r="S929" i="1"/>
  <c r="T929" i="1" s="1"/>
  <c r="Y894" i="1"/>
  <c r="R892" i="1"/>
  <c r="Y889" i="1"/>
  <c r="Y886" i="1"/>
  <c r="S879" i="1"/>
  <c r="T879" i="1" s="1"/>
  <c r="R867" i="1"/>
  <c r="R785" i="1"/>
  <c r="S785" i="1"/>
  <c r="T785" i="1" s="1"/>
  <c r="Y783" i="1"/>
  <c r="X783" i="1"/>
  <c r="Z783" i="1" s="1"/>
  <c r="R451" i="1"/>
  <c r="S451" i="1"/>
  <c r="T451" i="1" s="1"/>
  <c r="Y446" i="1"/>
  <c r="X446" i="1"/>
  <c r="Z446" i="1" s="1"/>
  <c r="AI446" i="1" s="1"/>
  <c r="S1001" i="1"/>
  <c r="T1001" i="1" s="1"/>
  <c r="R1000" i="1"/>
  <c r="Y987" i="1"/>
  <c r="X986" i="1"/>
  <c r="Z986" i="1" s="1"/>
  <c r="Z977" i="1"/>
  <c r="X975" i="1"/>
  <c r="Z975" i="1" s="1"/>
  <c r="Y974" i="1"/>
  <c r="R972" i="1"/>
  <c r="X969" i="1"/>
  <c r="Z969" i="1" s="1"/>
  <c r="Y959" i="1"/>
  <c r="Y958" i="1"/>
  <c r="R956" i="1"/>
  <c r="Y951" i="1"/>
  <c r="Z950" i="1"/>
  <c r="Y939" i="1"/>
  <c r="S898" i="1"/>
  <c r="T898" i="1" s="1"/>
  <c r="S893" i="1"/>
  <c r="T893" i="1" s="1"/>
  <c r="X890" i="1"/>
  <c r="Z890" i="1" s="1"/>
  <c r="Y888" i="1"/>
  <c r="Y887" i="1"/>
  <c r="X875" i="1"/>
  <c r="Z875" i="1" s="1"/>
  <c r="X874" i="1"/>
  <c r="Z874" i="1" s="1"/>
  <c r="S866" i="1"/>
  <c r="T866" i="1" s="1"/>
  <c r="Y861" i="1"/>
  <c r="X841" i="1"/>
  <c r="Z841" i="1" s="1"/>
  <c r="Y838" i="1"/>
  <c r="Z837" i="1"/>
  <c r="Y833" i="1"/>
  <c r="X833" i="1"/>
  <c r="Z833" i="1" s="1"/>
  <c r="Y828" i="1"/>
  <c r="Y809" i="1"/>
  <c r="S800" i="1"/>
  <c r="T800" i="1" s="1"/>
  <c r="R800" i="1"/>
  <c r="X620" i="1"/>
  <c r="Z620" i="1" s="1"/>
  <c r="Y620" i="1"/>
  <c r="X135" i="1"/>
  <c r="Z135" i="1" s="1"/>
  <c r="AI135" i="1" s="1"/>
  <c r="Y135" i="1"/>
  <c r="Z992" i="1"/>
  <c r="S991" i="1"/>
  <c r="T991" i="1" s="1"/>
  <c r="R990" i="1"/>
  <c r="Y984" i="1"/>
  <c r="X982" i="1"/>
  <c r="Z982" i="1" s="1"/>
  <c r="Y950" i="1"/>
  <c r="X946" i="1"/>
  <c r="Z946" i="1" s="1"/>
  <c r="X937" i="1"/>
  <c r="Z937" i="1" s="1"/>
  <c r="Y937" i="1"/>
  <c r="S882" i="1"/>
  <c r="T882" i="1" s="1"/>
  <c r="R878" i="1"/>
  <c r="R866" i="1"/>
  <c r="R833" i="1"/>
  <c r="X821" i="1"/>
  <c r="Z821" i="1" s="1"/>
  <c r="Y821" i="1"/>
  <c r="Z819" i="1"/>
  <c r="R126" i="1"/>
  <c r="S126" i="1"/>
  <c r="T126" i="1" s="1"/>
  <c r="Z126" i="1"/>
  <c r="AI126" i="1" s="1"/>
  <c r="Y1011" i="1"/>
  <c r="X1010" i="1"/>
  <c r="Z1010" i="1" s="1"/>
  <c r="Y1008" i="1"/>
  <c r="Z1005" i="1"/>
  <c r="R992" i="1"/>
  <c r="Z981" i="1"/>
  <c r="Y972" i="1"/>
  <c r="S966" i="1"/>
  <c r="T966" i="1" s="1"/>
  <c r="S963" i="1"/>
  <c r="T963" i="1" s="1"/>
  <c r="X954" i="1"/>
  <c r="Z954" i="1" s="1"/>
  <c r="Y953" i="1"/>
  <c r="X952" i="1"/>
  <c r="Z952" i="1" s="1"/>
  <c r="Y929" i="1"/>
  <c r="R900" i="1"/>
  <c r="Y891" i="1"/>
  <c r="S883" i="1"/>
  <c r="T883" i="1" s="1"/>
  <c r="S880" i="1"/>
  <c r="T880" i="1" s="1"/>
  <c r="R880" i="1"/>
  <c r="Z878" i="1"/>
  <c r="S856" i="1"/>
  <c r="T856" i="1" s="1"/>
  <c r="R856" i="1"/>
  <c r="Y805" i="1"/>
  <c r="Y785" i="1"/>
  <c r="X784" i="1"/>
  <c r="Z784" i="1" s="1"/>
  <c r="Y784" i="1"/>
  <c r="R614" i="1"/>
  <c r="S614" i="1"/>
  <c r="T614" i="1" s="1"/>
  <c r="Y607" i="1"/>
  <c r="X998" i="1"/>
  <c r="Z998" i="1" s="1"/>
  <c r="Y971" i="1"/>
  <c r="S962" i="1"/>
  <c r="T962" i="1" s="1"/>
  <c r="X836" i="1"/>
  <c r="Z836" i="1" s="1"/>
  <c r="Y836" i="1"/>
  <c r="S819" i="1"/>
  <c r="T819" i="1" s="1"/>
  <c r="R808" i="1"/>
  <c r="S808" i="1"/>
  <c r="T808" i="1" s="1"/>
  <c r="Y799" i="1"/>
  <c r="X799" i="1"/>
  <c r="Z799" i="1" s="1"/>
  <c r="AI799" i="1" s="1"/>
  <c r="Z621" i="1"/>
  <c r="S604" i="1"/>
  <c r="T604" i="1" s="1"/>
  <c r="X442" i="1"/>
  <c r="Z442" i="1" s="1"/>
  <c r="AI442" i="1" s="1"/>
  <c r="Y442" i="1"/>
  <c r="S150" i="1"/>
  <c r="T150" i="1" s="1"/>
  <c r="R150" i="1"/>
  <c r="Z139" i="1"/>
  <c r="AI139" i="1" s="1"/>
  <c r="X778" i="1"/>
  <c r="Z778" i="1" s="1"/>
  <c r="Z152" i="1"/>
  <c r="AI152" i="1" s="1"/>
  <c r="Z104" i="1"/>
  <c r="AI104" i="1" s="1"/>
  <c r="R70" i="1"/>
  <c r="R64" i="1"/>
  <c r="R60" i="1"/>
  <c r="R56" i="1"/>
  <c r="R52" i="1"/>
  <c r="R48" i="1"/>
  <c r="Y44" i="1"/>
  <c r="S117" i="1"/>
  <c r="T117" i="1" s="1"/>
  <c r="S113" i="1"/>
  <c r="T113" i="1" s="1"/>
  <c r="S109" i="1"/>
  <c r="T109" i="1" s="1"/>
  <c r="S108" i="1"/>
  <c r="T108" i="1" s="1"/>
  <c r="S104" i="1"/>
  <c r="T104" i="1" s="1"/>
  <c r="Z100" i="1"/>
  <c r="AI100" i="1" s="1"/>
  <c r="Z96" i="1"/>
  <c r="AI96" i="1" s="1"/>
  <c r="S94" i="1"/>
  <c r="T94" i="1" s="1"/>
  <c r="S87" i="1"/>
  <c r="T87" i="1" s="1"/>
  <c r="S81" i="1"/>
  <c r="T81" i="1" s="1"/>
  <c r="S79" i="1"/>
  <c r="T79" i="1" s="1"/>
  <c r="Z76" i="1"/>
  <c r="AI76" i="1" s="1"/>
  <c r="Z75" i="1"/>
  <c r="AI75" i="1" s="1"/>
  <c r="S73" i="1"/>
  <c r="T73" i="1" s="1"/>
  <c r="S72" i="1"/>
  <c r="T72" i="1" s="1"/>
  <c r="S71" i="1"/>
  <c r="T71" i="1" s="1"/>
  <c r="S65" i="1"/>
  <c r="T65" i="1" s="1"/>
  <c r="S61" i="1"/>
  <c r="T61" i="1" s="1"/>
  <c r="S57" i="1"/>
  <c r="T57" i="1" s="1"/>
  <c r="S53" i="1"/>
  <c r="T53" i="1" s="1"/>
  <c r="S49" i="1"/>
  <c r="T49" i="1" s="1"/>
  <c r="Z43" i="1"/>
  <c r="AI43" i="1" s="1"/>
  <c r="R448" i="1"/>
  <c r="R151" i="1"/>
  <c r="R108" i="1"/>
  <c r="Z97" i="1"/>
  <c r="AI97" i="1" s="1"/>
  <c r="Y96" i="1"/>
  <c r="R81" i="1"/>
  <c r="R79" i="1"/>
  <c r="Y76" i="1"/>
  <c r="Y75" i="1"/>
  <c r="R72" i="1"/>
  <c r="R71" i="1"/>
  <c r="Y46" i="1"/>
  <c r="Y45" i="1"/>
  <c r="Z44" i="1"/>
  <c r="AI44" i="1" s="1"/>
  <c r="R43" i="1"/>
  <c r="Z957" i="1"/>
  <c r="Z945" i="1"/>
  <c r="Z868" i="1"/>
  <c r="Y621" i="1"/>
  <c r="Y616" i="1"/>
  <c r="S88" i="1"/>
  <c r="T88" i="1" s="1"/>
  <c r="Z85" i="1"/>
  <c r="AI85" i="1" s="1"/>
  <c r="Y84" i="1"/>
  <c r="Y69" i="1"/>
  <c r="S44" i="1"/>
  <c r="T44" i="1" s="1"/>
  <c r="X780" i="1"/>
  <c r="Z780" i="1" s="1"/>
  <c r="R143" i="1"/>
  <c r="R132" i="1"/>
  <c r="R127" i="1"/>
  <c r="R131" i="1"/>
  <c r="R125" i="1"/>
  <c r="S102" i="1"/>
  <c r="T102" i="1" s="1"/>
  <c r="S97" i="1"/>
  <c r="T97" i="1" s="1"/>
  <c r="S96" i="1"/>
  <c r="T96" i="1" s="1"/>
  <c r="S77" i="1"/>
  <c r="T77" i="1" s="1"/>
  <c r="S76" i="1"/>
  <c r="T76" i="1" s="1"/>
  <c r="S75" i="1"/>
  <c r="T75" i="1" s="1"/>
  <c r="R45" i="1"/>
  <c r="R41" i="1"/>
  <c r="Y79" i="1"/>
  <c r="Y72" i="1"/>
  <c r="Z829" i="1"/>
  <c r="Y43" i="1"/>
  <c r="R944" i="1"/>
  <c r="S944" i="1"/>
  <c r="T944" i="1" s="1"/>
  <c r="R943" i="1"/>
  <c r="R939" i="1"/>
  <c r="Z939" i="1"/>
  <c r="S939" i="1"/>
  <c r="T939" i="1" s="1"/>
  <c r="X928" i="1"/>
  <c r="Z928" i="1" s="1"/>
  <c r="Y928" i="1"/>
  <c r="X893" i="1"/>
  <c r="Z893" i="1" s="1"/>
  <c r="Y893" i="1"/>
  <c r="X864" i="1"/>
  <c r="Z864" i="1" s="1"/>
  <c r="X859" i="1"/>
  <c r="Z859" i="1" s="1"/>
  <c r="Y859" i="1"/>
  <c r="R832" i="1"/>
  <c r="R779" i="1"/>
  <c r="S779" i="1"/>
  <c r="T779" i="1" s="1"/>
  <c r="Y1005" i="1"/>
  <c r="Y997" i="1"/>
  <c r="Y989" i="1"/>
  <c r="Y981" i="1"/>
  <c r="X941" i="1"/>
  <c r="Z941" i="1" s="1"/>
  <c r="Z891" i="1"/>
  <c r="R891" i="1"/>
  <c r="S891" i="1"/>
  <c r="T891" i="1" s="1"/>
  <c r="S886" i="1"/>
  <c r="T886" i="1" s="1"/>
  <c r="Z886" i="1"/>
  <c r="R886" i="1"/>
  <c r="X855" i="1"/>
  <c r="Z855" i="1" s="1"/>
  <c r="Y855" i="1"/>
  <c r="X835" i="1"/>
  <c r="Z835" i="1" s="1"/>
  <c r="Y816" i="1"/>
  <c r="X816" i="1"/>
  <c r="Z816" i="1" s="1"/>
  <c r="S812" i="1"/>
  <c r="T812" i="1" s="1"/>
  <c r="R812" i="1"/>
  <c r="S1012" i="1"/>
  <c r="T1012" i="1" s="1"/>
  <c r="Z1007" i="1"/>
  <c r="S1004" i="1"/>
  <c r="T1004" i="1" s="1"/>
  <c r="Z999" i="1"/>
  <c r="S996" i="1"/>
  <c r="T996" i="1" s="1"/>
  <c r="Z991" i="1"/>
  <c r="S988" i="1"/>
  <c r="T988" i="1" s="1"/>
  <c r="Z983" i="1"/>
  <c r="R980" i="1"/>
  <c r="X970" i="1"/>
  <c r="Z970" i="1" s="1"/>
  <c r="S968" i="1"/>
  <c r="T968" i="1" s="1"/>
  <c r="R962" i="1"/>
  <c r="R952" i="1"/>
  <c r="S952" i="1"/>
  <c r="T952" i="1" s="1"/>
  <c r="R951" i="1"/>
  <c r="Z951" i="1"/>
  <c r="Y945" i="1"/>
  <c r="X944" i="1"/>
  <c r="Z944" i="1" s="1"/>
  <c r="Z899" i="1"/>
  <c r="R899" i="1"/>
  <c r="S884" i="1"/>
  <c r="T884" i="1" s="1"/>
  <c r="R884" i="1"/>
  <c r="R823" i="1"/>
  <c r="S823" i="1"/>
  <c r="T823" i="1" s="1"/>
  <c r="R822" i="1"/>
  <c r="Z822" i="1"/>
  <c r="R814" i="1"/>
  <c r="Z814" i="1"/>
  <c r="S814" i="1"/>
  <c r="T814" i="1" s="1"/>
  <c r="Z1012" i="1"/>
  <c r="Y1007" i="1"/>
  <c r="Z1004" i="1"/>
  <c r="Y999" i="1"/>
  <c r="Z996" i="1"/>
  <c r="Y991" i="1"/>
  <c r="Z988" i="1"/>
  <c r="Y983" i="1"/>
  <c r="Y977" i="1"/>
  <c r="R968" i="1"/>
  <c r="R930" i="1"/>
  <c r="S930" i="1"/>
  <c r="T930" i="1" s="1"/>
  <c r="S876" i="1"/>
  <c r="T876" i="1" s="1"/>
  <c r="R876" i="1"/>
  <c r="X831" i="1"/>
  <c r="Z831" i="1" s="1"/>
  <c r="Y831" i="1"/>
  <c r="S802" i="1"/>
  <c r="T802" i="1" s="1"/>
  <c r="R802" i="1"/>
  <c r="Y793" i="1"/>
  <c r="X793" i="1"/>
  <c r="Z793" i="1" s="1"/>
  <c r="Y1012" i="1"/>
  <c r="Y1004" i="1"/>
  <c r="Y996" i="1"/>
  <c r="Y988" i="1"/>
  <c r="Y980" i="1"/>
  <c r="S979" i="1"/>
  <c r="T979" i="1" s="1"/>
  <c r="Y973" i="1"/>
  <c r="R960" i="1"/>
  <c r="S960" i="1"/>
  <c r="T960" i="1" s="1"/>
  <c r="R959" i="1"/>
  <c r="Z959" i="1"/>
  <c r="Y942" i="1"/>
  <c r="X942" i="1"/>
  <c r="Z942" i="1" s="1"/>
  <c r="R824" i="1"/>
  <c r="S824" i="1"/>
  <c r="T824" i="1" s="1"/>
  <c r="X811" i="1"/>
  <c r="Z811" i="1" s="1"/>
  <c r="Y811" i="1"/>
  <c r="S1011" i="1"/>
  <c r="T1011" i="1" s="1"/>
  <c r="Y1009" i="1"/>
  <c r="S1003" i="1"/>
  <c r="T1003" i="1" s="1"/>
  <c r="Y1001" i="1"/>
  <c r="S995" i="1"/>
  <c r="T995" i="1" s="1"/>
  <c r="Y993" i="1"/>
  <c r="S987" i="1"/>
  <c r="T987" i="1" s="1"/>
  <c r="Y985" i="1"/>
  <c r="Z979" i="1"/>
  <c r="Y976" i="1"/>
  <c r="X968" i="1"/>
  <c r="Z968" i="1" s="1"/>
  <c r="R967" i="1"/>
  <c r="Z967" i="1"/>
  <c r="X955" i="1"/>
  <c r="Z955" i="1" s="1"/>
  <c r="Y955" i="1"/>
  <c r="Y898" i="1"/>
  <c r="X898" i="1"/>
  <c r="Z898" i="1" s="1"/>
  <c r="S894" i="1"/>
  <c r="T894" i="1" s="1"/>
  <c r="Z894" i="1"/>
  <c r="R894" i="1"/>
  <c r="Y868" i="1"/>
  <c r="X840" i="1"/>
  <c r="Z840" i="1" s="1"/>
  <c r="R831" i="1"/>
  <c r="S831" i="1"/>
  <c r="T831" i="1" s="1"/>
  <c r="Y826" i="1"/>
  <c r="X826" i="1"/>
  <c r="Z826" i="1" s="1"/>
  <c r="Z809" i="1"/>
  <c r="R809" i="1"/>
  <c r="S809" i="1"/>
  <c r="T809" i="1" s="1"/>
  <c r="Z1011" i="1"/>
  <c r="Z995" i="1"/>
  <c r="Z987" i="1"/>
  <c r="S978" i="1"/>
  <c r="T978" i="1" s="1"/>
  <c r="Y961" i="1"/>
  <c r="X960" i="1"/>
  <c r="Z960" i="1" s="1"/>
  <c r="Y949" i="1"/>
  <c r="R948" i="1"/>
  <c r="S943" i="1"/>
  <c r="T943" i="1" s="1"/>
  <c r="R896" i="1"/>
  <c r="S896" i="1"/>
  <c r="T896" i="1" s="1"/>
  <c r="Y819" i="1"/>
  <c r="Z817" i="1"/>
  <c r="AI817" i="1" s="1"/>
  <c r="R817" i="1"/>
  <c r="Y795" i="1"/>
  <c r="X795" i="1"/>
  <c r="Z795" i="1" s="1"/>
  <c r="R975" i="1"/>
  <c r="R970" i="1"/>
  <c r="X963" i="1"/>
  <c r="Z963" i="1" s="1"/>
  <c r="Y963" i="1"/>
  <c r="X935" i="1"/>
  <c r="Z935" i="1" s="1"/>
  <c r="Y935" i="1"/>
  <c r="X824" i="1"/>
  <c r="Z824" i="1" s="1"/>
  <c r="R612" i="1"/>
  <c r="S612" i="1"/>
  <c r="T612" i="1" s="1"/>
  <c r="R791" i="1"/>
  <c r="Z791" i="1"/>
  <c r="S791" i="1"/>
  <c r="T791" i="1" s="1"/>
  <c r="Y130" i="1"/>
  <c r="X130" i="1"/>
  <c r="Z130" i="1" s="1"/>
  <c r="AI130" i="1" s="1"/>
  <c r="Z936" i="1"/>
  <c r="S932" i="1"/>
  <c r="T932" i="1" s="1"/>
  <c r="X900" i="1"/>
  <c r="Z900" i="1" s="1"/>
  <c r="Y895" i="1"/>
  <c r="X876" i="1"/>
  <c r="Z876" i="1" s="1"/>
  <c r="S874" i="1"/>
  <c r="T874" i="1" s="1"/>
  <c r="X863" i="1"/>
  <c r="Z863" i="1" s="1"/>
  <c r="R861" i="1"/>
  <c r="Z861" i="1"/>
  <c r="S860" i="1"/>
  <c r="T860" i="1" s="1"/>
  <c r="Y857" i="1"/>
  <c r="S855" i="1"/>
  <c r="T855" i="1" s="1"/>
  <c r="Y813" i="1"/>
  <c r="R807" i="1"/>
  <c r="Z807" i="1"/>
  <c r="X802" i="1"/>
  <c r="Z802" i="1" s="1"/>
  <c r="AI802" i="1" s="1"/>
  <c r="X792" i="1"/>
  <c r="Z792" i="1" s="1"/>
  <c r="R790" i="1"/>
  <c r="X788" i="1"/>
  <c r="Z788" i="1" s="1"/>
  <c r="R778" i="1"/>
  <c r="S778" i="1"/>
  <c r="T778" i="1" s="1"/>
  <c r="R611" i="1"/>
  <c r="S611" i="1"/>
  <c r="T611" i="1" s="1"/>
  <c r="S444" i="1"/>
  <c r="T444" i="1" s="1"/>
  <c r="R444" i="1"/>
  <c r="Z444" i="1"/>
  <c r="AI444" i="1" s="1"/>
  <c r="Y138" i="1"/>
  <c r="X138" i="1"/>
  <c r="Z138" i="1" s="1"/>
  <c r="AI138" i="1" s="1"/>
  <c r="Z932" i="1"/>
  <c r="R928" i="1"/>
  <c r="R889" i="1"/>
  <c r="Z889" i="1"/>
  <c r="Z860" i="1"/>
  <c r="R837" i="1"/>
  <c r="R826" i="1"/>
  <c r="R806" i="1"/>
  <c r="Y619" i="1"/>
  <c r="X619" i="1"/>
  <c r="Z619" i="1" s="1"/>
  <c r="R1013" i="1"/>
  <c r="X789" i="1"/>
  <c r="Z789" i="1" s="1"/>
  <c r="Y789" i="1"/>
  <c r="R445" i="1"/>
  <c r="S445" i="1"/>
  <c r="T445" i="1" s="1"/>
  <c r="R931" i="1"/>
  <c r="R897" i="1"/>
  <c r="Z897" i="1"/>
  <c r="R815" i="1"/>
  <c r="Z815" i="1"/>
  <c r="Y947" i="1"/>
  <c r="Y901" i="1"/>
  <c r="Y897" i="1"/>
  <c r="R840" i="1"/>
  <c r="Y825" i="1"/>
  <c r="Y815" i="1"/>
  <c r="S796" i="1"/>
  <c r="T796" i="1" s="1"/>
  <c r="Z796" i="1"/>
  <c r="R795" i="1"/>
  <c r="R792" i="1"/>
  <c r="R783" i="1"/>
  <c r="S783" i="1"/>
  <c r="T783" i="1" s="1"/>
  <c r="R782" i="1"/>
  <c r="Z782" i="1"/>
  <c r="X779" i="1"/>
  <c r="Z779" i="1" s="1"/>
  <c r="R616" i="1"/>
  <c r="Z616" i="1"/>
  <c r="S616" i="1"/>
  <c r="T616" i="1" s="1"/>
  <c r="X934" i="1"/>
  <c r="Z934" i="1" s="1"/>
  <c r="X892" i="1"/>
  <c r="Z892" i="1" s="1"/>
  <c r="X882" i="1"/>
  <c r="Z882" i="1" s="1"/>
  <c r="R881" i="1"/>
  <c r="Z881" i="1"/>
  <c r="Y877" i="1"/>
  <c r="S861" i="1"/>
  <c r="T861" i="1" s="1"/>
  <c r="Y829" i="1"/>
  <c r="X810" i="1"/>
  <c r="Z810" i="1" s="1"/>
  <c r="S807" i="1"/>
  <c r="T807" i="1" s="1"/>
  <c r="Y803" i="1"/>
  <c r="X794" i="1"/>
  <c r="Z794" i="1" s="1"/>
  <c r="S790" i="1"/>
  <c r="T790" i="1" s="1"/>
  <c r="X449" i="1"/>
  <c r="Z449" i="1" s="1"/>
  <c r="AI449" i="1" s="1"/>
  <c r="Y449" i="1"/>
  <c r="Z443" i="1"/>
  <c r="AI443" i="1" s="1"/>
  <c r="R443" i="1"/>
  <c r="S443" i="1"/>
  <c r="T443" i="1" s="1"/>
  <c r="Z128" i="1"/>
  <c r="AI128" i="1" s="1"/>
  <c r="R128" i="1"/>
  <c r="S128" i="1"/>
  <c r="T128" i="1" s="1"/>
  <c r="X781" i="1"/>
  <c r="Z781" i="1" s="1"/>
  <c r="Y781" i="1"/>
  <c r="R621" i="1"/>
  <c r="X614" i="1"/>
  <c r="Z614" i="1" s="1"/>
  <c r="Y614" i="1"/>
  <c r="R604" i="1"/>
  <c r="R442" i="1"/>
  <c r="X150" i="1"/>
  <c r="Z150" i="1" s="1"/>
  <c r="AI150" i="1" s="1"/>
  <c r="X149" i="1"/>
  <c r="Z149" i="1" s="1"/>
  <c r="AI149" i="1" s="1"/>
  <c r="X148" i="1"/>
  <c r="Z148" i="1" s="1"/>
  <c r="AI148" i="1" s="1"/>
  <c r="R146" i="1"/>
  <c r="X142" i="1"/>
  <c r="Z142" i="1" s="1"/>
  <c r="AI142" i="1" s="1"/>
  <c r="Y142" i="1"/>
  <c r="X129" i="1"/>
  <c r="Z129" i="1" s="1"/>
  <c r="Y129" i="1"/>
  <c r="Y787" i="1"/>
  <c r="X447" i="1"/>
  <c r="Z447" i="1" s="1"/>
  <c r="AI447" i="1" s="1"/>
  <c r="Y447" i="1"/>
  <c r="R144" i="1"/>
  <c r="S144" i="1"/>
  <c r="T144" i="1" s="1"/>
  <c r="Z144" i="1"/>
  <c r="AI144" i="1" s="1"/>
  <c r="S137" i="1"/>
  <c r="T137" i="1" s="1"/>
  <c r="R137" i="1"/>
  <c r="S122" i="1"/>
  <c r="T122" i="1" s="1"/>
  <c r="Z122" i="1"/>
  <c r="AI122" i="1" s="1"/>
  <c r="X120" i="1"/>
  <c r="Z120" i="1" s="1"/>
  <c r="AI120" i="1" s="1"/>
  <c r="Y120" i="1"/>
  <c r="X113" i="1"/>
  <c r="Z113" i="1" s="1"/>
  <c r="AI113" i="1" s="1"/>
  <c r="Y113" i="1"/>
  <c r="X622" i="1"/>
  <c r="Z622" i="1" s="1"/>
  <c r="Y622" i="1"/>
  <c r="Y606" i="1"/>
  <c r="X606" i="1"/>
  <c r="Z606" i="1" s="1"/>
  <c r="R449" i="1"/>
  <c r="S449" i="1"/>
  <c r="T449" i="1" s="1"/>
  <c r="X786" i="1"/>
  <c r="Z786" i="1" s="1"/>
  <c r="Y776" i="1"/>
  <c r="R775" i="1"/>
  <c r="Z775" i="1"/>
  <c r="S775" i="1"/>
  <c r="T775" i="1" s="1"/>
  <c r="S623" i="1"/>
  <c r="T623" i="1" s="1"/>
  <c r="R619" i="1"/>
  <c r="Y609" i="1"/>
  <c r="R608" i="1"/>
  <c r="Z608" i="1"/>
  <c r="S608" i="1"/>
  <c r="T608" i="1" s="1"/>
  <c r="S607" i="1"/>
  <c r="T607" i="1" s="1"/>
  <c r="Y152" i="1"/>
  <c r="X151" i="1"/>
  <c r="Z151" i="1" s="1"/>
  <c r="AI151" i="1" s="1"/>
  <c r="S141" i="1"/>
  <c r="T141" i="1" s="1"/>
  <c r="Z141" i="1"/>
  <c r="AI141" i="1" s="1"/>
  <c r="R141" i="1"/>
  <c r="Y134" i="1"/>
  <c r="X134" i="1"/>
  <c r="Z134" i="1" s="1"/>
  <c r="AI134" i="1" s="1"/>
  <c r="X114" i="1"/>
  <c r="Z114" i="1" s="1"/>
  <c r="AI114" i="1" s="1"/>
  <c r="Y114" i="1"/>
  <c r="R788" i="1"/>
  <c r="Y775" i="1"/>
  <c r="Z623" i="1"/>
  <c r="AI623" i="1" s="1"/>
  <c r="Y608" i="1"/>
  <c r="Z607" i="1"/>
  <c r="X450" i="1"/>
  <c r="Z450" i="1" s="1"/>
  <c r="AI450" i="1" s="1"/>
  <c r="X145" i="1"/>
  <c r="Z145" i="1" s="1"/>
  <c r="AI145" i="1" s="1"/>
  <c r="Y145" i="1"/>
  <c r="Y141" i="1"/>
  <c r="R124" i="1"/>
  <c r="S124" i="1"/>
  <c r="T124" i="1" s="1"/>
  <c r="R799" i="1"/>
  <c r="S446" i="1"/>
  <c r="T446" i="1" s="1"/>
  <c r="R446" i="1"/>
  <c r="S147" i="1"/>
  <c r="T147" i="1" s="1"/>
  <c r="R147" i="1"/>
  <c r="S139" i="1"/>
  <c r="T139" i="1" s="1"/>
  <c r="R139" i="1"/>
  <c r="S133" i="1"/>
  <c r="T133" i="1" s="1"/>
  <c r="Z133" i="1"/>
  <c r="R133" i="1"/>
  <c r="X119" i="1"/>
  <c r="Z119" i="1" s="1"/>
  <c r="AI119" i="1" s="1"/>
  <c r="Y119" i="1"/>
  <c r="X86" i="1"/>
  <c r="Z86" i="1" s="1"/>
  <c r="AI86" i="1" s="1"/>
  <c r="Y86" i="1"/>
  <c r="Y122" i="1"/>
  <c r="S120" i="1"/>
  <c r="T120" i="1" s="1"/>
  <c r="X87" i="1"/>
  <c r="Z87" i="1" s="1"/>
  <c r="AI87" i="1" s="1"/>
  <c r="Y87" i="1"/>
  <c r="X66" i="1"/>
  <c r="Z66" i="1" s="1"/>
  <c r="AI66" i="1" s="1"/>
  <c r="Y66" i="1"/>
  <c r="X58" i="1"/>
  <c r="Z58" i="1" s="1"/>
  <c r="AI58" i="1" s="1"/>
  <c r="Y58" i="1"/>
  <c r="X50" i="1"/>
  <c r="Z50" i="1" s="1"/>
  <c r="AI50" i="1" s="1"/>
  <c r="Y50" i="1"/>
  <c r="X39" i="1"/>
  <c r="Z39" i="1" s="1"/>
  <c r="AI39" i="1" s="1"/>
  <c r="Y39" i="1"/>
  <c r="X123" i="1"/>
  <c r="Z123" i="1" s="1"/>
  <c r="AI123" i="1" s="1"/>
  <c r="Y123" i="1"/>
  <c r="R116" i="1"/>
  <c r="X111" i="1"/>
  <c r="Z111" i="1" s="1"/>
  <c r="AI111" i="1" s="1"/>
  <c r="Y111" i="1"/>
  <c r="X110" i="1"/>
  <c r="Z110" i="1" s="1"/>
  <c r="AI110" i="1" s="1"/>
  <c r="Y110" i="1"/>
  <c r="X109" i="1"/>
  <c r="Z109" i="1" s="1"/>
  <c r="AI109" i="1" s="1"/>
  <c r="Y109" i="1"/>
  <c r="Y104" i="1"/>
  <c r="X90" i="1"/>
  <c r="Z90" i="1" s="1"/>
  <c r="AI90" i="1" s="1"/>
  <c r="Y90" i="1"/>
  <c r="X67" i="1"/>
  <c r="Y67" i="1"/>
  <c r="X59" i="1"/>
  <c r="Z59" i="1" s="1"/>
  <c r="AI59" i="1" s="1"/>
  <c r="Y59" i="1"/>
  <c r="X51" i="1"/>
  <c r="Z51" i="1" s="1"/>
  <c r="AI51" i="1" s="1"/>
  <c r="Y51" i="1"/>
  <c r="Z118" i="1"/>
  <c r="AI118" i="1" s="1"/>
  <c r="X91" i="1"/>
  <c r="Z91" i="1" s="1"/>
  <c r="AI91" i="1" s="1"/>
  <c r="Y91" i="1"/>
  <c r="X73" i="1"/>
  <c r="Z73" i="1" s="1"/>
  <c r="AI73" i="1" s="1"/>
  <c r="Y73" i="1"/>
  <c r="X70" i="1"/>
  <c r="Z70" i="1" s="1"/>
  <c r="AI70" i="1" s="1"/>
  <c r="Y70" i="1"/>
  <c r="X60" i="1"/>
  <c r="Z60" i="1" s="1"/>
  <c r="AI60" i="1" s="1"/>
  <c r="Y60" i="1"/>
  <c r="X52" i="1"/>
  <c r="Z52" i="1" s="1"/>
  <c r="AI52" i="1" s="1"/>
  <c r="Y52" i="1"/>
  <c r="X40" i="1"/>
  <c r="Z40" i="1" s="1"/>
  <c r="AI40" i="1" s="1"/>
  <c r="Y40" i="1"/>
  <c r="X125" i="1"/>
  <c r="Z125" i="1" s="1"/>
  <c r="AI125" i="1" s="1"/>
  <c r="Y118" i="1"/>
  <c r="X107" i="1"/>
  <c r="Z107" i="1" s="1"/>
  <c r="AI107" i="1" s="1"/>
  <c r="Y107" i="1"/>
  <c r="X106" i="1"/>
  <c r="Z106" i="1" s="1"/>
  <c r="AI106" i="1" s="1"/>
  <c r="Y106" i="1"/>
  <c r="X105" i="1"/>
  <c r="Z105" i="1" s="1"/>
  <c r="AI105" i="1" s="1"/>
  <c r="Y105" i="1"/>
  <c r="X94" i="1"/>
  <c r="Z94" i="1" s="1"/>
  <c r="AI94" i="1" s="1"/>
  <c r="Y94" i="1"/>
  <c r="X77" i="1"/>
  <c r="Z77" i="1" s="1"/>
  <c r="AI77" i="1" s="1"/>
  <c r="Y77" i="1"/>
  <c r="X74" i="1"/>
  <c r="Z74" i="1" s="1"/>
  <c r="AI74" i="1" s="1"/>
  <c r="Y74" i="1"/>
  <c r="X61" i="1"/>
  <c r="Z61" i="1" s="1"/>
  <c r="AI61" i="1" s="1"/>
  <c r="Y61" i="1"/>
  <c r="X53" i="1"/>
  <c r="Z53" i="1" s="1"/>
  <c r="AI53" i="1" s="1"/>
  <c r="Y53" i="1"/>
  <c r="X121" i="1"/>
  <c r="Z121" i="1" s="1"/>
  <c r="AI121" i="1" s="1"/>
  <c r="Y121" i="1"/>
  <c r="X95" i="1"/>
  <c r="Z95" i="1" s="1"/>
  <c r="AI95" i="1" s="1"/>
  <c r="Y95" i="1"/>
  <c r="X78" i="1"/>
  <c r="Z78" i="1" s="1"/>
  <c r="AI78" i="1" s="1"/>
  <c r="Y78" i="1"/>
  <c r="X62" i="1"/>
  <c r="Z62" i="1" s="1"/>
  <c r="AI62" i="1" s="1"/>
  <c r="Y62" i="1"/>
  <c r="X54" i="1"/>
  <c r="Z54" i="1" s="1"/>
  <c r="AI54" i="1" s="1"/>
  <c r="Y54" i="1"/>
  <c r="Y116" i="1"/>
  <c r="Y112" i="1"/>
  <c r="X103" i="1"/>
  <c r="Z103" i="1" s="1"/>
  <c r="AI103" i="1" s="1"/>
  <c r="Y103" i="1"/>
  <c r="X102" i="1"/>
  <c r="Z102" i="1" s="1"/>
  <c r="AI102" i="1" s="1"/>
  <c r="Y102" i="1"/>
  <c r="X101" i="1"/>
  <c r="Z101" i="1" s="1"/>
  <c r="AI101" i="1" s="1"/>
  <c r="Y101" i="1"/>
  <c r="X98" i="1"/>
  <c r="Z98" i="1" s="1"/>
  <c r="AI98" i="1" s="1"/>
  <c r="Y98" i="1"/>
  <c r="X82" i="1"/>
  <c r="Z82" i="1" s="1"/>
  <c r="AI82" i="1" s="1"/>
  <c r="Y82" i="1"/>
  <c r="X63" i="1"/>
  <c r="Z63" i="1" s="1"/>
  <c r="AI63" i="1" s="1"/>
  <c r="Y63" i="1"/>
  <c r="X55" i="1"/>
  <c r="Z55" i="1" s="1"/>
  <c r="AI55" i="1" s="1"/>
  <c r="Y55" i="1"/>
  <c r="R135" i="1"/>
  <c r="R120" i="1"/>
  <c r="X117" i="1"/>
  <c r="Z117" i="1" s="1"/>
  <c r="AI117" i="1" s="1"/>
  <c r="Y117" i="1"/>
  <c r="X99" i="1"/>
  <c r="Z99" i="1" s="1"/>
  <c r="AI99" i="1" s="1"/>
  <c r="Y99" i="1"/>
  <c r="X83" i="1"/>
  <c r="Z83" i="1" s="1"/>
  <c r="AI83" i="1" s="1"/>
  <c r="Y83" i="1"/>
  <c r="X64" i="1"/>
  <c r="Z64" i="1" s="1"/>
  <c r="AI64" i="1" s="1"/>
  <c r="Y64" i="1"/>
  <c r="X56" i="1"/>
  <c r="Z56" i="1" s="1"/>
  <c r="AI56" i="1" s="1"/>
  <c r="Y56" i="1"/>
  <c r="X48" i="1"/>
  <c r="Z48" i="1" s="1"/>
  <c r="AI48" i="1" s="1"/>
  <c r="Y48" i="1"/>
  <c r="X65" i="1"/>
  <c r="Z65" i="1" s="1"/>
  <c r="AI65" i="1" s="1"/>
  <c r="Y65" i="1"/>
  <c r="X57" i="1"/>
  <c r="Z57" i="1" s="1"/>
  <c r="AI57" i="1" s="1"/>
  <c r="Y57" i="1"/>
  <c r="X49" i="1"/>
  <c r="Z49" i="1" s="1"/>
  <c r="AI49" i="1" s="1"/>
  <c r="Y49" i="1"/>
  <c r="Y97" i="1"/>
  <c r="Y93" i="1"/>
  <c r="Y89" i="1"/>
  <c r="Y85" i="1"/>
  <c r="Y81" i="1"/>
  <c r="Y47" i="1"/>
  <c r="Y42" i="1"/>
  <c r="Y41" i="1"/>
  <c r="Y68" i="1"/>
  <c r="S37" i="1"/>
  <c r="T37" i="1" s="1"/>
  <c r="Z37" i="1"/>
  <c r="AI37" i="1" s="1"/>
  <c r="Y37" i="1"/>
  <c r="R873" i="1"/>
  <c r="S873" i="1"/>
  <c r="T873" i="1" s="1"/>
  <c r="X873" i="1"/>
  <c r="Z873" i="1" s="1"/>
  <c r="R872" i="1"/>
  <c r="S872" i="1"/>
  <c r="T872" i="1" s="1"/>
  <c r="X872" i="1"/>
  <c r="Z872" i="1" s="1"/>
  <c r="R871" i="1"/>
  <c r="R870" i="1"/>
  <c r="S871" i="1"/>
  <c r="T871" i="1" s="1"/>
  <c r="X871" i="1"/>
  <c r="Z871" i="1" s="1"/>
  <c r="X870" i="1"/>
  <c r="Z870" i="1" s="1"/>
  <c r="R869" i="1"/>
  <c r="S869" i="1"/>
  <c r="T869" i="1" s="1"/>
  <c r="X869" i="1"/>
  <c r="Z869" i="1" s="1"/>
  <c r="R862" i="1"/>
  <c r="S862" i="1"/>
  <c r="T862" i="1" s="1"/>
  <c r="X862" i="1"/>
  <c r="Z862" i="1" s="1"/>
  <c r="R849" i="1"/>
  <c r="S854" i="1"/>
  <c r="T854" i="1" s="1"/>
  <c r="X854" i="1"/>
  <c r="Z854" i="1" s="1"/>
  <c r="R853" i="1"/>
  <c r="S853" i="1"/>
  <c r="T853" i="1" s="1"/>
  <c r="X853" i="1"/>
  <c r="Z853" i="1" s="1"/>
  <c r="R852" i="1"/>
  <c r="X852" i="1"/>
  <c r="Z852" i="1" s="1"/>
  <c r="S851" i="1"/>
  <c r="T851" i="1" s="1"/>
  <c r="X851" i="1"/>
  <c r="Z851" i="1" s="1"/>
  <c r="R850" i="1"/>
  <c r="S850" i="1"/>
  <c r="T850" i="1" s="1"/>
  <c r="X850" i="1"/>
  <c r="Z850" i="1" s="1"/>
  <c r="X849" i="1"/>
  <c r="Z849" i="1" s="1"/>
  <c r="R848" i="1"/>
  <c r="X848" i="1"/>
  <c r="Z848" i="1" s="1"/>
  <c r="R847" i="1"/>
  <c r="S847" i="1"/>
  <c r="T847" i="1" s="1"/>
  <c r="X847" i="1"/>
  <c r="Z847" i="1" s="1"/>
  <c r="R845" i="1"/>
  <c r="X845" i="1"/>
  <c r="Z845" i="1" s="1"/>
  <c r="R843" i="1"/>
  <c r="S843" i="1"/>
  <c r="T843" i="1" s="1"/>
  <c r="X843" i="1"/>
  <c r="Z843" i="1" s="1"/>
  <c r="R842" i="1"/>
  <c r="X842" i="1"/>
  <c r="Z842" i="1" s="1"/>
  <c r="Y834" i="1" l="1"/>
  <c r="Q834" i="1"/>
  <c r="H834" i="1"/>
  <c r="R774" i="1"/>
  <c r="Q774" i="1"/>
  <c r="S774" i="1"/>
  <c r="T774" i="1" s="1"/>
  <c r="Y773" i="1"/>
  <c r="Q773" i="1"/>
  <c r="H773" i="1"/>
  <c r="H772" i="1"/>
  <c r="S772" i="1" s="1"/>
  <c r="T772" i="1" s="1"/>
  <c r="Q772" i="1"/>
  <c r="Y772" i="1"/>
  <c r="Y771" i="1"/>
  <c r="Q771" i="1"/>
  <c r="H771" i="1"/>
  <c r="R771" i="1" s="1"/>
  <c r="R834" i="1" l="1"/>
  <c r="S834" i="1"/>
  <c r="T834" i="1" s="1"/>
  <c r="X834" i="1"/>
  <c r="Z834" i="1" s="1"/>
  <c r="Y774" i="1"/>
  <c r="X774" i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X765" i="1"/>
  <c r="H766" i="1"/>
  <c r="R766" i="1" s="1"/>
  <c r="Q766" i="1"/>
  <c r="X766" i="1"/>
  <c r="H767" i="1"/>
  <c r="R767" i="1" s="1"/>
  <c r="Q767" i="1"/>
  <c r="X767" i="1"/>
  <c r="H768" i="1"/>
  <c r="S768" i="1" s="1"/>
  <c r="T768" i="1" s="1"/>
  <c r="Q768" i="1"/>
  <c r="Y768" i="1"/>
  <c r="H769" i="1"/>
  <c r="R769" i="1" s="1"/>
  <c r="Q769" i="1"/>
  <c r="X769" i="1"/>
  <c r="H770" i="1"/>
  <c r="R770" i="1" s="1"/>
  <c r="Q770" i="1"/>
  <c r="X770" i="1"/>
  <c r="Y764" i="1"/>
  <c r="Q764" i="1"/>
  <c r="H764" i="1"/>
  <c r="Y763" i="1"/>
  <c r="Q763" i="1"/>
  <c r="Y762" i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Q627" i="1"/>
  <c r="R627" i="1"/>
  <c r="W627" i="1"/>
  <c r="Q628" i="1"/>
  <c r="R628" i="1"/>
  <c r="W628" i="1"/>
  <c r="Q629" i="1"/>
  <c r="R629" i="1"/>
  <c r="W629" i="1"/>
  <c r="Q630" i="1"/>
  <c r="R630" i="1"/>
  <c r="W630" i="1"/>
  <c r="Q631" i="1"/>
  <c r="R631" i="1"/>
  <c r="W631" i="1"/>
  <c r="Q632" i="1"/>
  <c r="R632" i="1"/>
  <c r="W632" i="1"/>
  <c r="Q633" i="1"/>
  <c r="R633" i="1"/>
  <c r="W633" i="1"/>
  <c r="Q634" i="1"/>
  <c r="R634" i="1"/>
  <c r="W634" i="1"/>
  <c r="Q635" i="1"/>
  <c r="R635" i="1"/>
  <c r="W635" i="1"/>
  <c r="Q636" i="1"/>
  <c r="R636" i="1"/>
  <c r="W636" i="1"/>
  <c r="Q637" i="1"/>
  <c r="R637" i="1"/>
  <c r="W637" i="1"/>
  <c r="Q638" i="1"/>
  <c r="R638" i="1"/>
  <c r="W638" i="1"/>
  <c r="Q639" i="1"/>
  <c r="R639" i="1"/>
  <c r="W639" i="1"/>
  <c r="Q640" i="1"/>
  <c r="R640" i="1"/>
  <c r="W640" i="1"/>
  <c r="Q641" i="1"/>
  <c r="R641" i="1"/>
  <c r="W641" i="1"/>
  <c r="Q642" i="1"/>
  <c r="R642" i="1"/>
  <c r="W642" i="1"/>
  <c r="Q643" i="1"/>
  <c r="R643" i="1"/>
  <c r="W643" i="1"/>
  <c r="Q644" i="1"/>
  <c r="R644" i="1"/>
  <c r="W644" i="1"/>
  <c r="Q645" i="1"/>
  <c r="R645" i="1"/>
  <c r="W645" i="1"/>
  <c r="Q646" i="1"/>
  <c r="R646" i="1"/>
  <c r="W646" i="1"/>
  <c r="Q647" i="1"/>
  <c r="R647" i="1"/>
  <c r="W647" i="1"/>
  <c r="Q648" i="1"/>
  <c r="R648" i="1"/>
  <c r="W648" i="1"/>
  <c r="Q649" i="1"/>
  <c r="R649" i="1"/>
  <c r="W649" i="1"/>
  <c r="Q650" i="1"/>
  <c r="R650" i="1"/>
  <c r="W650" i="1"/>
  <c r="Q651" i="1"/>
  <c r="R651" i="1"/>
  <c r="W651" i="1"/>
  <c r="Q652" i="1"/>
  <c r="R652" i="1"/>
  <c r="W652" i="1"/>
  <c r="Q653" i="1"/>
  <c r="R653" i="1"/>
  <c r="W653" i="1"/>
  <c r="Q654" i="1"/>
  <c r="R654" i="1"/>
  <c r="W654" i="1"/>
  <c r="Q655" i="1"/>
  <c r="R655" i="1"/>
  <c r="W655" i="1"/>
  <c r="Q656" i="1"/>
  <c r="R656" i="1"/>
  <c r="W656" i="1"/>
  <c r="Q657" i="1"/>
  <c r="R657" i="1"/>
  <c r="W657" i="1"/>
  <c r="Q658" i="1"/>
  <c r="R658" i="1"/>
  <c r="W658" i="1"/>
  <c r="Q659" i="1"/>
  <c r="R659" i="1"/>
  <c r="W659" i="1"/>
  <c r="Q660" i="1"/>
  <c r="R660" i="1"/>
  <c r="W660" i="1"/>
  <c r="Q661" i="1"/>
  <c r="R661" i="1"/>
  <c r="W661" i="1"/>
  <c r="Q662" i="1"/>
  <c r="R662" i="1"/>
  <c r="W662" i="1"/>
  <c r="Q663" i="1"/>
  <c r="R663" i="1"/>
  <c r="W663" i="1"/>
  <c r="Q664" i="1"/>
  <c r="R664" i="1"/>
  <c r="W664" i="1"/>
  <c r="Q665" i="1"/>
  <c r="R665" i="1"/>
  <c r="W665" i="1"/>
  <c r="Q666" i="1"/>
  <c r="R666" i="1"/>
  <c r="W666" i="1"/>
  <c r="Q667" i="1"/>
  <c r="R667" i="1"/>
  <c r="W667" i="1"/>
  <c r="Q668" i="1"/>
  <c r="R668" i="1"/>
  <c r="W668" i="1"/>
  <c r="Q669" i="1"/>
  <c r="R669" i="1"/>
  <c r="W669" i="1"/>
  <c r="Q670" i="1"/>
  <c r="R670" i="1"/>
  <c r="W670" i="1"/>
  <c r="Q671" i="1"/>
  <c r="R671" i="1"/>
  <c r="W671" i="1"/>
  <c r="Q672" i="1"/>
  <c r="R672" i="1"/>
  <c r="W672" i="1"/>
  <c r="Q673" i="1"/>
  <c r="R673" i="1"/>
  <c r="W673" i="1"/>
  <c r="Q674" i="1"/>
  <c r="R674" i="1"/>
  <c r="W674" i="1"/>
  <c r="Q675" i="1"/>
  <c r="R675" i="1"/>
  <c r="W675" i="1"/>
  <c r="Q676" i="1"/>
  <c r="R676" i="1"/>
  <c r="W676" i="1"/>
  <c r="Q677" i="1"/>
  <c r="R677" i="1"/>
  <c r="W677" i="1"/>
  <c r="Q678" i="1"/>
  <c r="R678" i="1"/>
  <c r="W678" i="1"/>
  <c r="Q679" i="1"/>
  <c r="R679" i="1"/>
  <c r="W679" i="1"/>
  <c r="Q680" i="1"/>
  <c r="R680" i="1"/>
  <c r="W680" i="1"/>
  <c r="Q681" i="1"/>
  <c r="R681" i="1"/>
  <c r="W681" i="1"/>
  <c r="Q682" i="1"/>
  <c r="R682" i="1"/>
  <c r="W682" i="1"/>
  <c r="Q683" i="1"/>
  <c r="R683" i="1"/>
  <c r="W683" i="1"/>
  <c r="Q684" i="1"/>
  <c r="R684" i="1"/>
  <c r="W684" i="1"/>
  <c r="Q685" i="1"/>
  <c r="R685" i="1"/>
  <c r="W685" i="1"/>
  <c r="Q686" i="1"/>
  <c r="R686" i="1"/>
  <c r="W686" i="1"/>
  <c r="Q687" i="1"/>
  <c r="R687" i="1"/>
  <c r="W687" i="1"/>
  <c r="Q688" i="1"/>
  <c r="R688" i="1"/>
  <c r="W688" i="1"/>
  <c r="Q689" i="1"/>
  <c r="R689" i="1"/>
  <c r="W689" i="1"/>
  <c r="Q690" i="1"/>
  <c r="R690" i="1"/>
  <c r="W690" i="1"/>
  <c r="Q691" i="1"/>
  <c r="R691" i="1"/>
  <c r="W691" i="1"/>
  <c r="Q692" i="1"/>
  <c r="R692" i="1"/>
  <c r="W692" i="1"/>
  <c r="Q693" i="1"/>
  <c r="R693" i="1"/>
  <c r="W693" i="1"/>
  <c r="Q694" i="1"/>
  <c r="R694" i="1"/>
  <c r="W694" i="1"/>
  <c r="Q695" i="1"/>
  <c r="R695" i="1"/>
  <c r="W695" i="1"/>
  <c r="Q696" i="1"/>
  <c r="R696" i="1"/>
  <c r="W696" i="1"/>
  <c r="Q697" i="1"/>
  <c r="R697" i="1"/>
  <c r="W697" i="1"/>
  <c r="Q698" i="1"/>
  <c r="R698" i="1"/>
  <c r="W698" i="1"/>
  <c r="Q699" i="1"/>
  <c r="R699" i="1"/>
  <c r="W699" i="1"/>
  <c r="Q700" i="1"/>
  <c r="R700" i="1"/>
  <c r="W700" i="1"/>
  <c r="Q701" i="1"/>
  <c r="R701" i="1"/>
  <c r="W701" i="1"/>
  <c r="Q702" i="1"/>
  <c r="R702" i="1"/>
  <c r="W702" i="1"/>
  <c r="Q703" i="1"/>
  <c r="R703" i="1"/>
  <c r="W703" i="1"/>
  <c r="Q704" i="1"/>
  <c r="R704" i="1"/>
  <c r="W704" i="1"/>
  <c r="Q705" i="1"/>
  <c r="R705" i="1"/>
  <c r="W705" i="1"/>
  <c r="Q706" i="1"/>
  <c r="R706" i="1"/>
  <c r="W706" i="1"/>
  <c r="Q707" i="1"/>
  <c r="R707" i="1"/>
  <c r="W707" i="1"/>
  <c r="Q708" i="1"/>
  <c r="R708" i="1"/>
  <c r="W708" i="1"/>
  <c r="Q709" i="1"/>
  <c r="R709" i="1"/>
  <c r="W709" i="1"/>
  <c r="Q710" i="1"/>
  <c r="R710" i="1"/>
  <c r="W710" i="1"/>
  <c r="Q711" i="1"/>
  <c r="R711" i="1"/>
  <c r="W711" i="1"/>
  <c r="Q712" i="1"/>
  <c r="R712" i="1"/>
  <c r="W712" i="1"/>
  <c r="Q713" i="1"/>
  <c r="R713" i="1"/>
  <c r="W713" i="1"/>
  <c r="Q714" i="1"/>
  <c r="R714" i="1"/>
  <c r="W714" i="1"/>
  <c r="Q715" i="1"/>
  <c r="R715" i="1"/>
  <c r="W715" i="1"/>
  <c r="Q716" i="1"/>
  <c r="R716" i="1"/>
  <c r="W716" i="1"/>
  <c r="Q717" i="1"/>
  <c r="R717" i="1"/>
  <c r="W717" i="1"/>
  <c r="Q718" i="1"/>
  <c r="R718" i="1"/>
  <c r="W718" i="1"/>
  <c r="Q719" i="1"/>
  <c r="R719" i="1"/>
  <c r="W719" i="1"/>
  <c r="Q720" i="1"/>
  <c r="R720" i="1"/>
  <c r="W720" i="1"/>
  <c r="Q721" i="1"/>
  <c r="R721" i="1"/>
  <c r="W721" i="1"/>
  <c r="Q722" i="1"/>
  <c r="R722" i="1"/>
  <c r="W722" i="1"/>
  <c r="Q723" i="1"/>
  <c r="R723" i="1"/>
  <c r="W723" i="1"/>
  <c r="Q724" i="1"/>
  <c r="R724" i="1"/>
  <c r="W724" i="1"/>
  <c r="Q725" i="1"/>
  <c r="R725" i="1"/>
  <c r="W725" i="1"/>
  <c r="Q726" i="1"/>
  <c r="R726" i="1"/>
  <c r="W726" i="1"/>
  <c r="Q727" i="1"/>
  <c r="R727" i="1"/>
  <c r="W727" i="1"/>
  <c r="Q728" i="1"/>
  <c r="R728" i="1"/>
  <c r="W728" i="1"/>
  <c r="Q729" i="1"/>
  <c r="R729" i="1"/>
  <c r="W729" i="1"/>
  <c r="Q730" i="1"/>
  <c r="R730" i="1"/>
  <c r="W730" i="1"/>
  <c r="Q731" i="1"/>
  <c r="R731" i="1"/>
  <c r="W731" i="1"/>
  <c r="Q732" i="1"/>
  <c r="R732" i="1"/>
  <c r="W732" i="1"/>
  <c r="Q733" i="1"/>
  <c r="R733" i="1"/>
  <c r="W733" i="1"/>
  <c r="Q734" i="1"/>
  <c r="R734" i="1"/>
  <c r="W734" i="1"/>
  <c r="Q735" i="1"/>
  <c r="R735" i="1"/>
  <c r="W735" i="1"/>
  <c r="Q736" i="1"/>
  <c r="R736" i="1"/>
  <c r="W736" i="1"/>
  <c r="Q737" i="1"/>
  <c r="R737" i="1"/>
  <c r="W737" i="1"/>
  <c r="Q738" i="1"/>
  <c r="R738" i="1"/>
  <c r="W738" i="1"/>
  <c r="Q739" i="1"/>
  <c r="R739" i="1"/>
  <c r="W739" i="1"/>
  <c r="Q740" i="1"/>
  <c r="R740" i="1"/>
  <c r="W740" i="1"/>
  <c r="Q741" i="1"/>
  <c r="R741" i="1"/>
  <c r="W741" i="1"/>
  <c r="Q742" i="1"/>
  <c r="R742" i="1"/>
  <c r="W742" i="1"/>
  <c r="Q743" i="1"/>
  <c r="R743" i="1"/>
  <c r="W743" i="1"/>
  <c r="Q744" i="1"/>
  <c r="R744" i="1"/>
  <c r="W744" i="1"/>
  <c r="Q745" i="1"/>
  <c r="R745" i="1"/>
  <c r="W745" i="1"/>
  <c r="Q746" i="1"/>
  <c r="R746" i="1"/>
  <c r="W746" i="1"/>
  <c r="Q747" i="1"/>
  <c r="R747" i="1"/>
  <c r="W747" i="1"/>
  <c r="Q748" i="1"/>
  <c r="R748" i="1"/>
  <c r="W748" i="1"/>
  <c r="Q749" i="1"/>
  <c r="R749" i="1"/>
  <c r="W749" i="1"/>
  <c r="Q750" i="1"/>
  <c r="R750" i="1"/>
  <c r="W750" i="1"/>
  <c r="Q751" i="1"/>
  <c r="R751" i="1"/>
  <c r="W751" i="1"/>
  <c r="Q752" i="1"/>
  <c r="R752" i="1"/>
  <c r="W752" i="1"/>
  <c r="Q753" i="1"/>
  <c r="R753" i="1"/>
  <c r="W753" i="1"/>
  <c r="Q754" i="1"/>
  <c r="R754" i="1"/>
  <c r="W754" i="1"/>
  <c r="Q755" i="1"/>
  <c r="R755" i="1"/>
  <c r="W755" i="1"/>
  <c r="Q756" i="1"/>
  <c r="R756" i="1"/>
  <c r="W756" i="1"/>
  <c r="Q757" i="1"/>
  <c r="R757" i="1"/>
  <c r="W757" i="1"/>
  <c r="Q758" i="1"/>
  <c r="R758" i="1"/>
  <c r="W758" i="1"/>
  <c r="Q759" i="1"/>
  <c r="R759" i="1"/>
  <c r="W759" i="1"/>
  <c r="Q760" i="1"/>
  <c r="R760" i="1"/>
  <c r="W760" i="1"/>
  <c r="Q761" i="1"/>
  <c r="R761" i="1"/>
  <c r="W761" i="1"/>
  <c r="Q625" i="1"/>
  <c r="W625" i="1"/>
  <c r="Q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4" i="1"/>
  <c r="W624" i="1"/>
  <c r="H624" i="1"/>
  <c r="S624" i="1" s="1"/>
  <c r="S765" i="1" l="1"/>
  <c r="T765" i="1" s="1"/>
  <c r="Y770" i="1"/>
  <c r="Z770" i="1"/>
  <c r="Y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Y454" i="1" l="1"/>
  <c r="Y458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3" i="1" l="1"/>
  <c r="X453" i="1"/>
  <c r="Y452" i="1"/>
  <c r="X452" i="1"/>
  <c r="X455" i="1"/>
  <c r="Y455" i="1"/>
  <c r="Y456" i="1"/>
  <c r="X456" i="1"/>
  <c r="X457" i="1"/>
  <c r="Y457" i="1"/>
  <c r="X454" i="1"/>
  <c r="X458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AK439" i="1"/>
  <c r="AO439" i="1"/>
  <c r="W439" i="1" s="1"/>
  <c r="AP439" i="1"/>
  <c r="AQ439" i="1"/>
  <c r="AR439" i="1"/>
  <c r="X440" i="1"/>
  <c r="X465" i="1"/>
  <c r="X466" i="1"/>
  <c r="X470" i="1"/>
  <c r="X473" i="1"/>
  <c r="X474" i="1"/>
  <c r="X481" i="1"/>
  <c r="X482" i="1"/>
  <c r="X489" i="1"/>
  <c r="X490" i="1"/>
  <c r="X497" i="1"/>
  <c r="X498" i="1"/>
  <c r="X504" i="1"/>
  <c r="X505" i="1"/>
  <c r="X512" i="1"/>
  <c r="X513" i="1"/>
  <c r="X520" i="1"/>
  <c r="X521" i="1"/>
  <c r="X528" i="1"/>
  <c r="X529" i="1"/>
  <c r="X536" i="1"/>
  <c r="X537" i="1"/>
  <c r="X544" i="1"/>
  <c r="X545" i="1"/>
  <c r="X552" i="1"/>
  <c r="X553" i="1"/>
  <c r="X560" i="1"/>
  <c r="Z560" i="1" s="1"/>
  <c r="X561" i="1"/>
  <c r="Z561" i="1" s="1"/>
  <c r="X569" i="1"/>
  <c r="Z569" i="1" s="1"/>
  <c r="X574" i="1"/>
  <c r="Z574" i="1" s="1"/>
  <c r="Y575" i="1"/>
  <c r="X576" i="1"/>
  <c r="Z576" i="1" s="1"/>
  <c r="X580" i="1"/>
  <c r="Z580" i="1" s="1"/>
  <c r="X582" i="1"/>
  <c r="Z582" i="1" s="1"/>
  <c r="X586" i="1"/>
  <c r="Z586" i="1" s="1"/>
  <c r="X590" i="1"/>
  <c r="Z590" i="1" s="1"/>
  <c r="Y591" i="1"/>
  <c r="X592" i="1"/>
  <c r="Z592" i="1" s="1"/>
  <c r="X593" i="1"/>
  <c r="Z593" i="1" s="1"/>
  <c r="X594" i="1"/>
  <c r="Z594" i="1" s="1"/>
  <c r="X596" i="1"/>
  <c r="Z596" i="1" s="1"/>
  <c r="R599" i="1"/>
  <c r="Q440" i="1"/>
  <c r="Q441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H439" i="1"/>
  <c r="AU439" i="1" s="1"/>
  <c r="Y439" i="1"/>
  <c r="Q439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U440" i="1" l="1"/>
  <c r="AT440" i="1" s="1"/>
  <c r="AV443" i="1"/>
  <c r="AS443" i="1" s="1"/>
  <c r="AU443" i="1"/>
  <c r="AT443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T440" i="1"/>
  <c r="AV440" i="1"/>
  <c r="AS440" i="1" s="1"/>
  <c r="AT439" i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T458" i="1"/>
  <c r="R458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R459" i="1"/>
  <c r="R460" i="1"/>
  <c r="R461" i="1"/>
  <c r="R462" i="1"/>
  <c r="R463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R601" i="1"/>
  <c r="T593" i="1"/>
  <c r="R529" i="1"/>
  <c r="Z521" i="1"/>
  <c r="R490" i="1"/>
  <c r="R466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AK128" i="1" l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X80" i="1"/>
  <c r="Q115" i="1"/>
  <c r="X115" i="1"/>
  <c r="X2" i="1"/>
  <c r="X3" i="1"/>
  <c r="X4" i="1"/>
  <c r="X5" i="1"/>
  <c r="X6" i="1"/>
  <c r="X7" i="1"/>
  <c r="X8" i="1"/>
  <c r="X9" i="1"/>
  <c r="Y10" i="1"/>
  <c r="X11" i="1"/>
  <c r="Y12" i="1"/>
  <c r="X13" i="1"/>
  <c r="X14" i="1"/>
  <c r="Y15" i="1"/>
  <c r="X16" i="1"/>
  <c r="Y17" i="1"/>
  <c r="X18" i="1"/>
  <c r="Y19" i="1"/>
  <c r="X20" i="1"/>
  <c r="X21" i="1"/>
  <c r="X22" i="1"/>
  <c r="Y23" i="1"/>
  <c r="X24" i="1"/>
  <c r="Y25" i="1"/>
  <c r="X26" i="1"/>
  <c r="Y27" i="1"/>
  <c r="Y353" i="1"/>
  <c r="X354" i="1"/>
  <c r="X153" i="1"/>
  <c r="X154" i="1"/>
  <c r="Y155" i="1"/>
  <c r="Y156" i="1"/>
  <c r="X157" i="1"/>
  <c r="X158" i="1"/>
  <c r="Y159" i="1"/>
  <c r="Y160" i="1"/>
  <c r="X161" i="1"/>
  <c r="Y162" i="1"/>
  <c r="Y163" i="1"/>
  <c r="X164" i="1"/>
  <c r="X165" i="1"/>
  <c r="X166" i="1"/>
  <c r="Y167" i="1"/>
  <c r="X168" i="1"/>
  <c r="X169" i="1"/>
  <c r="Y170" i="1"/>
  <c r="Y171" i="1"/>
  <c r="X172" i="1"/>
  <c r="X173" i="1"/>
  <c r="X174" i="1"/>
  <c r="Y175" i="1"/>
  <c r="Y176" i="1"/>
  <c r="X177" i="1"/>
  <c r="X178" i="1"/>
  <c r="Y179" i="1"/>
  <c r="Y180" i="1"/>
  <c r="Y181" i="1"/>
  <c r="X182" i="1"/>
  <c r="Y183" i="1"/>
  <c r="X184" i="1"/>
  <c r="X185" i="1"/>
  <c r="Y186" i="1"/>
  <c r="Y187" i="1"/>
  <c r="Y188" i="1"/>
  <c r="Y189" i="1"/>
  <c r="X190" i="1"/>
  <c r="Y191" i="1"/>
  <c r="X192" i="1"/>
  <c r="X193" i="1"/>
  <c r="Y194" i="1"/>
  <c r="Y195" i="1"/>
  <c r="X196" i="1"/>
  <c r="X197" i="1"/>
  <c r="X198" i="1"/>
  <c r="X199" i="1"/>
  <c r="X200" i="1"/>
  <c r="X201" i="1"/>
  <c r="X202" i="1"/>
  <c r="X203" i="1"/>
  <c r="X204" i="1"/>
  <c r="Y205" i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X28" i="1"/>
  <c r="X29" i="1"/>
  <c r="X30" i="1"/>
  <c r="Y31" i="1"/>
  <c r="X32" i="1"/>
  <c r="X33" i="1"/>
  <c r="Y34" i="1"/>
  <c r="X35" i="1"/>
  <c r="Y36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AU115" i="1" l="1"/>
  <c r="AT115" i="1" s="1"/>
  <c r="S35" i="1"/>
  <c r="T3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S28" i="1"/>
  <c r="T28" i="1" s="1"/>
  <c r="T115" i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T9" i="1"/>
  <c r="R9" i="1"/>
  <c r="Z9" i="1"/>
  <c r="R17" i="1"/>
  <c r="T17" i="1"/>
  <c r="AI17" i="1"/>
  <c r="T25" i="1"/>
  <c r="R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AI27" i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AI16" i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Z36" i="1"/>
  <c r="AI36" i="1" s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<sst xmlns="http://schemas.openxmlformats.org/spreadsheetml/2006/main" count="34334" uniqueCount="5935">
  <si>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</si>
  <si>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</si>
  <si>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</si>
  <si>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</si>
  <si>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</si>
  <si>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</si>
  <si>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</si>
  <si>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</si>
  <si>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</si>
  <si>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</si>
  <si>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</si>
  <si>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</si>
  <si>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</si>
  <si>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</si>
  <si>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</si>
  <si>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</si>
  <si>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</si>
  <si>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</si>
  <si>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</si>
  <si>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</si>
  <si>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</si>
  <si>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</si>
  <si>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</si>
  <si>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</si>
  <si>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</si>
  <si>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</si>
  <si>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</si>
  <si>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</si>
  <si>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</si>
  <si>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</si>
  <si>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</si>
  <si>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</si>
  <si>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</si>
  <si>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</si>
  <si>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</si>
  <si>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</si>
  <si>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</si>
  <si>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</si>
  <si>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</si>
  <si>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</si>
  <si>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</si>
  <si>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</si>
  <si>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</si>
  <si>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</si>
  <si>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</si>
  <si>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</si>
  <si>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</si>
  <si>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</si>
  <si>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</si>
  <si>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</si>
  <si>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</si>
  <si>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</si>
  <si>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</si>
  <si>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</si>
  <si>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</si>
  <si>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</si>
  <si>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</si>
  <si>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</si>
  <si>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</si>
  <si>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</si>
  <si>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</si>
  <si>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</si>
  <si>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</si>
  <si>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</si>
  <si>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</si>
  <si>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</si>
  <si>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</si>
  <si>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</si>
  <si>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</si>
  <si>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</si>
  <si>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</si>
  <si>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</si>
  <si>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</si>
  <si>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</si>
  <si>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</si>
  <si>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</si>
  <si>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</si>
  <si>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</si>
  <si>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</si>
  <si>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</si>
  <si>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</si>
  <si>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</si>
  <si>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</si>
  <si>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</si>
  <si>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</si>
  <si>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</si>
  <si>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</si>
  <si>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</si>
  <si>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</si>
  <si>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</si>
  <si>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</si>
  <si>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</si>
  <si>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</si>
  <si>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</si>
  <si>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</si>
  <si>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</si>
  <si>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</si>
  <si>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</si>
  <si>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</si>
  <si>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</si>
  <si>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</si>
  <si>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</si>
  <si>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</si>
  <si>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</si>
  <si>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</si>
  <si>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</si>
  <si>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</si>
  <si>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</si>
  <si>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</si>
  <si>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</si>
  <si>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</si>
  <si>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</si>
  <si>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</si>
  <si>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</si>
  <si>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</si>
  <si>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</si>
  <si>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</si>
  <si>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</si>
  <si>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</si>
  <si>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</si>
  <si>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</si>
  <si>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</si>
  <si>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</si>
  <si>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</si>
  <si>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</si>
  <si>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</si>
  <si>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</si>
  <si>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</si>
  <si>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</si>
  <si>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</si>
  <si>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</si>
  <si>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</si>
  <si>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</si>
  <si>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</si>
  <si>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</si>
  <si>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</si>
  <si>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</si>
  <si>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</si>
  <si>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</si>
  <si>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</si>
  <si>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</si>
  <si>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</si>
  <si>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</si>
  <si>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</si>
  <si>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</si>
  <si>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</si>
  <si>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</si>
  <si>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</si>
  <si>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</si>
  <si>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</si>
  <si>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</si>
  <si>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</si>
  <si>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</si>
  <si>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</si>
  <si>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</si>
  <si>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</si>
  <si>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</si>
  <si>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</si>
  <si>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</si>
  <si>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</si>
  <si>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</si>
  <si>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</si>
  <si>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</si>
  <si>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</si>
  <si>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</si>
  <si>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</si>
  <si>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</si>
  <si>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</si>
  <si>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</si>
  <si>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</si>
  <si>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</si>
  <si>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</si>
  <si>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</si>
  <si>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</si>
  <si>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</si>
  <si>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</si>
  <si>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</si>
  <si>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</si>
  <si>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</si>
  <si>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</si>
  <si>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</si>
  <si>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</si>
  <si>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</si>
  <si>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</si>
  <si>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</si>
  <si>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</si>
  <si>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</si>
  <si>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</si>
  <si>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</si>
  <si>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</si>
  <si>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</si>
  <si>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</si>
  <si>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</si>
  <si>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</si>
  <si>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</si>
  <si>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</si>
  <si>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</si>
  <si>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</si>
  <si>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</si>
  <si>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</si>
  <si>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</si>
  <si>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</si>
  <si>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</si>
  <si>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</si>
  <si>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</si>
  <si>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</si>
  <si>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</si>
  <si>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</si>
  <si>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</si>
  <si>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</si>
  <si>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</si>
  <si>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</si>
  <si>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</si>
  <si>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</si>
  <si>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</si>
  <si>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</si>
  <si>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</si>
  <si>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</si>
  <si>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</si>
  <si>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</si>
  <si>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</si>
  <si>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</si>
  <si>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</si>
  <si>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</si>
  <si>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</si>
  <si>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</si>
  <si>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</si>
  <si>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</si>
  <si>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</si>
  <si>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</si>
  <si>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</si>
  <si>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</si>
  <si>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</si>
  <si>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</si>
  <si>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</si>
  <si>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</si>
  <si>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</si>
  <si>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</si>
  <si>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</si>
  <si>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</si>
  <si>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</si>
  <si>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</si>
  <si>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</si>
  <si>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</si>
  <si>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</si>
  <si>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</si>
  <si>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</si>
  <si>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</si>
  <si>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</si>
  <si>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</si>
  <si>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</si>
  <si>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</si>
  <si>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</si>
  <si>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</si>
  <si>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</si>
  <si>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</si>
  <si>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</si>
  <si>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</si>
  <si>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</si>
  <si>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</si>
  <si>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</si>
  <si>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</si>
  <si>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</si>
  <si>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</si>
  <si>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</si>
  <si>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</si>
  <si>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</si>
  <si>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</si>
  <si>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</si>
  <si>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</si>
  <si>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</si>
  <si>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</si>
  <si>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</si>
  <si>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</si>
  <si>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</si>
  <si>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</si>
  <si>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</si>
  <si>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</si>
  <si>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</si>
  <si>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</si>
  <si>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</si>
  <si>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</si>
  <si>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</si>
  <si>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</si>
  <si>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</si>
  <si>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</si>
  <si>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</si>
  <si>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</si>
  <si>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</si>
  <si>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</si>
  <si>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</si>
  <si>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</si>
  <si>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</si>
  <si>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</si>
  <si>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</si>
  <si>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</si>
  <si>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</si>
  <si>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</si>
  <si>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</si>
  <si>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</si>
  <si>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</si>
  <si>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</si>
  <si>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</si>
  <si>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</si>
  <si>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</si>
  <si>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</si>
  <si>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</si>
  <si>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</si>
  <si>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</si>
  <si>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</si>
  <si>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</si>
  <si>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</si>
  <si>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</si>
  <si>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</si>
  <si>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</si>
  <si>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</si>
  <si>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</si>
  <si>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</si>
  <si>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</si>
  <si>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</si>
  <si>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</si>
  <si>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</si>
  <si>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</si>
  <si>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</si>
  <si>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</si>
  <si>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</si>
  <si>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</si>
  <si>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</si>
  <si>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</si>
  <si>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</si>
  <si>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</si>
  <si>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</si>
  <si>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</si>
  <si>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</si>
  <si>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</si>
  <si>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</si>
  <si>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</si>
  <si>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</si>
  <si>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</si>
  <si>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</si>
  <si>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</si>
  <si>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</si>
  <si>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</si>
  <si>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</si>
  <si>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</si>
  <si>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</si>
  <si>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</si>
  <si>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</si>
  <si>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</si>
  <si>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</si>
  <si>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</si>
  <si>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</si>
  <si>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</si>
  <si>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</si>
  <si>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</si>
  <si>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</si>
  <si>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</si>
  <si>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</si>
  <si>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</si>
  <si>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</si>
  <si>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</si>
  <si>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</si>
  <si>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</si>
  <si>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</si>
  <si>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</si>
  <si>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</si>
  <si>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</si>
  <si>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</si>
  <si>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</si>
  <si>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</si>
  <si>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</si>
  <si>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</si>
  <si>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</si>
  <si>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</si>
  <si>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</si>
  <si>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</si>
  <si>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</si>
  <si>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</si>
  <si>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</si>
  <si>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</si>
  <si>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</si>
  <si>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</si>
  <si>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</si>
  <si>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</si>
  <si>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</si>
  <si>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</si>
  <si>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</si>
  <si>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</si>
  <si>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</si>
  <si>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</si>
  <si>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</si>
  <si>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</si>
  <si>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</si>
  <si>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</si>
  <si>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</si>
  <si>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</si>
  <si>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</si>
  <si>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</si>
  <si>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</si>
  <si>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</si>
  <si>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</si>
  <si>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</si>
  <si>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</si>
  <si>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</si>
  <si>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</si>
  <si>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</si>
  <si>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</si>
  <si>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</si>
  <si>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</si>
  <si>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</si>
  <si>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</si>
  <si>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</si>
  <si>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</si>
  <si>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</si>
  <si>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</si>
  <si>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</si>
  <si>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</si>
  <si>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</si>
  <si>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</si>
  <si>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</si>
  <si>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</si>
  <si>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</si>
  <si>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</si>
  <si>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</si>
  <si>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</si>
  <si>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</si>
  <si>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</si>
  <si>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</si>
  <si>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</si>
  <si>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</si>
  <si>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</si>
  <si>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</si>
  <si>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</si>
  <si>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</si>
  <si>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</si>
  <si>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</si>
  <si>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</si>
  <si>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</si>
  <si>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</si>
  <si>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</si>
  <si>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</si>
  <si>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</si>
  <si>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</si>
  <si>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</si>
  <si>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</si>
  <si>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</si>
  <si>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</si>
  <si>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</si>
  <si>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</si>
  <si>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</si>
  <si>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</si>
  <si>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</si>
  <si>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</si>
  <si>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</si>
  <si>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</si>
  <si>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</si>
  <si>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</si>
  <si>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</si>
  <si>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</si>
  <si>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</si>
  <si>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</si>
  <si>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</si>
  <si>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</si>
  <si>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</si>
  <si>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</si>
  <si>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</si>
  <si>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</si>
  <si>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</si>
  <si>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</si>
  <si>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</si>
  <si>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</si>
  <si>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</si>
  <si>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</si>
  <si>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</si>
  <si>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</si>
  <si>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</si>
  <si>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</si>
  <si>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</si>
  <si>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</si>
  <si>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</si>
  <si>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</si>
  <si>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</si>
  <si>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</si>
  <si>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</si>
  <si>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</si>
  <si>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</si>
  <si>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</si>
  <si>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</si>
  <si>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</si>
  <si>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</si>
  <si>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</si>
  <si>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</si>
  <si>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</si>
  <si>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</si>
  <si>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</si>
  <si>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</si>
  <si>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</si>
  <si>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</si>
  <si>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</si>
  <si>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</si>
  <si>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</si>
  <si>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</si>
  <si>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</si>
  <si>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</si>
  <si>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</si>
  <si>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</si>
  <si>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</si>
  <si>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</si>
  <si>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</si>
  <si>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</si>
  <si>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</si>
  <si>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</si>
  <si>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</si>
  <si>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</si>
  <si>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</si>
  <si>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</si>
  <si>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</si>
  <si>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</si>
  <si>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</si>
  <si>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</si>
  <si>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</si>
  <si>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</si>
  <si>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</si>
  <si>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</si>
  <si>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</si>
  <si>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</si>
  <si>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</si>
  <si>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</si>
  <si>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</si>
  <si>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</si>
  <si>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</si>
  <si>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</si>
  <si>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</si>
  <si>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</si>
  <si>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</si>
  <si>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</si>
  <si>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</si>
  <si>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</si>
  <si>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</si>
  <si>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</si>
  <si>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</si>
  <si>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</si>
  <si>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</si>
  <si>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</si>
  <si>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</si>
  <si>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</si>
  <si>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</si>
  <si>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</si>
  <si>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</si>
  <si>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</si>
  <si>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</si>
  <si>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</si>
  <si>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</si>
  <si>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</si>
  <si>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</si>
  <si>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</si>
  <si>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</si>
  <si>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</si>
  <si>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</si>
  <si>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</si>
  <si>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</si>
  <si>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</si>
  <si>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</si>
  <si>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</si>
  <si>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</si>
  <si>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</si>
  <si>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</si>
  <si>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</si>
  <si>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</si>
  <si>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</si>
  <si>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</si>
  <si>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</si>
  <si>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</si>
  <si>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</si>
  <si>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</si>
  <si>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</si>
  <si>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</si>
  <si>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</si>
  <si>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</si>
  <si>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</si>
  <si>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</si>
  <si>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</si>
  <si>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</si>
  <si>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</si>
  <si>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</si>
  <si>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</si>
  <si>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</si>
  <si>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</si>
  <si>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</si>
  <si>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</si>
  <si>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</si>
  <si>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</si>
  <si>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</si>
  <si>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</si>
  <si>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</si>
  <si>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</si>
  <si>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</si>
  <si>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</si>
  <si>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</si>
  <si>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</si>
  <si>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</si>
  <si>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</si>
  <si>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</si>
  <si>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</si>
  <si>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</si>
  <si>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</si>
  <si>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</si>
  <si>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</si>
  <si>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</si>
  <si>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</si>
  <si>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</si>
  <si>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</si>
  <si>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</si>
  <si>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</si>
  <si>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</si>
  <si>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</si>
  <si>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</si>
  <si>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</si>
  <si>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</si>
  <si>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</si>
  <si>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</si>
  <si>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</si>
  <si>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</si>
  <si>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</si>
  <si>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</si>
  <si>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</si>
  <si>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</si>
  <si>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</si>
  <si>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</si>
  <si>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</si>
  <si>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</si>
  <si>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</si>
  <si>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</si>
  <si>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</si>
  <si>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</si>
  <si>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</si>
  <si>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</si>
  <si>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</si>
  <si>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</si>
  <si>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</si>
  <si>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</si>
  <si>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</si>
  <si>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</si>
  <si>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</si>
  <si>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</si>
  <si>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</si>
  <si>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</si>
  <si>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</si>
  <si>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</si>
  <si>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</si>
  <si>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</si>
  <si>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</si>
  <si>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</si>
  <si>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</si>
  <si>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</si>
  <si>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</si>
  <si>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</si>
  <si>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</si>
  <si>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</si>
  <si>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</si>
  <si>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</si>
  <si>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</si>
  <si>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</si>
  <si>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</si>
  <si>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</si>
  <si>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</si>
  <si>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</si>
  <si>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</si>
  <si>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</si>
  <si>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</si>
  <si>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</si>
  <si>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</si>
  <si>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</si>
  <si>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</si>
  <si>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</si>
  <si>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</si>
  <si>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</si>
  <si>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</si>
  <si>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</si>
  <si>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</si>
  <si>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</si>
  <si>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</si>
  <si>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</si>
  <si>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</si>
  <si>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</si>
  <si>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</si>
  <si>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</si>
  <si>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</si>
  <si>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</si>
  <si>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</si>
  <si>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</si>
  <si>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</si>
  <si>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</si>
  <si>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</si>
  <si>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</si>
  <si>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</si>
  <si>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</si>
  <si>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</si>
  <si>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</si>
  <si>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</si>
  <si>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</si>
  <si>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</si>
  <si>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</si>
  <si>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</si>
  <si>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</si>
  <si>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</si>
  <si>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</si>
  <si>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</si>
  <si>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</si>
  <si>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</si>
  <si>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</si>
  <si>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</si>
  <si>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</si>
  <si>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</si>
  <si>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</si>
  <si>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</si>
  <si>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</si>
  <si>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</si>
  <si>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</si>
  <si>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</si>
  <si>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</si>
  <si>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</si>
  <si>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</si>
  <si>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</si>
  <si>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</si>
  <si>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</si>
  <si>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</si>
  <si>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</si>
  <si>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</si>
  <si>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</si>
  <si>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</si>
  <si>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</si>
  <si>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</si>
  <si>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</si>
  <si>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</si>
  <si>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</si>
  <si>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</si>
  <si>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</si>
  <si>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</si>
  <si>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</si>
  <si>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</si>
  <si>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</si>
  <si>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</si>
  <si>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</si>
  <si>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</si>
  <si>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</si>
  <si>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</si>
  <si>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</si>
  <si>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</si>
  <si>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</si>
  <si>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</si>
  <si>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</si>
  <si>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</si>
  <si>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</si>
  <si>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</si>
  <si>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</si>
  <si>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</si>
  <si>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</si>
  <si>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</si>
  <si>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</si>
  <si>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</si>
  <si>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</si>
  <si>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</si>
  <si>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</si>
  <si>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</si>
  <si>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</si>
  <si>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</si>
  <si>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</si>
  <si>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</si>
  <si>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</si>
  <si>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</si>
  <si>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</si>
  <si>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</si>
  <si>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</si>
  <si>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</si>
  <si>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</si>
  <si>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</si>
  <si>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</si>
  <si>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</si>
  <si>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</si>
  <si>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</si>
  <si>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</si>
  <si>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</si>
  <si>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</si>
  <si>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</si>
  <si>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</si>
  <si>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</si>
  <si>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</si>
  <si>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</si>
  <si>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</si>
  <si>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</si>
  <si>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</si>
  <si>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</si>
  <si>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</si>
  <si>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</si>
  <si>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</si>
  <si>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</si>
  <si>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</si>
  <si>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</si>
  <si>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</si>
  <si>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</si>
  <si>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</si>
  <si>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</si>
  <si>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</si>
  <si>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</si>
  <si>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</si>
  <si>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</si>
  <si>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</si>
  <si>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</si>
  <si>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</si>
  <si>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</si>
  <si>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</si>
  <si>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</si>
  <si>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</si>
  <si>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</si>
  <si>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</si>
  <si>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</si>
  <si>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</si>
  <si>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</si>
  <si>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</si>
  <si>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</si>
  <si>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</si>
  <si>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</si>
  <si>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</si>
  <si>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</si>
  <si>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</si>
  <si>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</si>
  <si>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</si>
  <si>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</si>
  <si>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</si>
  <si>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</si>
  <si>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</si>
  <si>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</si>
  <si>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</si>
  <si>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</si>
  <si>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</si>
  <si>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</si>
  <si>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</si>
  <si>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</si>
  <si>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</si>
  <si>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</si>
  <si>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</si>
  <si>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</si>
  <si>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</si>
  <si>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</si>
  <si>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</si>
  <si>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</si>
  <si>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</si>
  <si>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</si>
  <si>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</si>
  <si>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</si>
  <si>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</si>
  <si>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</si>
  <si>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</si>
  <si>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</si>
  <si>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</si>
  <si>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</si>
  <si>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</si>
  <si>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</si>
  <si>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</si>
  <si>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</si>
  <si>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</si>
  <si>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</si>
  <si>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</si>
  <si>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</si>
  <si>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</si>
  <si>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</si>
  <si>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</si>
  <si>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</si>
  <si>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</si>
  <si>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</si>
  <si>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</si>
  <si>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</si>
  <si>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</si>
  <si>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</si>
  <si>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</si>
  <si>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</si>
  <si>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</si>
  <si>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</si>
  <si>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</si>
  <si>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</si>
  <si>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</si>
  <si>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</si>
  <si>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</si>
  <si>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</si>
  <si>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</si>
  <si>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</si>
  <si>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</si>
  <si>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</si>
  <si>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</si>
  <si>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</si>
  <si>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</si>
  <si>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</si>
  <si>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</si>
  <si>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</si>
  <si>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</si>
  <si>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</si>
  <si>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</si>
  <si>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</si>
  <si>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</si>
  <si>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</si>
  <si>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</si>
  <si>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</si>
  <si>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</si>
  <si>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</si>
  <si>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</si>
  <si>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</si>
  <si>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</si>
  <si>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</si>
  <si>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</si>
  <si>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</si>
  <si>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</si>
  <si>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</si>
  <si>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</si>
  <si>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</si>
  <si>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</si>
  <si>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</si>
  <si>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</si>
  <si>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</si>
  <si>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</si>
  <si>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</si>
  <si>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</si>
  <si>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</si>
  <si>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</si>
  <si>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</si>
  <si>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</si>
  <si>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</si>
  <si>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</si>
  <si>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</si>
  <si>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</si>
  <si>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</si>
  <si>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</si>
  <si>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</si>
  <si>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</si>
  <si>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</si>
  <si>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</si>
  <si>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</si>
  <si>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</si>
  <si>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</si>
  <si>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</si>
  <si>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</si>
  <si>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</si>
  <si>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</si>
  <si>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</si>
  <si>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</si>
  <si>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</si>
  <si>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</si>
  <si>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</si>
  <si>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</si>
  <si>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</si>
  <si>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</si>
  <si>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</si>
  <si>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</si>
  <si>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</si>
  <si>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</si>
  <si>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</si>
  <si>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</si>
  <si>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</si>
  <si>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</si>
  <si>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</si>
  <si>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</si>
  <si>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</si>
  <si>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</si>
  <si>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</si>
  <si>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</si>
  <si>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</si>
  <si>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</si>
  <si>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</si>
  <si>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</si>
  <si>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</si>
  <si>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</si>
  <si>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</si>
  <si>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</si>
  <si>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</si>
  <si>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</si>
  <si>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</si>
  <si>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</si>
  <si>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</si>
  <si>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</si>
  <si>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</si>
  <si>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</si>
  <si>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</si>
  <si>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</si>
  <si>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</si>
  <si>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</si>
  <si>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</si>
  <si>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</si>
  <si>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</si>
  <si>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</si>
  <si>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</si>
  <si>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</si>
  <si>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</si>
  <si>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</si>
  <si>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</si>
  <si>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</si>
  <si>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</si>
  <si>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</si>
  <si>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</si>
  <si>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</si>
  <si>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</si>
  <si>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</si>
  <si>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</si>
  <si>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</si>
  <si>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</si>
  <si>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</si>
  <si>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</si>
  <si>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</si>
  <si>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</si>
  <si>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</si>
  <si>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</si>
  <si>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</si>
  <si>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</si>
  <si>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</si>
  <si>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</si>
  <si>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</si>
  <si>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</si>
  <si>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</si>
  <si>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</si>
  <si>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</si>
  <si>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</si>
  <si>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</si>
  <si>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</si>
  <si>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</si>
  <si>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</si>
  <si>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</si>
  <si>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</si>
  <si>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</si>
  <si>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</si>
  <si>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</si>
  <si>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</si>
  <si>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</si>
  <si>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</si>
  <si>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</si>
  <si>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</si>
  <si>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</si>
  <si>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</si>
  <si>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</si>
  <si>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</si>
  <si>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</si>
  <si>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</si>
  <si>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</si>
  <si>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</si>
  <si>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</si>
  <si>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</si>
  <si>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</si>
  <si>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</si>
  <si>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</si>
  <si>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</si>
  <si>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</si>
  <si>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</si>
  <si>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</si>
  <si>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</si>
  <si>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</si>
  <si>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</si>
  <si>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</si>
  <si>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</si>
  <si>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</si>
  <si>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</si>
  <si>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</si>
  <si>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</si>
  <si>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</si>
  <si>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</si>
  <si>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</si>
  <si>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</si>
  <si>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</si>
  <si>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</si>
  <si>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</si>
  <si>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</si>
  <si>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</si>
  <si>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</si>
  <si>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</si>
  <si>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</si>
  <si>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</si>
  <si>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</si>
  <si>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</si>
  <si>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</si>
  <si>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</si>
  <si>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</si>
  <si>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</si>
  <si>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</si>
  <si>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</si>
  <si>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</si>
  <si>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</si>
  <si>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</si>
  <si>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</si>
  <si>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</si>
  <si>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</si>
  <si>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</si>
  <si>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</si>
  <si>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</si>
  <si>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</si>
  <si>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</si>
  <si>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</si>
  <si>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</si>
  <si>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</si>
  <si>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</si>
  <si>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</si>
  <si>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</si>
  <si>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</si>
  <si>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</si>
  <si>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</si>
  <si>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</si>
  <si>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</si>
  <si>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</si>
  <si>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</si>
  <si>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</si>
  <si>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</si>
  <si>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</si>
  <si>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</si>
  <si>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</si>
  <si>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</si>
  <si>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</si>
  <si>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</si>
  <si>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</si>
  <si>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</si>
  <si>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</si>
  <si>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</si>
  <si>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</si>
  <si>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</si>
  <si>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</si>
  <si>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</si>
  <si>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</si>
  <si>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</si>
  <si>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</si>
  <si>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</si>
  <si>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</si>
  <si>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</si>
  <si>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</si>
  <si>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</si>
  <si>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</si>
  <si>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</si>
  <si>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</si>
  <si>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</si>
  <si>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</si>
  <si>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</si>
  <si>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</si>
  <si>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</si>
  <si>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</si>
  <si>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</si>
  <si>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</si>
  <si>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</si>
  <si>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</si>
  <si>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</si>
  <si>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</si>
  <si>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</si>
  <si>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</si>
  <si>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</si>
  <si>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</si>
  <si>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</si>
  <si>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</si>
  <si>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</si>
  <si>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</si>
  <si>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</si>
  <si>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</si>
  <si>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</si>
  <si>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</si>
  <si>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</si>
  <si>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</si>
  <si>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</si>
  <si>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</si>
  <si>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</si>
  <si>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</si>
  <si>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</si>
  <si>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</si>
  <si>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</si>
  <si>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</si>
  <si>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</si>
  <si>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</si>
  <si>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</si>
  <si>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</si>
  <si>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</si>
  <si>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</si>
  <si>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</si>
  <si>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</si>
  <si>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</si>
  <si>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</si>
  <si>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</si>
  <si>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</si>
  <si>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</si>
  <si>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</si>
  <si>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</si>
  <si>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</si>
  <si>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</si>
  <si>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</si>
  <si>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</si>
  <si>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</si>
  <si>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</si>
  <si>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</si>
  <si>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</si>
  <si>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</si>
  <si>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</si>
  <si>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</si>
  <si>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</si>
  <si>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</si>
  <si>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</si>
  <si>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</si>
  <si>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</si>
  <si>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</si>
  <si>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</si>
  <si>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</si>
  <si>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</si>
  <si>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</si>
  <si>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</si>
  <si>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</si>
  <si>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</si>
  <si>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</si>
  <si>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</si>
  <si>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</si>
  <si>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</si>
  <si>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</si>
  <si>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</si>
  <si>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</si>
  <si>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</si>
  <si>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</si>
  <si>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</si>
  <si>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</si>
  <si>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</si>
  <si>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</si>
  <si>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</si>
  <si>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</si>
  <si>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</si>
  <si>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</si>
  <si>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</si>
  <si>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</si>
  <si>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</si>
  <si>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</si>
  <si>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</si>
  <si>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</si>
  <si>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</si>
  <si>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</si>
  <si>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</si>
  <si>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</si>
  <si>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</si>
  <si>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</si>
  <si>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</si>
  <si>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</si>
  <si>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</si>
  <si>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</si>
  <si>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</si>
  <si>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</si>
  <si>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</si>
  <si>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</si>
  <si>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</si>
  <si>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</si>
  <si>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</si>
  <si>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</si>
  <si>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</si>
  <si>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</si>
  <si>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</si>
  <si>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</si>
  <si>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</si>
  <si>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</si>
  <si>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</si>
  <si>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</si>
  <si>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</si>
  <si>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</si>
  <si>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</si>
  <si>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</si>
  <si>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</si>
  <si>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</si>
  <si>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</si>
  <si>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</si>
  <si>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</si>
  <si>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</si>
  <si>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</si>
  <si>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</si>
  <si>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</si>
  <si>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</si>
  <si>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</si>
  <si>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</si>
  <si>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</si>
  <si>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</si>
  <si>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</si>
  <si>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</si>
  <si>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</si>
  <si>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</si>
  <si>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</si>
  <si>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</si>
  <si>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</si>
  <si>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</si>
  <si>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</si>
  <si>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</si>
  <si>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</si>
  <si>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</si>
  <si>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</si>
  <si>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</si>
  <si>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</si>
  <si>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</si>
  <si>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</si>
  <si>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</si>
  <si>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</si>
  <si>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</si>
  <si>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</si>
  <si>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</si>
  <si>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</si>
  <si>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</si>
  <si>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</si>
  <si>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</si>
  <si>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</si>
  <si>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</si>
  <si>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</si>
  <si>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</si>
  <si>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</si>
  <si>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</si>
  <si>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</si>
  <si>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</si>
  <si>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</si>
  <si>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</si>
  <si>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</si>
  <si>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</si>
  <si>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</si>
  <si>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</si>
  <si>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</si>
  <si>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</si>
  <si>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</si>
  <si>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</si>
  <si>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</si>
  <si>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</si>
  <si>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</si>
  <si>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</si>
  <si>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</si>
  <si>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</si>
  <si>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</si>
  <si>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</si>
  <si>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</si>
  <si>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</si>
  <si>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</si>
  <si>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</si>
  <si>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</si>
  <si>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</si>
  <si>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</si>
  <si>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</si>
  <si>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</si>
  <si>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</si>
  <si>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</si>
  <si>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</si>
  <si>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</si>
  <si>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</si>
  <si>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</si>
  <si>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</si>
  <si>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</si>
  <si>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</si>
  <si>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</si>
  <si>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</si>
  <si>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</si>
  <si>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</si>
  <si>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</si>
  <si>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</si>
  <si>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</si>
  <si>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</si>
  <si>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</si>
  <si>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</si>
  <si>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</si>
  <si>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</si>
  <si>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</si>
  <si>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</si>
  <si>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</si>
  <si>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</si>
  <si>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</si>
  <si>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</si>
  <si>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</si>
  <si>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</si>
  <si>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</si>
  <si>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</si>
  <si>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</si>
  <si>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</si>
  <si>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</si>
  <si>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</si>
  <si>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</si>
  <si>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</si>
  <si>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</si>
  <si>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</si>
  <si>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</si>
  <si>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</si>
  <si>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</si>
  <si>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</si>
  <si>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</si>
  <si>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</si>
  <si>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</si>
  <si>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</si>
  <si>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</si>
  <si>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</si>
  <si>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</si>
  <si>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</si>
  <si>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</si>
  <si>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</si>
  <si>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</si>
  <si>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</si>
  <si>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</si>
  <si>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</si>
  <si>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</si>
  <si>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</si>
  <si>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</si>
  <si>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</si>
  <si>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</si>
  <si>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</si>
  <si>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</si>
  <si>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</si>
  <si>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</si>
  <si>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</si>
  <si>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</si>
  <si>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</si>
  <si>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</si>
  <si>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</si>
  <si>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</si>
  <si>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</si>
  <si>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</si>
  <si>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</si>
  <si>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</si>
  <si>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</si>
  <si>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</si>
  <si>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</si>
  <si>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</si>
  <si>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</si>
  <si>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</si>
  <si>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</si>
  <si>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</si>
  <si>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</si>
  <si>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</si>
  <si>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</si>
  <si>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</si>
  <si>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</si>
  <si>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</si>
  <si>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</si>
  <si>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</si>
  <si>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</si>
  <si>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</si>
  <si>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</si>
  <si>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</si>
  <si>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</si>
  <si>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</si>
  <si>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</si>
  <si>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</si>
  <si>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</si>
  <si>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</si>
  <si>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</si>
  <si>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</si>
  <si>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</si>
  <si>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</si>
  <si>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</si>
  <si>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</si>
  <si>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</si>
  <si>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</si>
  <si>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</si>
  <si>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</si>
  <si>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</si>
  <si>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</si>
  <si>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</si>
  <si>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</si>
  <si>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</si>
  <si>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</si>
  <si>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</si>
  <si>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</si>
  <si>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</si>
  <si>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</si>
  <si>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</si>
  <si>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</si>
  <si>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</si>
  <si>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</si>
  <si>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</si>
  <si>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</si>
  <si>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</si>
  <si>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</si>
  <si>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</si>
  <si>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</si>
  <si>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</si>
  <si>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</si>
  <si>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</si>
  <si>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</si>
  <si>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</si>
  <si>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</si>
  <si>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</si>
  <si>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</si>
  <si>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</si>
  <si>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</si>
  <si>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</si>
  <si>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</si>
  <si>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</si>
  <si>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</si>
  <si>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</si>
  <si>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</si>
  <si>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</si>
  <si>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</si>
  <si>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</si>
  <si>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</si>
  <si>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</si>
  <si>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</si>
  <si>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</si>
  <si>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</si>
  <si>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</si>
  <si>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</si>
  <si>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</si>
  <si>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</si>
  <si>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</si>
  <si>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</si>
  <si>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</si>
  <si>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</si>
  <si>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</si>
  <si>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</si>
  <si>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</si>
  <si>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</si>
  <si>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</si>
  <si>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</si>
  <si>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</si>
  <si>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</si>
  <si>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</si>
  <si>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</si>
  <si>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</si>
  <si>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</si>
  <si>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</si>
  <si>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</si>
  <si>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</si>
  <si>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</si>
  <si>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</si>
  <si>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</si>
  <si>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</si>
  <si>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</si>
  <si>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</si>
  <si>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</si>
  <si>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</si>
  <si>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</si>
  <si>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</si>
  <si>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</si>
  <si>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</si>
  <si>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</si>
  <si>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</si>
  <si>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</si>
  <si>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</si>
  <si>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</si>
  <si>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</si>
  <si>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</si>
  <si>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</si>
  <si>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</si>
  <si>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</si>
  <si>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</si>
  <si>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</si>
  <si>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</si>
  <si>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</si>
  <si>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</si>
  <si>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</si>
  <si>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</si>
  <si>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</si>
  <si>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</si>
  <si>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</si>
  <si>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</si>
  <si>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</si>
  <si>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</si>
  <si>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</si>
  <si>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</si>
  <si>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</si>
  <si>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</si>
  <si>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</si>
  <si>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</si>
  <si>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</si>
  <si>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</si>
  <si>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</si>
  <si>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</si>
  <si>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</si>
  <si>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</si>
  <si>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</si>
  <si>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</si>
  <si>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</si>
  <si>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</si>
  <si>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</si>
  <si>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</si>
  <si>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</si>
  <si>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</si>
  <si>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</si>
  <si>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</si>
  <si>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</si>
  <si>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</si>
  <si>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</si>
  <si>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</si>
  <si>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</si>
  <si>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</si>
  <si>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</si>
  <si>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</si>
  <si>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</si>
  <si>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</si>
  <si>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</si>
  <si>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</si>
  <si>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</si>
  <si>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</si>
  <si>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</si>
  <si>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</si>
  <si>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</si>
  <si>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</si>
  <si>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</si>
  <si>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</si>
  <si>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</si>
  <si>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</si>
  <si>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</si>
  <si>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</si>
  <si>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</si>
  <si>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</si>
  <si>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</si>
  <si>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</si>
  <si>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</si>
  <si>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</si>
  <si>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</si>
  <si>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</si>
  <si>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</si>
  <si>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</si>
  <si>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</si>
  <si>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</si>
  <si>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</si>
  <si>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</si>
  <si>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</si>
  <si>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</si>
  <si>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</si>
  <si>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</si>
  <si>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</si>
  <si>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</si>
  <si>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</si>
  <si>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</si>
  <si>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</si>
  <si>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</si>
  <si>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</si>
  <si>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</si>
  <si>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</si>
  <si>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</si>
  <si>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</si>
  <si>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</si>
  <si>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</si>
  <si>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</si>
  <si>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</si>
  <si>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</si>
  <si>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</si>
  <si>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</si>
  <si>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</si>
  <si>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</si>
  <si>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</si>
  <si>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</si>
  <si>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</si>
  <si>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</si>
  <si>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</si>
  <si>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</si>
  <si>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</si>
  <si>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</si>
  <si>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</si>
  <si>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</si>
  <si>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</si>
  <si>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</si>
  <si>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</si>
  <si>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</si>
  <si>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</si>
  <si>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</si>
  <si>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</si>
  <si>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</si>
  <si>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</si>
  <si>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</si>
  <si>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</si>
  <si>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</si>
  <si>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</si>
  <si>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</si>
  <si>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</si>
  <si>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</si>
  <si>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</si>
  <si>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</si>
  <si>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</si>
  <si>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</si>
  <si>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</si>
  <si>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</si>
  <si>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</si>
  <si>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</si>
  <si>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</si>
  <si>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</si>
  <si>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</si>
  <si>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</si>
  <si>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</si>
  <si>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</si>
  <si>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</si>
  <si>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</si>
  <si>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</si>
  <si>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</si>
  <si>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</si>
  <si>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</si>
  <si>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</si>
  <si>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</si>
  <si>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</si>
  <si>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</si>
  <si>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</si>
  <si>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</si>
  <si>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</si>
  <si>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</si>
  <si>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</si>
  <si>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</si>
  <si>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</si>
  <si>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</si>
  <si>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</si>
  <si>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</si>
  <si>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</si>
  <si>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</si>
  <si>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</si>
  <si>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</si>
  <si>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</si>
  <si>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</si>
  <si>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</si>
  <si>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</si>
  <si>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</si>
  <si>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</si>
  <si>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</si>
  <si>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</si>
  <si>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</si>
  <si>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</si>
  <si>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</si>
  <si>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</si>
  <si>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</si>
  <si>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</si>
  <si>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</si>
  <si>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</si>
  <si>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</si>
  <si>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</si>
  <si>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</si>
  <si>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</si>
  <si>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</si>
  <si>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</si>
  <si>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</si>
  <si>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</si>
  <si>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</si>
  <si>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</si>
  <si>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</si>
  <si>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</si>
  <si>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</si>
  <si>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</si>
  <si>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</si>
  <si>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</si>
  <si>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</si>
  <si>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</si>
  <si>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</si>
  <si>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</si>
  <si>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</si>
  <si>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</si>
  <si>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</si>
  <si>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</si>
  <si>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</si>
  <si>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</si>
  <si>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</si>
  <si>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</si>
  <si>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</si>
  <si>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</si>
  <si>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</si>
  <si>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</si>
  <si>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</si>
  <si>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</si>
  <si>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</si>
  <si>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</si>
  <si>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</si>
  <si>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</si>
  <si>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</si>
  <si>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</si>
  <si>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</si>
  <si>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</si>
  <si>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</si>
  <si>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</si>
  <si>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</si>
  <si>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</si>
  <si>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</si>
  <si>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</si>
  <si>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</si>
  <si>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</si>
  <si>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</si>
  <si>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</si>
  <si>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</si>
  <si>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</si>
  <si>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</si>
  <si>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</si>
  <si>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</si>
  <si>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</si>
  <si>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</si>
  <si>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</si>
  <si>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</si>
  <si>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</si>
  <si>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</si>
  <si>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</si>
  <si>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</si>
  <si>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</si>
  <si>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</si>
  <si>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</si>
  <si>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</si>
  <si>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</si>
  <si>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</si>
  <si>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</si>
  <si>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</si>
  <si>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</si>
  <si>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</si>
  <si>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</si>
  <si>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</si>
  <si>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</si>
  <si>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</si>
  <si>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</si>
  <si>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</si>
  <si>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</si>
  <si>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</si>
  <si>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</si>
  <si>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</si>
  <si>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</si>
  <si>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</si>
  <si>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</si>
  <si>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</si>
  <si>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</si>
  <si>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</si>
  <si>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</si>
  <si>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</si>
  <si>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</si>
  <si>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</si>
  <si>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</si>
  <si>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</si>
  <si>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</si>
  <si>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</si>
  <si>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</si>
  <si>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</si>
  <si>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</si>
  <si>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</si>
  <si>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</si>
  <si>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</si>
  <si>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</si>
  <si>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</si>
  <si>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</si>
  <si>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</si>
  <si>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</si>
  <si>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</si>
  <si>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</si>
  <si>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</si>
  <si>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</si>
  <si>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</si>
  <si>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</si>
  <si>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</si>
  <si>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</si>
  <si>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</si>
  <si>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</si>
  <si>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</si>
  <si>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</si>
  <si>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</si>
  <si>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</si>
  <si>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</si>
  <si>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</si>
  <si>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</si>
  <si>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</si>
  <si>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</si>
  <si>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</si>
  <si>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</si>
  <si>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</si>
  <si>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</si>
  <si>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</si>
  <si>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</si>
  <si>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</si>
  <si>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</si>
  <si>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</si>
  <si>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</si>
  <si>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</si>
  <si>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</si>
  <si>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</si>
  <si>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</si>
  <si>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</si>
  <si>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</si>
  <si>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</si>
  <si>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</si>
  <si>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</si>
  <si>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</si>
  <si>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</si>
  <si>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</si>
  <si>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</si>
  <si>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</si>
  <si>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</si>
  <si>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</si>
  <si>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</si>
  <si>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</si>
  <si>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</si>
  <si>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</si>
  <si>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</si>
  <si>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</si>
  <si>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</si>
  <si>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</si>
  <si>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</si>
  <si>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</si>
  <si>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</si>
  <si>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</si>
  <si>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</si>
  <si>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</si>
  <si>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</si>
  <si>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</si>
  <si>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</si>
  <si>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</si>
  <si>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</si>
  <si>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</si>
  <si>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</si>
  <si>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</si>
  <si>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</si>
  <si>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</si>
  <si>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</si>
  <si>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</si>
  <si>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</si>
  <si>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</si>
  <si>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</si>
  <si>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</si>
  <si>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</si>
  <si>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</si>
  <si>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</si>
  <si>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</si>
  <si>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</si>
  <si>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</si>
  <si>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</si>
  <si>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</si>
  <si>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</si>
  <si>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</si>
  <si>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</si>
  <si>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</si>
  <si>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</si>
  <si>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</si>
  <si>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</si>
  <si>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</si>
  <si>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</si>
  <si>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</si>
  <si>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</si>
  <si>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</si>
  <si>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</si>
  <si>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</si>
  <si>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</si>
  <si>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</si>
  <si>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</si>
  <si>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</si>
  <si>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</si>
  <si>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</si>
  <si>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</si>
  <si>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</si>
  <si>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</si>
  <si>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</si>
  <si>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</si>
  <si>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</si>
  <si>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</si>
  <si>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</si>
  <si>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</si>
  <si>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</si>
  <si>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</si>
  <si>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</si>
  <si>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</si>
  <si>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</si>
  <si>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</si>
  <si>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</si>
  <si>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</si>
  <si>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</si>
  <si>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</si>
  <si>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</si>
  <si>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</si>
  <si>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</si>
  <si>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</si>
  <si>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</si>
  <si>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</si>
  <si>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</si>
  <si>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</si>
  <si>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</si>
  <si>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</si>
  <si>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</si>
  <si>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</si>
  <si>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</si>
  <si>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</si>
  <si>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</si>
  <si>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</si>
  <si>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</si>
  <si>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</si>
  <si>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</si>
  <si>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</si>
  <si>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</si>
  <si>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</si>
  <si>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</si>
  <si>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</si>
  <si>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</si>
  <si>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</si>
  <si>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</si>
  <si>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</si>
  <si>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</si>
  <si>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</si>
  <si>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</si>
  <si>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</si>
  <si>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</si>
  <si>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</si>
  <si>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</si>
  <si>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</si>
  <si>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</si>
  <si>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</si>
  <si>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</si>
  <si>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</si>
  <si>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</si>
  <si>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</si>
  <si>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</si>
  <si>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</si>
  <si>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</si>
  <si>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</si>
  <si>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</si>
  <si>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</si>
  <si>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</si>
  <si>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</si>
  <si>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</si>
  <si>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</si>
  <si>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</si>
  <si>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</si>
  <si>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</si>
  <si>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</si>
  <si>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</si>
  <si>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</si>
  <si>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</si>
  <si>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</si>
  <si>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</si>
  <si>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</si>
  <si>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</si>
  <si>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</si>
  <si>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</si>
  <si>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</si>
  <si>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</si>
  <si>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</si>
  <si>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</si>
  <si>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</si>
  <si>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</si>
  <si>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</si>
  <si>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</si>
  <si>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</si>
  <si>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</si>
  <si>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</si>
  <si>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</si>
  <si>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</si>
  <si>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</si>
  <si>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</si>
  <si>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</si>
  <si>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</si>
  <si>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</si>
  <si>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</si>
  <si>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</si>
  <si>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</si>
  <si>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</si>
  <si>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</si>
  <si>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</si>
  <si>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</si>
  <si>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</si>
  <si>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</si>
  <si>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</si>
  <si>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</si>
  <si>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</si>
  <si>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</si>
  <si>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</si>
  <si>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</si>
  <si>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</si>
  <si>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</si>
  <si>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</si>
  <si>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</si>
  <si>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</si>
  <si>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</si>
  <si>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</si>
  <si>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</si>
  <si>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</si>
  <si>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</si>
  <si>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</si>
  <si>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</si>
  <si>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</si>
  <si>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</si>
  <si>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</si>
  <si>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</si>
  <si>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</si>
  <si>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</si>
  <si>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</si>
  <si>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</si>
  <si>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</si>
  <si>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</si>
  <si>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</si>
  <si>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</si>
  <si>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</si>
  <si>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</si>
  <si>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</si>
  <si>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</si>
  <si>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</si>
  <si>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</si>
  <si>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</si>
  <si>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</si>
  <si>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</si>
  <si>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</si>
  <si>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</si>
  <si>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</si>
  <si>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</si>
  <si>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</si>
  <si>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</si>
  <si>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</si>
  <si>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</si>
  <si>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</si>
  <si>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</si>
  <si>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</si>
  <si>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</si>
  <si>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</si>
  <si>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</si>
  <si>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</si>
  <si>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</si>
  <si>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</si>
  <si>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</si>
  <si>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</si>
  <si>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</si>
  <si>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</si>
  <si>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</si>
  <si>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</si>
  <si>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</si>
  <si>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</si>
  <si>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</si>
  <si>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</si>
  <si>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</si>
  <si>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</si>
  <si>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</si>
  <si>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</si>
  <si>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</si>
  <si>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</si>
  <si>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</si>
  <si>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</si>
  <si>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</si>
  <si>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</si>
  <si>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</si>
  <si>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</si>
  <si>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</si>
  <si>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</si>
  <si>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</si>
  <si>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</si>
  <si>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</si>
  <si>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</si>
  <si>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</si>
  <si>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</si>
  <si>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</si>
  <si>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</si>
  <si>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</si>
  <si>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</si>
  <si>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</si>
  <si>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</si>
  <si>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</si>
  <si>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</si>
  <si>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</si>
  <si>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</si>
  <si>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</si>
  <si>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</si>
  <si>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</si>
  <si>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</si>
  <si>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</si>
  <si>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</si>
  <si>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</si>
  <si>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</si>
  <si>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</si>
  <si>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</si>
  <si>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</si>
  <si>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</si>
  <si>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</si>
  <si>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</si>
  <si>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</si>
  <si>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</si>
  <si>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</si>
  <si>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</si>
  <si>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</si>
  <si>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</si>
  <si>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</si>
  <si>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</si>
  <si>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</si>
  <si>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</si>
  <si>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</si>
  <si>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</si>
  <si>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</si>
  <si>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</si>
  <si>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</si>
  <si>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</si>
  <si>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</si>
  <si>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</si>
  <si>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</si>
  <si>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</si>
  <si>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</si>
  <si>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</si>
  <si>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</si>
  <si>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</si>
  <si>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</si>
  <si>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</si>
  <si>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</si>
  <si>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</si>
  <si>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</si>
  <si>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</si>
  <si>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</si>
  <si>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</si>
  <si>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</si>
  <si>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</si>
  <si>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</si>
  <si>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</si>
  <si>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</si>
  <si>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</si>
  <si>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</si>
  <si>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</si>
  <si>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</si>
  <si>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</si>
  <si>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</si>
  <si>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</si>
  <si>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</si>
  <si>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</si>
  <si>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</si>
  <si>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</si>
  <si>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</si>
  <si>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</si>
  <si>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</si>
  <si>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</si>
  <si>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</si>
  <si>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</si>
  <si>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</si>
  <si>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</si>
  <si>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</si>
  <si>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</si>
  <si>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</si>
  <si>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</si>
  <si>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</si>
  <si>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</si>
  <si>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</si>
  <si>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</si>
  <si>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</si>
  <si>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</si>
  <si>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</si>
  <si>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</si>
  <si>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</si>
  <si>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</si>
  <si>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</si>
  <si>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</si>
  <si>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</si>
  <si>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</si>
  <si>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</si>
  <si>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</si>
  <si>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</si>
  <si>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</si>
  <si>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</si>
  <si>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</si>
  <si>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</si>
  <si>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</si>
  <si>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</si>
  <si>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</si>
  <si>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</si>
  <si>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</si>
  <si>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</si>
  <si>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</si>
  <si>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</si>
  <si>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</si>
  <si>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</si>
  <si>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</si>
  <si>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</si>
  <si>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</si>
  <si>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</si>
  <si>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</si>
  <si>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</si>
  <si>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</si>
  <si>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</si>
  <si>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</si>
  <si>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</si>
  <si>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</si>
  <si>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</si>
  <si>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</si>
  <si>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</si>
  <si>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</si>
  <si>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</si>
  <si>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</si>
  <si>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</si>
  <si>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</si>
  <si>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</si>
  <si>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</si>
  <si>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</si>
  <si>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</si>
  <si>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</si>
  <si>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</si>
  <si>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</si>
  <si>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</si>
  <si>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</si>
  <si>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</si>
  <si>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</si>
  <si>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</si>
  <si>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</si>
  <si>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</si>
  <si>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</si>
  <si>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</si>
  <si>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</si>
  <si>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</si>
  <si>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</si>
  <si>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</si>
  <si>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</si>
  <si>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</si>
  <si>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</si>
  <si>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</si>
  <si>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</si>
  <si>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</si>
  <si>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</si>
  <si>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</si>
  <si>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</si>
  <si>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</si>
  <si>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</si>
  <si>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</si>
  <si>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</si>
  <si>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</si>
  <si>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</si>
  <si>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</si>
  <si>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</si>
  <si>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</si>
  <si>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</si>
  <si>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</si>
  <si>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</si>
  <si>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</si>
  <si>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</si>
  <si>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</si>
  <si>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</si>
  <si>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</si>
  <si>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</si>
  <si>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</si>
  <si>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</si>
  <si>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</si>
  <si>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</si>
  <si>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</si>
  <si>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</si>
  <si>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</si>
  <si>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</si>
  <si>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</si>
  <si>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</si>
  <si>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</si>
  <si>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</si>
  <si>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</si>
  <si>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</si>
  <si>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</si>
  <si>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</si>
  <si>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</si>
  <si>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</si>
  <si>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</si>
  <si>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</si>
  <si>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</si>
  <si>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</si>
  <si>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</si>
  <si>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</si>
  <si>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</si>
  <si>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</si>
  <si>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</si>
  <si>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</si>
  <si>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</si>
  <si>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</si>
  <si>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</si>
  <si>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</si>
  <si>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</si>
  <si>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</si>
  <si>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</si>
  <si>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</si>
  <si>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</si>
  <si>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</si>
  <si>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</si>
  <si>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</si>
  <si>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</si>
  <si>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</si>
  <si>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</si>
  <si>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</si>
  <si>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</si>
  <si>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</si>
  <si>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</si>
  <si>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</si>
  <si>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</si>
  <si>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</si>
  <si>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</si>
  <si>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</si>
  <si>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</si>
  <si>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</si>
  <si>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</si>
  <si>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</si>
  <si>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</si>
  <si>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</si>
  <si>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</si>
  <si>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</si>
  <si>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</si>
  <si>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</si>
  <si>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</si>
  <si>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</si>
  <si>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</si>
  <si>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</si>
  <si>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</si>
  <si>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</si>
  <si>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</si>
  <si>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</si>
  <si>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</si>
  <si>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</si>
  <si>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</si>
  <si>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</si>
  <si>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</si>
  <si>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</si>
  <si>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</si>
  <si>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</si>
  <si>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</si>
  <si>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</si>
  <si>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</si>
  <si>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</si>
  <si>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</si>
  <si>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</si>
  <si>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</si>
  <si>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</si>
  <si>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</si>
  <si>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</si>
  <si>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</si>
  <si>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</si>
  <si>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</si>
  <si>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</si>
  <si>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</si>
  <si>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</si>
  <si>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</si>
  <si>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</si>
  <si>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</si>
  <si>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</si>
  <si>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</si>
  <si>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</si>
  <si>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</si>
  <si>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</si>
  <si>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</si>
  <si>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</si>
  <si>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</si>
  <si>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</si>
  <si>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</si>
  <si>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</si>
  <si>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</si>
  <si>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</si>
  <si>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</si>
  <si>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</si>
  <si>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</si>
  <si>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</si>
  <si>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</si>
  <si>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</si>
  <si>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</si>
  <si>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</si>
  <si>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</si>
  <si>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</si>
  <si>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</si>
  <si>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</si>
  <si>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</si>
  <si>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</si>
  <si>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</si>
  <si>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</si>
  <si>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</si>
  <si>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</si>
  <si>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</si>
  <si>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</si>
  <si>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</si>
  <si>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</si>
  <si>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</si>
  <si>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</si>
  <si>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</si>
  <si>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</si>
  <si>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</si>
  <si>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</si>
  <si>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</si>
  <si>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</si>
  <si>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</si>
  <si>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</si>
  <si>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</si>
  <si>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</si>
  <si>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</si>
  <si>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</si>
  <si>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</si>
  <si>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</si>
  <si>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</si>
  <si>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</si>
  <si>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</si>
  <si>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</si>
  <si>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</si>
  <si>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</si>
  <si>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</si>
  <si>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</si>
  <si>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</si>
  <si>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</si>
  <si>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</si>
  <si>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</si>
  <si>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</si>
  <si>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</si>
  <si>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</si>
  <si>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</si>
  <si>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</si>
  <si>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</si>
  <si>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</si>
  <si>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</si>
  <si>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</si>
  <si>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</si>
  <si>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</si>
  <si>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</si>
  <si>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</si>
  <si>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</si>
  <si>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</si>
  <si>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</si>
  <si>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</si>
  <si>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</si>
  <si>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</si>
  <si>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</si>
  <si>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</si>
  <si>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</si>
  <si>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</si>
  <si>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</si>
  <si>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</si>
  <si>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</si>
  <si>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</si>
  <si>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</si>
  <si>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</si>
  <si>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</si>
  <si>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</si>
  <si>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</si>
  <si>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</si>
  <si>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</si>
  <si>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</si>
  <si>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</si>
  <si>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</si>
  <si>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</si>
  <si>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</si>
  <si>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</si>
  <si>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</si>
  <si>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</si>
  <si>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</si>
  <si>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</si>
  <si>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</si>
  <si>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</si>
  <si>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</si>
  <si>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</si>
  <si>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</si>
  <si>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</si>
  <si>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</si>
  <si>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</si>
  <si>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</si>
  <si>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</si>
  <si>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</si>
  <si>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</si>
  <si>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</si>
  <si>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</si>
  <si>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</si>
  <si>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</si>
  <si>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</si>
  <si>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</si>
  <si>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</si>
  <si>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</si>
  <si>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</si>
  <si>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</si>
  <si>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</si>
  <si>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</si>
  <si>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</si>
  <si>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</si>
  <si>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</si>
  <si>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</si>
  <si>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</si>
  <si>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</si>
  <si>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</si>
  <si>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</si>
  <si>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</si>
  <si>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</si>
  <si>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</si>
  <si>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</si>
  <si>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</si>
  <si>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</si>
  <si>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</si>
  <si>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</si>
  <si>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</si>
  <si>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</si>
  <si>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</si>
  <si>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</si>
  <si>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</si>
  <si>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</si>
  <si>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</si>
  <si>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</si>
  <si>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</si>
  <si>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</si>
  <si>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</si>
  <si>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</si>
  <si>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</si>
  <si>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</si>
  <si>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</si>
  <si>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</si>
  <si>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</si>
  <si>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</si>
  <si>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</si>
  <si>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</si>
  <si>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</si>
  <si>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</si>
  <si>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</si>
  <si>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</si>
  <si>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</si>
  <si>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</si>
  <si>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</si>
  <si>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</si>
  <si>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</si>
  <si>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</si>
  <si>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</si>
  <si>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</si>
  <si>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</si>
  <si>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</si>
  <si>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</si>
  <si>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</si>
  <si>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</si>
  <si>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</si>
  <si>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</si>
  <si>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</si>
  <si>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</si>
  <si>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</si>
  <si>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</si>
  <si>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</si>
  <si>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</si>
  <si>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</si>
  <si>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</si>
  <si>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</si>
  <si>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</si>
  <si>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</si>
  <si>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</si>
  <si>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</si>
  <si>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</si>
  <si>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</si>
  <si>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</si>
  <si>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</si>
  <si>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</si>
  <si>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</si>
  <si>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</si>
  <si>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</si>
  <si>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</si>
  <si>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</si>
  <si>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</si>
  <si>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</si>
  <si>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</si>
  <si>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</si>
  <si>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</si>
  <si>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</si>
  <si>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</si>
  <si>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</si>
  <si>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</si>
  <si>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</si>
  <si>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</si>
  <si>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</si>
  <si>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</si>
  <si>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</si>
  <si>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</si>
  <si>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</si>
  <si>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</si>
  <si>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</si>
  <si>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</si>
  <si>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</si>
  <si>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</si>
  <si>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</si>
  <si>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</si>
  <si>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</si>
  <si>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</si>
  <si>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</si>
  <si>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</si>
  <si>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</si>
  <si>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</si>
  <si>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</si>
  <si>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</si>
  <si>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</si>
  <si>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</si>
  <si>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</si>
  <si>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</si>
  <si>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</si>
  <si>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</si>
  <si>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</si>
  <si>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</si>
  <si>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</si>
  <si>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</si>
  <si>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</si>
  <si>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</si>
  <si>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</si>
  <si>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</si>
  <si>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</si>
  <si>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</si>
  <si>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</si>
  <si>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</si>
  <si>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</si>
  <si>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</si>
  <si>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</si>
  <si>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</si>
  <si>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</si>
  <si>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</si>
  <si>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</si>
  <si>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</si>
  <si>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</si>
  <si>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</si>
  <si>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</si>
  <si>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</si>
  <si>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</si>
  <si>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</si>
  <si>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</si>
  <si>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</si>
  <si>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</si>
  <si>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</si>
  <si>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</si>
  <si>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</si>
  <si>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</si>
  <si>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</si>
  <si>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</si>
  <si>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</si>
  <si>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</si>
  <si>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</si>
  <si>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</si>
  <si>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</si>
  <si>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</si>
  <si>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</si>
  <si>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</si>
  <si>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</si>
  <si>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</si>
  <si>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</si>
  <si>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</si>
  <si>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</si>
  <si>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</si>
  <si>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</si>
  <si>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</si>
  <si>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</si>
  <si>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</si>
  <si>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</si>
  <si>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</si>
  <si>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</si>
  <si>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</si>
  <si>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</si>
  <si>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</si>
  <si>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</si>
  <si>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</si>
  <si>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</si>
  <si>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</si>
  <si>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</si>
  <si>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</si>
  <si>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</si>
  <si>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</si>
  <si>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</si>
  <si>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</si>
  <si>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</si>
  <si>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</si>
  <si>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</si>
  <si>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</si>
  <si>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</si>
  <si>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</si>
  <si>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</si>
  <si>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</si>
  <si>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</si>
  <si>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</si>
  <si>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</si>
  <si>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</si>
  <si>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</si>
  <si>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</si>
  <si>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</si>
  <si>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</si>
  <si>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</si>
  <si>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</si>
  <si>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</si>
  <si>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</si>
  <si>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</si>
  <si>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</si>
  <si>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</si>
  <si>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</si>
  <si>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</si>
  <si>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</si>
  <si>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</si>
  <si>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</si>
  <si>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</si>
  <si>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</si>
  <si>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</si>
  <si>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</si>
  <si>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</si>
  <si>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</si>
  <si>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</si>
  <si>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</si>
  <si>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</si>
  <si>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</si>
  <si>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</si>
  <si>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</si>
  <si>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</si>
  <si>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</si>
  <si>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</si>
  <si>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</si>
  <si>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</si>
  <si>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</si>
  <si>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</si>
  <si>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</si>
  <si>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</si>
  <si>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</si>
  <si>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</si>
  <si>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</si>
  <si>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</si>
  <si>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</si>
  <si>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</si>
  <si>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</si>
  <si>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</si>
  <si>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</si>
  <si>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</si>
  <si>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</si>
  <si>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</si>
  <si>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</si>
  <si>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</si>
  <si>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</si>
  <si>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</si>
  <si>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</si>
  <si>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</si>
  <si>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</si>
  <si>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</si>
  <si>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</si>
  <si>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</si>
  <si>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</si>
  <si>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</si>
  <si>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</si>
  <si>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</si>
  <si>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</si>
  <si>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</si>
  <si>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</si>
  <si>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</si>
  <si>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</si>
  <si>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</si>
  <si>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</si>
  <si>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</si>
  <si>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</si>
  <si>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</si>
  <si>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</si>
  <si>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</si>
  <si>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</si>
  <si>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</si>
  <si>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</si>
  <si>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</si>
  <si>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</si>
  <si>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</si>
  <si>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</si>
  <si>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</si>
  <si>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</si>
  <si>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</si>
  <si>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</si>
  <si>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</si>
  <si>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</si>
  <si>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</si>
  <si>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</si>
  <si>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</si>
  <si>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</si>
  <si>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</si>
  <si>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</si>
  <si>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</si>
  <si>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</si>
  <si>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</si>
  <si>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</si>
  <si>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</si>
  <si>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</si>
  <si>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</si>
  <si>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</si>
  <si>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</si>
  <si>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</si>
  <si>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</si>
  <si>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</si>
  <si>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</si>
  <si>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</si>
  <si>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</si>
  <si>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</si>
  <si>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</si>
  <si>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</si>
  <si>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</si>
  <si>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</si>
  <si>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</si>
  <si>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</si>
  <si>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</si>
  <si>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</si>
  <si>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</si>
  <si>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</si>
  <si>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</si>
  <si>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</si>
  <si>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</si>
  <si>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</si>
  <si>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</si>
  <si>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</si>
  <si>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</si>
  <si>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</si>
  <si>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</si>
  <si>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</si>
  <si>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</si>
  <si>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</si>
  <si>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</si>
  <si>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</si>
  <si>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</si>
  <si>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</si>
  <si>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</si>
  <si>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</si>
  <si>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</si>
  <si>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</si>
  <si>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</si>
  <si>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</si>
  <si>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</si>
  <si>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</si>
  <si>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</si>
  <si>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</si>
  <si>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</si>
  <si>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</si>
  <si>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</si>
  <si>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</si>
  <si>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</si>
  <si>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</si>
  <si>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</si>
  <si>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</si>
  <si>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</si>
  <si>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</si>
  <si>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</si>
  <si>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</si>
  <si>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</si>
  <si>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</si>
  <si>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</si>
  <si>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</si>
  <si>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</si>
  <si>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</si>
  <si>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</si>
  <si>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</si>
  <si>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</si>
  <si>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</si>
  <si>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</si>
  <si>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</si>
  <si>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</si>
  <si>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</si>
  <si>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</si>
  <si>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</si>
  <si>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</si>
  <si>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</si>
  <si>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</si>
  <si>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</si>
  <si>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</si>
  <si>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</si>
  <si>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</si>
  <si>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</si>
  <si>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</si>
  <si>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</si>
  <si>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</si>
  <si>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</si>
  <si>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</si>
  <si>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</si>
  <si>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</si>
  <si>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</si>
  <si>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</si>
  <si>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</si>
  <si>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</si>
  <si>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</si>
  <si>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</si>
  <si>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</si>
  <si>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</si>
  <si>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</si>
  <si>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</si>
  <si>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</si>
  <si>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</si>
  <si>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</si>
  <si>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</si>
  <si>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</si>
  <si>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</si>
  <si>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</si>
  <si>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</si>
  <si>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</si>
  <si>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</si>
  <si>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</si>
  <si>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</si>
  <si>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</si>
  <si>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</si>
  <si>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</si>
  <si>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</si>
  <si>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</si>
  <si>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</si>
  <si>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</si>
  <si>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</si>
  <si>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</si>
  <si>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</si>
  <si>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</si>
  <si>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</si>
  <si>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</si>
  <si>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</si>
  <si>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</si>
  <si>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</si>
  <si>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</si>
  <si>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</si>
  <si>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</si>
  <si>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</si>
  <si>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</si>
  <si>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</si>
  <si>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</si>
  <si>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</si>
  <si>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</si>
  <si>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</si>
  <si>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</si>
  <si>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</si>
  <si>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</si>
  <si>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</si>
  <si>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</si>
  <si>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</si>
  <si>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</si>
  <si>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</si>
  <si>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</si>
  <si>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</si>
  <si>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</si>
  <si>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</si>
  <si>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</si>
  <si>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</si>
  <si>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</si>
  <si>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</si>
  <si>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</si>
  <si>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</si>
  <si>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</si>
  <si>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</si>
  <si>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</si>
  <si>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</si>
  <si>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</si>
  <si>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</si>
  <si>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</si>
  <si>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</si>
  <si>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</si>
  <si>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</si>
  <si>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</si>
  <si>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</si>
  <si>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</si>
  <si>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</si>
  <si>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</si>
  <si>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</si>
  <si>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</si>
  <si>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</si>
  <si>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</si>
  <si>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</si>
  <si>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</si>
  <si>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</si>
  <si>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</si>
  <si>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</si>
  <si>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</si>
  <si>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</si>
  <si>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</si>
  <si>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</si>
  <si>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</si>
  <si>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</si>
  <si>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</si>
  <si>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</si>
  <si>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</si>
  <si>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</si>
  <si>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</si>
  <si>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</si>
  <si>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</si>
  <si>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</si>
  <si>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</si>
  <si>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</si>
  <si>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</si>
  <si>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</si>
  <si>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</si>
  <si>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</si>
  <si>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</si>
  <si>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</si>
  <si>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</si>
  <si>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</si>
  <si>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</si>
  <si>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</si>
  <si>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</si>
  <si>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</si>
  <si>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</si>
  <si>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</si>
  <si>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</si>
  <si>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</si>
  <si>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</si>
  <si>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</si>
  <si>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</si>
  <si>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</si>
  <si>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</si>
  <si>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</si>
  <si>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</si>
  <si>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</si>
  <si>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</si>
  <si>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</si>
  <si>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</si>
  <si>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</si>
  <si>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</si>
  <si>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</si>
  <si>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</si>
  <si>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</si>
  <si>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</si>
  <si>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</si>
  <si>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</si>
  <si>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</si>
  <si>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</si>
  <si>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</si>
  <si>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</si>
  <si>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</si>
  <si>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</si>
  <si>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</si>
  <si>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</si>
  <si>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</si>
  <si>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</si>
  <si>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</si>
  <si>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</si>
  <si>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</si>
  <si>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</si>
  <si>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</si>
  <si>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</si>
  <si>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</si>
  <si>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</si>
  <si>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</si>
  <si>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</si>
  <si>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</si>
  <si>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</si>
  <si>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</si>
  <si>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</si>
  <si>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</si>
  <si>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</si>
  <si>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</si>
  <si>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</si>
  <si>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</si>
  <si>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</si>
  <si>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</si>
  <si>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</si>
  <si>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</si>
  <si>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</si>
  <si>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</si>
  <si>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</si>
  <si>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</si>
  <si>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</si>
  <si>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</si>
  <si>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</si>
  <si>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</si>
  <si>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</si>
  <si>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</si>
  <si>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</si>
  <si>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</si>
  <si>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</si>
  <si>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</si>
  <si>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</si>
  <si>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</si>
  <si>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</si>
  <si>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</si>
  <si>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</si>
  <si>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</si>
  <si>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</si>
  <si>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</si>
  <si>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</si>
  <si>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</si>
  <si>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</si>
  <si>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</si>
  <si>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</si>
  <si>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</si>
  <si>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</si>
  <si>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</si>
  <si>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</si>
  <si>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</si>
  <si>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</si>
  <si>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</si>
  <si>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</si>
  <si>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</si>
  <si>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</si>
  <si>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</si>
  <si>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</si>
  <si>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</si>
  <si>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</si>
  <si>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</si>
  <si>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</si>
  <si>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</si>
  <si>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</si>
  <si>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</si>
  <si>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</si>
  <si>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</si>
  <si>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</si>
  <si>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</si>
  <si>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</si>
  <si>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</si>
  <si>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</si>
  <si>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</si>
  <si>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</si>
  <si>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</si>
  <si>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</si>
  <si>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</si>
  <si>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</si>
  <si>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</si>
  <si>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</si>
  <si>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</si>
  <si>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</si>
  <si>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</si>
  <si>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</si>
  <si>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</si>
  <si>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</si>
  <si>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</si>
  <si>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</si>
  <si>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</si>
  <si>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</si>
  <si>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</si>
  <si>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</si>
  <si>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</si>
  <si>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</si>
  <si>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</si>
  <si>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</si>
  <si>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</si>
  <si>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</si>
  <si>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</si>
  <si>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</si>
  <si>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</si>
  <si>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</si>
  <si>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</si>
  <si>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</si>
  <si>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</si>
  <si>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</si>
  <si>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</si>
  <si>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</si>
  <si>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</si>
  <si>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</si>
  <si>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</si>
  <si>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</si>
  <si>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</si>
  <si>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</si>
  <si>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</si>
  <si>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</si>
  <si>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</si>
  <si>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</si>
  <si>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</si>
  <si>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</si>
  <si>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</si>
  <si>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</si>
  <si>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</si>
  <si>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</si>
  <si>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</si>
  <si>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</si>
  <si>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</si>
  <si>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</si>
  <si>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</si>
  <si>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</si>
  <si>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</si>
  <si>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</si>
  <si>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</si>
  <si>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</si>
  <si>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</si>
  <si>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</si>
  <si>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</si>
  <si>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</si>
  <si>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</si>
  <si>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</si>
  <si>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</si>
  <si>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</si>
  <si>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</si>
  <si>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</si>
  <si>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</si>
  <si>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</si>
  <si>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</si>
  <si>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</si>
  <si>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</si>
  <si>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</si>
  <si>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</si>
  <si>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</si>
  <si>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</si>
  <si>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</si>
  <si>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</si>
  <si>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</si>
  <si>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</si>
  <si>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</si>
  <si>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</si>
  <si>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</si>
  <si>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</si>
  <si>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</si>
  <si>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</si>
  <si>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</si>
  <si>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</si>
  <si>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</si>
  <si>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</si>
  <si>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</si>
  <si>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</si>
  <si>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</si>
  <si>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</si>
  <si>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</si>
  <si>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</si>
  <si>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</si>
  <si>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</si>
  <si>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</si>
  <si>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</si>
  <si>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</si>
  <si>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</si>
  <si>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</si>
  <si>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</si>
  <si>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</si>
  <si>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</si>
  <si>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</si>
  <si>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</si>
  <si>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</si>
  <si>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</si>
  <si>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</si>
  <si>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</si>
  <si>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</si>
  <si>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</si>
  <si>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</si>
  <si>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</si>
  <si>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</si>
  <si>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</si>
  <si>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</si>
  <si>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</si>
  <si>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</si>
  <si>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</si>
  <si>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</si>
  <si>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</si>
  <si>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</si>
  <si>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</si>
  <si>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</si>
  <si>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</si>
  <si>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</si>
  <si>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</si>
  <si>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</si>
  <si>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</si>
  <si>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</si>
  <si>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</si>
  <si>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</si>
  <si>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</si>
  <si>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</si>
  <si>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</si>
  <si>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</si>
  <si>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</si>
  <si>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</si>
  <si>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</si>
  <si>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</si>
  <si>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</si>
  <si>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</si>
  <si>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</si>
  <si>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</si>
  <si>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</si>
  <si>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</si>
  <si>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</si>
  <si>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</si>
  <si>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</si>
  <si>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</si>
  <si>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</si>
  <si>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</si>
  <si>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</si>
  <si>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</si>
  <si>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</si>
  <si>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</si>
  <si>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</si>
  <si>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</si>
  <si>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</si>
  <si>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</si>
  <si>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</si>
  <si>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</si>
  <si>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</si>
  <si>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</si>
  <si>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</si>
  <si>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</si>
  <si>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</si>
  <si>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</si>
  <si>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</si>
  <si>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</si>
  <si>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</si>
  <si>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</si>
  <si>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</si>
  <si>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</si>
  <si>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</si>
  <si>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</si>
  <si>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</si>
  <si>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</si>
  <si>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</si>
  <si>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</si>
  <si>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</si>
  <si>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</si>
  <si>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</si>
  <si>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</si>
  <si>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</si>
  <si>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</si>
  <si>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</si>
  <si>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</si>
  <si>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</si>
  <si>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</si>
  <si>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</si>
  <si>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</si>
  <si>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</si>
  <si>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</si>
  <si>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</si>
  <si>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</si>
  <si>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</si>
  <si>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</si>
  <si>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</si>
  <si>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</si>
  <si>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</si>
  <si>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</si>
  <si>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</si>
  <si>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</si>
  <si>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</si>
  <si>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</si>
  <si>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</si>
  <si>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</si>
  <si>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</si>
  <si>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</si>
  <si>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</si>
  <si>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</si>
  <si>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</si>
  <si>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</si>
  <si>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</si>
  <si>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</si>
  <si>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</si>
  <si>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</si>
  <si>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</si>
  <si>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</si>
  <si>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</si>
  <si>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</si>
  <si>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</si>
  <si>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</si>
  <si>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</si>
  <si>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</si>
  <si>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</si>
  <si>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</si>
  <si>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</si>
  <si>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</si>
  <si>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</si>
  <si>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</si>
  <si>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</si>
  <si>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</si>
  <si>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</si>
  <si>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</si>
  <si>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</si>
  <si>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</si>
  <si>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</si>
  <si>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</si>
  <si>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</si>
  <si>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</si>
  <si>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</si>
  <si>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</si>
  <si>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</si>
  <si>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</si>
  <si>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</si>
  <si>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</si>
  <si>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</si>
  <si>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</si>
  <si>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</si>
  <si>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</si>
  <si>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</si>
  <si>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</si>
  <si>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</si>
  <si>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</si>
  <si>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</si>
  <si>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</si>
  <si>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</si>
  <si>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</si>
  <si>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</si>
  <si>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</si>
  <si>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</si>
  <si>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</si>
  <si>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</si>
  <si>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</si>
  <si>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</si>
  <si>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</si>
  <si>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</si>
  <si>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</si>
  <si>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</si>
  <si>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</si>
  <si>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</si>
  <si>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</si>
  <si>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</si>
  <si>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</si>
  <si>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</si>
  <si>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</si>
  <si>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</si>
  <si>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</si>
  <si>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</si>
  <si>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</si>
  <si>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</si>
  <si>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</si>
  <si>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</si>
  <si>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</si>
  <si>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</si>
  <si>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</si>
  <si>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</si>
  <si>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</si>
  <si>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</si>
  <si>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</si>
  <si>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</si>
  <si>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</si>
  <si>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</si>
  <si>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</si>
  <si>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</si>
  <si>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</si>
  <si>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</si>
  <si>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</si>
  <si>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</si>
  <si>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</si>
  <si>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</si>
  <si>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</si>
  <si>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</si>
  <si>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</si>
  <si>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</si>
  <si>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</si>
  <si>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</si>
  <si>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</si>
  <si>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</si>
  <si>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</si>
  <si>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</si>
  <si>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</si>
  <si>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</si>
  <si>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</si>
  <si>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</si>
  <si>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</si>
  <si>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</si>
  <si>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</si>
  <si>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</si>
  <si>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</si>
  <si>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</si>
  <si>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</si>
  <si>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</si>
  <si>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</si>
  <si>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</si>
  <si>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</si>
  <si>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</si>
  <si>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</si>
  <si>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</si>
  <si>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</si>
  <si>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</si>
  <si>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</si>
  <si>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</si>
  <si>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</si>
  <si>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</si>
  <si>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</si>
  <si>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</si>
  <si>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</si>
  <si>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</si>
  <si>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</si>
  <si>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</si>
  <si>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</si>
  <si>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</si>
  <si>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</si>
  <si>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</si>
  <si>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</si>
  <si>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</si>
  <si>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</si>
  <si>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</si>
  <si>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</si>
  <si>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</si>
  <si>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</si>
  <si>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</si>
  <si>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</si>
  <si>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</si>
  <si>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</si>
  <si>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</si>
  <si>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</si>
  <si>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</si>
  <si>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</si>
  <si>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</si>
  <si>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</si>
  <si>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</si>
  <si>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</si>
  <si>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</si>
  <si>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</si>
  <si>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</si>
  <si>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</si>
  <si>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</si>
  <si>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</si>
  <si>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</si>
  <si>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</si>
  <si>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</si>
  <si>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</si>
  <si>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</si>
  <si>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</si>
  <si>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</si>
  <si>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</si>
  <si>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</si>
  <si>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</si>
  <si>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</si>
  <si>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</si>
  <si>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</si>
  <si>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</si>
  <si>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</si>
  <si>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</si>
  <si>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</si>
  <si>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</si>
  <si>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</si>
  <si>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</si>
  <si>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</si>
  <si>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</si>
  <si>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</si>
  <si>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</si>
  <si>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</si>
  <si>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</si>
  <si>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</si>
  <si>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</si>
  <si>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</si>
  <si>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</si>
  <si>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</si>
  <si>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</si>
  <si>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</si>
  <si>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</si>
  <si>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</si>
  <si>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</si>
  <si>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</si>
  <si>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</si>
  <si>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</si>
  <si>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</si>
  <si>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</si>
  <si>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</si>
  <si>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</si>
  <si>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</si>
  <si>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</si>
  <si>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</si>
  <si>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</si>
  <si>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</si>
  <si>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</si>
  <si>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</si>
  <si>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</si>
  <si>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</si>
  <si>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</si>
  <si>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</si>
  <si>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</si>
  <si>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</si>
  <si>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</si>
  <si>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</si>
  <si>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</si>
  <si>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</si>
  <si>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</si>
  <si>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</si>
  <si>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</si>
  <si>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</si>
  <si>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</si>
  <si>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</si>
  <si>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</si>
  <si>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</si>
  <si>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</si>
  <si>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</si>
  <si>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</si>
  <si>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</si>
  <si>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</si>
  <si>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</si>
  <si>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</si>
  <si>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</si>
  <si>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</si>
  <si>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</si>
  <si>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</si>
  <si>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</si>
  <si>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</si>
  <si>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</si>
  <si>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</si>
  <si>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</si>
  <si>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</si>
  <si>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</si>
  <si>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</si>
  <si>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</si>
  <si>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</si>
  <si>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</si>
  <si>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</si>
  <si>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</si>
  <si>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</si>
  <si>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</si>
  <si>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</si>
  <si>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</si>
  <si>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</si>
  <si>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</si>
  <si>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</si>
  <si>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</si>
  <si>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</si>
  <si>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</si>
  <si>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</si>
  <si>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</si>
  <si>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</si>
  <si>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</si>
  <si>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</si>
  <si>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</si>
  <si>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</si>
  <si>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</si>
  <si>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</si>
  <si>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</si>
  <si>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</si>
  <si>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</si>
  <si>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</si>
  <si>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</si>
  <si>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</si>
  <si>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</si>
  <si>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</si>
  <si>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</si>
  <si>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</si>
  <si>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</si>
  <si>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</si>
  <si>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</si>
  <si>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</si>
  <si>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</si>
  <si>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</si>
  <si>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</si>
  <si>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</si>
  <si>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</si>
  <si>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</si>
  <si>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</si>
  <si>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</si>
  <si>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</si>
  <si>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</si>
  <si>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</si>
  <si>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</si>
  <si>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</si>
  <si>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</si>
  <si>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</si>
  <si>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</si>
  <si>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</si>
  <si>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</si>
  <si>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</si>
  <si>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</si>
  <si>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</si>
  <si>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</si>
  <si>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</si>
  <si>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</si>
  <si>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</si>
  <si>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</si>
  <si>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</si>
  <si>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</si>
  <si>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</si>
  <si>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</si>
  <si>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</si>
  <si>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</si>
  <si>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</si>
  <si>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</si>
  <si>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</si>
  <si>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</si>
  <si>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</si>
  <si>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</si>
  <si>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</si>
  <si>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</si>
  <si>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</si>
  <si>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</si>
  <si>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</si>
  <si>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</si>
  <si>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</si>
  <si>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</si>
  <si>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</si>
  <si>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</si>
  <si>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</si>
  <si>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</si>
  <si>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</si>
  <si>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</si>
  <si>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</si>
  <si>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</si>
  <si>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</si>
  <si>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</si>
  <si>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</si>
  <si>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</si>
  <si>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</si>
  <si>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</si>
  <si>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</si>
  <si>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</si>
  <si>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</si>
  <si>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</si>
  <si>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</si>
  <si>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</si>
  <si>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</si>
  <si>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</si>
  <si>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</si>
  <si>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</si>
  <si>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</si>
  <si>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</si>
  <si>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</si>
  <si>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</si>
  <si>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</si>
  <si>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</si>
  <si>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</si>
  <si>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</si>
  <si>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</si>
  <si>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</si>
  <si>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</si>
  <si>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</si>
  <si>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</si>
  <si>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</si>
  <si>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</si>
  <si>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</si>
  <si>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</si>
  <si>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</si>
  <si>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</si>
  <si>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</si>
  <si>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</si>
  <si>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</si>
  <si>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</si>
  <si>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</si>
  <si>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</si>
  <si>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</si>
  <si>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</si>
  <si>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</si>
  <si>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</si>
  <si>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</si>
  <si>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</si>
  <si>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</si>
  <si>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</si>
  <si>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</si>
  <si>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</si>
  <si>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</si>
  <si>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</si>
  <si>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</si>
  <si>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</si>
  <si>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</si>
  <si>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</si>
  <si>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</si>
  <si>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</si>
  <si>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</si>
  <si>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</si>
  <si>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</si>
  <si>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</si>
  <si>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</si>
  <si>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</si>
  <si>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</si>
  <si>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</si>
  <si>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</si>
  <si>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</si>
  <si>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</si>
  <si>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</si>
  <si>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</si>
  <si>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</si>
  <si>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</si>
  <si>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</si>
  <si>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</si>
  <si>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</si>
  <si>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</si>
  <si>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</si>
  <si>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</si>
  <si>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</si>
  <si>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</si>
  <si>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</si>
  <si>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</si>
  <si>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</si>
  <si>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</si>
  <si>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</si>
  <si>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</si>
  <si>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</si>
  <si>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</si>
  <si>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</si>
  <si>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</si>
  <si>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</si>
  <si>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</si>
  <si>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</si>
  <si>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</si>
  <si>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</si>
  <si>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</si>
  <si>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</si>
  <si>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</si>
  <si>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</si>
  <si>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</si>
  <si>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</si>
  <si>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</si>
  <si>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</si>
  <si>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</si>
  <si>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</si>
  <si>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</si>
  <si>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</si>
  <si>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</si>
  <si>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</si>
  <si>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</si>
  <si>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</si>
  <si>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</si>
  <si>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</si>
  <si>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</si>
  <si>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</si>
  <si>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</si>
  <si>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</si>
  <si>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</si>
  <si>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</si>
  <si>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</si>
  <si>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</si>
  <si>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</si>
  <si>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</si>
  <si>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</si>
  <si>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</si>
  <si>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</si>
  <si>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</si>
  <si>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</si>
  <si>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</si>
  <si>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</si>
  <si>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</si>
  <si>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</si>
  <si>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</si>
  <si>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</si>
  <si>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</si>
  <si>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</si>
  <si>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</si>
  <si>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</si>
  <si>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</si>
  <si>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</si>
  <si>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</si>
  <si>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</si>
  <si>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</si>
  <si>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</si>
  <si>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</si>
  <si>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</si>
  <si>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</si>
  <si>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</si>
  <si>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</si>
  <si>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</si>
  <si>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</si>
  <si>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</si>
  <si>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</si>
  <si>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</si>
  <si>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</si>
  <si>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</si>
  <si>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</si>
  <si>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</si>
  <si>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</si>
  <si>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</si>
  <si>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</si>
  <si>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</si>
  <si>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</si>
  <si>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</si>
  <si>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</si>
  <si>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</si>
  <si>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</si>
  <si>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</si>
  <si>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</si>
  <si>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</si>
  <si>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</si>
  <si>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</si>
  <si>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</si>
  <si>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</si>
  <si>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</si>
  <si>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</si>
  <si>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</si>
  <si>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</si>
  <si>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</si>
  <si>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</si>
  <si>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</si>
  <si>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</si>
  <si>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</si>
  <si>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</si>
  <si>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</si>
  <si>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</si>
  <si>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</si>
  <si>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</si>
  <si>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</si>
  <si>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</si>
  <si>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</si>
  <si>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</si>
  <si>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</si>
  <si>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</si>
  <si>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</si>
  <si>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</si>
  <si>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</si>
  <si>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</si>
  <si>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</si>
  <si>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</si>
  <si>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</si>
  <si>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</si>
  <si>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</si>
  <si>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</si>
  <si>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</si>
  <si>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</si>
  <si>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</si>
  <si>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</si>
  <si>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</si>
  <si>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</si>
  <si>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</si>
  <si>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</si>
  <si>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</si>
  <si>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</si>
  <si>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</si>
  <si>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</si>
  <si>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</si>
  <si>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</si>
  <si>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</si>
  <si>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</si>
  <si>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</si>
  <si>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</si>
  <si>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</si>
  <si>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</si>
  <si>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</si>
  <si>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</si>
  <si>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</si>
  <si>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</si>
  <si>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</si>
  <si>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</si>
  <si>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</si>
  <si>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</si>
  <si>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</si>
  <si>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</si>
  <si>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</si>
  <si>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</si>
  <si>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</si>
  <si>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</si>
  <si>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</si>
  <si>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</si>
  <si>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</si>
  <si>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</si>
  <si>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</si>
  <si>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</si>
  <si>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</si>
  <si>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</si>
  <si>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</si>
  <si>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</si>
  <si>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</si>
  <si>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</si>
  <si>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</si>
  <si>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</si>
  <si>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</si>
  <si>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</si>
  <si>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</si>
  <si>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</si>
  <si>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</si>
  <si>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</si>
  <si>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</si>
  <si>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</si>
  <si>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</si>
  <si>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</si>
  <si>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</si>
  <si>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</si>
  <si>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</si>
  <si>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</si>
  <si>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</si>
  <si>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</si>
  <si>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</si>
  <si>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</si>
  <si>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</si>
  <si>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</si>
  <si>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</si>
  <si>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</si>
  <si>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</si>
  <si>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</si>
  <si>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</si>
  <si>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</si>
  <si>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</si>
  <si>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</si>
  <si>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</si>
  <si>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</si>
  <si>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</si>
  <si>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</si>
  <si>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</si>
  <si>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</si>
  <si>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</si>
  <si>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</si>
  <si>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</si>
  <si>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</si>
  <si>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</si>
  <si>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</si>
  <si>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</si>
  <si>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</si>
  <si>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</si>
  <si>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</si>
  <si>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</si>
  <si>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</si>
  <si>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</si>
  <si>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</si>
  <si>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</si>
  <si>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</si>
  <si>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</si>
  <si>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</si>
  <si>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</si>
  <si>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</si>
  <si>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</si>
  <si>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</si>
  <si>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</si>
  <si>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</si>
  <si>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</si>
  <si>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</si>
  <si>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</si>
  <si>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</si>
  <si>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</si>
  <si>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</si>
  <si>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</si>
  <si>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</si>
  <si>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</si>
  <si>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</si>
  <si>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</si>
  <si>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</si>
  <si>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</si>
  <si>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</si>
  <si>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</si>
  <si>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</si>
  <si>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</si>
  <si>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</si>
  <si>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</si>
  <si>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</si>
  <si>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</si>
  <si>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</si>
  <si>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</si>
  <si>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</si>
  <si>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</si>
  <si>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</si>
  <si>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</si>
  <si>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</si>
  <si>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</si>
  <si>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</si>
  <si>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</si>
  <si>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</si>
  <si>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</si>
  <si>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</si>
  <si>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</si>
  <si>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</si>
  <si>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</si>
  <si>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</si>
  <si>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</si>
  <si>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</si>
  <si>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</si>
  <si>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</si>
  <si>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</si>
  <si>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</si>
  <si>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</si>
  <si>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</si>
  <si>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</si>
  <si>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</si>
  <si>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</si>
  <si>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</si>
  <si>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</si>
  <si>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</si>
  <si>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</si>
  <si>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</si>
  <si>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</si>
  <si>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</si>
  <si>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</si>
  <si>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</si>
  <si>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</si>
  <si>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</si>
  <si>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</si>
  <si>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</si>
  <si>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</si>
  <si>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</si>
  <si>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</si>
  <si>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</si>
  <si>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</si>
  <si>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</si>
  <si>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</si>
  <si>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</si>
  <si>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</si>
  <si>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</si>
  <si>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</si>
  <si>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</si>
  <si>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</si>
  <si>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</si>
  <si>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</si>
  <si>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</si>
  <si>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</si>
  <si>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</si>
  <si>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</si>
  <si>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</si>
  <si>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</si>
  <si>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</si>
  <si>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</si>
  <si>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</si>
  <si>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</si>
  <si>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</si>
  <si>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</si>
  <si>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</si>
  <si>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</si>
  <si>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</si>
  <si>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</si>
  <si>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</si>
  <si>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</si>
  <si>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</si>
  <si>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</si>
  <si>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</si>
  <si>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</si>
  <si>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</si>
  <si>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</si>
  <si>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</si>
  <si>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</si>
  <si>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</si>
  <si>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</si>
  <si>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</si>
  <si>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</si>
  <si>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</si>
  <si>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</si>
  <si>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</si>
  <si>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</si>
  <si>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</si>
  <si>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</si>
  <si>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</si>
  <si>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</si>
  <si>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</si>
  <si>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</si>
  <si>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</si>
  <si>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</si>
  <si>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</si>
  <si>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</si>
  <si>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</si>
  <si>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</si>
  <si>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</si>
  <si>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</si>
  <si>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</si>
  <si>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</si>
  <si>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</si>
  <si>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</si>
  <si>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</si>
  <si>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</si>
  <si>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</si>
  <si>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</si>
  <si>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</si>
  <si>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</si>
  <si>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</si>
  <si>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</si>
  <si>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</si>
  <si>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</si>
  <si>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</si>
  <si>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</si>
  <si>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</si>
  <si>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</si>
  <si>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</si>
  <si>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</si>
  <si>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</si>
  <si>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</si>
  <si>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</si>
  <si>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</si>
  <si>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</si>
  <si>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</si>
  <si>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</si>
  <si>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</si>
  <si>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</si>
  <si>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</si>
  <si>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</si>
  <si>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</si>
  <si>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</si>
  <si>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</si>
  <si>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</si>
  <si>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</si>
  <si>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</si>
  <si>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</si>
  <si>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</si>
  <si>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</si>
  <si>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</si>
  <si>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</si>
  <si>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</si>
  <si>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</si>
  <si>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</si>
  <si>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</si>
  <si>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</si>
  <si>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</si>
  <si>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</si>
  <si>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</si>
  <si>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</si>
  <si>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</si>
  <si>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</si>
  <si>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</si>
  <si>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</si>
  <si>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</si>
  <si>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</si>
  <si>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</si>
  <si>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</si>
  <si>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</si>
  <si>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</si>
  <si>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</si>
  <si>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</si>
  <si>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</si>
  <si>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</si>
  <si>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</si>
  <si>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</si>
  <si>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</si>
  <si>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</si>
  <si>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</si>
  <si>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</si>
  <si>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</si>
  <si>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</si>
  <si>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</si>
  <si>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</si>
  <si>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</si>
  <si>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</si>
  <si>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</si>
  <si>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</si>
  <si>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</si>
  <si>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</si>
  <si>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</si>
  <si>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</si>
  <si>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</si>
  <si>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</si>
  <si>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</si>
  <si>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</si>
  <si>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</si>
  <si>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</si>
  <si>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</si>
  <si>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</si>
  <si>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</si>
  <si>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</si>
  <si>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</si>
  <si>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</si>
  <si>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</si>
  <si>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</si>
  <si>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</si>
  <si>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</si>
  <si>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</si>
  <si>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</si>
  <si>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</si>
  <si>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</si>
  <si>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</si>
  <si>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</si>
  <si>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</si>
  <si>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</si>
  <si>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</si>
  <si>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</si>
  <si>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</si>
  <si>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</si>
  <si>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</si>
  <si>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</si>
  <si>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</si>
  <si>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</si>
  <si>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</si>
  <si>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</si>
  <si>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</si>
  <si>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</si>
  <si>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</si>
  <si>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</si>
  <si>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</si>
  <si>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</si>
  <si>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</si>
  <si>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</si>
  <si>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</si>
  <si>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</si>
  <si>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</si>
  <si>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</si>
  <si>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</si>
  <si>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</si>
  <si>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</si>
  <si>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</si>
  <si>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</si>
  <si>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</si>
  <si>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</si>
  <si>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</si>
  <si>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</si>
  <si>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</si>
  <si>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</si>
  <si>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</si>
  <si>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</si>
  <si>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</si>
  <si>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</si>
  <si>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</si>
  <si>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</si>
  <si>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</si>
  <si>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</si>
  <si>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</si>
  <si>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</si>
  <si>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</si>
  <si>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</si>
  <si>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</si>
  <si>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</si>
  <si>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</si>
  <si>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</si>
  <si>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</si>
  <si>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</si>
  <si>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</si>
  <si>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</si>
  <si>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</si>
  <si>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</si>
  <si>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</si>
  <si>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</si>
  <si>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</si>
  <si>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</si>
  <si>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</si>
  <si>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</si>
  <si>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</si>
  <si>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</si>
  <si>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</si>
  <si>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</si>
  <si>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</si>
  <si>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</si>
  <si>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</si>
  <si>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</si>
  <si>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</si>
  <si>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</si>
  <si>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</si>
  <si>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</si>
  <si>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</si>
  <si>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</si>
  <si>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</si>
  <si>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</si>
  <si>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</si>
  <si>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</si>
  <si>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</si>
  <si>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</si>
  <si>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</si>
  <si>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</si>
  <si>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</si>
  <si>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</si>
  <si>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</si>
  <si>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</si>
  <si>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</si>
  <si>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</si>
  <si>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</si>
  <si>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</si>
  <si>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</si>
  <si>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</si>
  <si>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</si>
  <si>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</si>
  <si>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</si>
  <si>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</si>
  <si>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</si>
  <si>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</si>
  <si>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</si>
  <si>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</si>
  <si>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</si>
  <si>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</si>
  <si>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</si>
  <si>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</si>
  <si>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</si>
  <si>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</si>
  <si>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</si>
  <si>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</si>
  <si>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</si>
  <si>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</si>
  <si>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</si>
  <si>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</si>
  <si>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</si>
  <si>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</si>
  <si>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</si>
  <si>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</si>
  <si>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</si>
  <si>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</si>
  <si>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</si>
  <si>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</si>
  <si>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</si>
  <si>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</si>
  <si>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</si>
  <si>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</si>
  <si>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</si>
  <si>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</si>
  <si>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</si>
  <si>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</si>
  <si>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</si>
  <si>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</si>
  <si>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</si>
  <si>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</si>
  <si>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</si>
  <si>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</si>
  <si>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</si>
  <si>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</si>
  <si>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</si>
  <si>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</si>
  <si>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</si>
  <si>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</si>
  <si>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</si>
  <si>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</si>
  <si>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</si>
  <si>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</si>
  <si>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</si>
  <si>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</si>
  <si>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</si>
  <si>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</si>
  <si>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</si>
  <si>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</si>
  <si>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</si>
  <si>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</si>
  <si>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</si>
  <si>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</si>
  <si>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</si>
  <si>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</si>
  <si>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</si>
  <si>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</si>
  <si>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</si>
  <si>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</si>
  <si>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</si>
  <si>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</si>
  <si>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</si>
  <si>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</si>
  <si>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</si>
  <si>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</si>
  <si>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</si>
  <si>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</si>
  <si>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</si>
  <si>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</si>
  <si>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</si>
  <si>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</si>
  <si>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</si>
  <si>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</si>
  <si>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</si>
  <si>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</si>
  <si>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</si>
  <si>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</si>
  <si>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</si>
  <si>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</si>
  <si>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</si>
  <si>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</si>
  <si>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</si>
  <si>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</si>
  <si>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</si>
  <si>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</si>
  <si>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</si>
  <si>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</si>
  <si>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</si>
  <si>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</si>
  <si>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</si>
  <si>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</si>
  <si>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</si>
  <si>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</si>
  <si>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</si>
  <si>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</si>
  <si>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</si>
  <si>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</si>
  <si>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</si>
  <si>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</si>
  <si>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</si>
  <si>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</si>
  <si>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</si>
  <si>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</si>
  <si>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</si>
  <si>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</si>
  <si>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</si>
  <si>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</si>
  <si>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</si>
  <si>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</si>
  <si>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</si>
  <si>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</si>
  <si>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</si>
  <si>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</si>
  <si>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</si>
  <si>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</si>
  <si>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</si>
  <si>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</si>
  <si>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</si>
  <si>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</si>
  <si>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</si>
  <si>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</si>
  <si>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</si>
  <si>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</si>
  <si>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</si>
  <si>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</si>
  <si>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</si>
  <si>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</si>
  <si>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</si>
  <si>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</si>
  <si>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</si>
  <si>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</si>
  <si>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</si>
  <si>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</si>
  <si>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</si>
  <si>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</si>
  <si>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</si>
  <si>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</si>
  <si>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</si>
  <si>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</si>
  <si>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</si>
  <si>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</si>
  <si>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</si>
  <si>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</si>
  <si>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</si>
  <si>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</si>
  <si>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</si>
  <si>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</si>
  <si>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</si>
  <si>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</si>
  <si>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</si>
  <si>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</si>
  <si>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</si>
  <si>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</si>
  <si>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</si>
  <si>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</si>
  <si>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</si>
  <si>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</si>
  <si>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</si>
  <si>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</si>
  <si>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</si>
  <si>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</si>
  <si>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</si>
  <si>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</si>
  <si>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</si>
  <si>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</si>
  <si>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</si>
  <si>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</si>
  <si>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</si>
  <si>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</si>
  <si>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</si>
  <si>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</si>
  <si>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</si>
  <si>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</si>
  <si>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</si>
  <si>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</si>
  <si>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</si>
  <si>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</si>
  <si>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</si>
  <si>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</si>
  <si>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</si>
  <si>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</si>
  <si>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</si>
  <si>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</si>
  <si>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</si>
  <si>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</si>
  <si>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</si>
  <si>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</si>
  <si>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</si>
  <si>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</si>
  <si>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</si>
  <si>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</si>
  <si>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</si>
  <si>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</si>
  <si>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</si>
  <si>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</si>
  <si>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</si>
  <si>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</si>
  <si>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</si>
  <si>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</si>
  <si>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</si>
  <si>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</si>
  <si>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</si>
  <si>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</si>
  <si>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</si>
  <si>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</si>
  <si>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</si>
  <si>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</si>
  <si>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</si>
  <si>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</si>
  <si>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</si>
  <si>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</si>
  <si>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</si>
  <si>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</si>
  <si>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</si>
  <si>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</si>
  <si>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</si>
  <si>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</si>
  <si>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</si>
  <si>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</si>
  <si>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</si>
  <si>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</si>
  <si>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</si>
  <si>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</si>
  <si>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</si>
  <si>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</si>
  <si>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</si>
  <si>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</si>
  <si>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</si>
  <si>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</si>
  <si>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</si>
  <si>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</si>
  <si>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</si>
  <si>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</si>
  <si>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</si>
  <si>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</si>
  <si>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</si>
  <si>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</si>
  <si>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</si>
  <si>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</si>
  <si>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</si>
  <si>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</si>
  <si>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</si>
  <si>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</si>
  <si>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</si>
  <si>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</si>
  <si>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</si>
  <si>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</si>
  <si>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</si>
  <si>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</si>
  <si>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</si>
  <si>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</si>
  <si>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</si>
  <si>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</si>
  <si>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</si>
  <si>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</si>
  <si>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</si>
  <si>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</si>
  <si>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</si>
  <si>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</si>
  <si>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</si>
  <si>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</si>
  <si>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</si>
  <si>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</si>
  <si>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</si>
  <si>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</si>
  <si>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</si>
  <si>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</si>
  <si>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</si>
  <si>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</si>
  <si>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</si>
  <si>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</si>
  <si>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</si>
  <si>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</si>
  <si>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</si>
  <si>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</si>
  <si>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</si>
  <si>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</si>
  <si>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</si>
  <si>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</si>
  <si>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</si>
  <si>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</si>
  <si>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</si>
  <si>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</si>
  <si>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</si>
  <si>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</si>
  <si>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</si>
  <si>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</si>
  <si>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</si>
  <si>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</si>
  <si>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</si>
  <si>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</si>
  <si>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</si>
  <si>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</si>
  <si>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</si>
  <si>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</si>
  <si>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</si>
  <si>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</si>
  <si>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</si>
  <si>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</si>
  <si>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</si>
  <si>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</si>
  <si>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</si>
  <si>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</si>
  <si>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</si>
  <si>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</si>
  <si>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</si>
  <si>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</si>
  <si>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</si>
  <si>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</si>
  <si>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</si>
  <si>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</si>
  <si>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</si>
  <si>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</si>
  <si>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</si>
  <si>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</si>
  <si>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</si>
  <si>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</si>
  <si>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</si>
  <si>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</si>
  <si>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</si>
  <si>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</si>
  <si>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</si>
  <si>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</si>
  <si>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</si>
  <si>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</si>
  <si>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</si>
  <si>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</si>
  <si>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</si>
  <si>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</si>
  <si>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</si>
  <si>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</si>
  <si>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</si>
  <si>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</si>
  <si>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</si>
  <si>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</si>
  <si>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</si>
  <si>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</si>
  <si>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</si>
  <si>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</si>
  <si>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</si>
  <si>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</si>
  <si>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</si>
  <si>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</si>
  <si>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</si>
  <si>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</si>
  <si>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</si>
  <si>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</si>
  <si>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</si>
  <si>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</si>
  <si>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</si>
  <si>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</si>
  <si>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</si>
  <si>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</si>
  <si>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</si>
  <si>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</si>
  <si>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</si>
  <si>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</si>
  <si>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</si>
  <si>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</si>
  <si>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</si>
  <si>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</si>
  <si>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</si>
  <si>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</si>
  <si>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</si>
  <si>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</si>
  <si>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</si>
  <si>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</si>
  <si>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</si>
  <si>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</si>
  <si>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</si>
  <si>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</si>
  <si>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</si>
  <si>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</si>
  <si>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</si>
  <si>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</si>
  <si>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</si>
  <si>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</si>
  <si>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</si>
  <si>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</si>
  <si>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</si>
  <si>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</si>
  <si>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</si>
  <si>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</si>
  <si>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</si>
  <si>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</si>
  <si>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</si>
  <si>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</si>
  <si>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</si>
  <si>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</si>
  <si>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</si>
  <si>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</si>
  <si>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</si>
  <si>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</si>
  <si>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</si>
  <si>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</si>
  <si>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</si>
  <si>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</si>
  <si>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</si>
  <si>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</si>
  <si>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</si>
  <si>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</si>
  <si>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</si>
  <si>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</si>
  <si>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</si>
  <si>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</si>
  <si>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</si>
  <si>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</si>
  <si>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</si>
  <si>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</si>
  <si>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</si>
  <si>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</si>
  <si>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</si>
  <si>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</si>
  <si>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</si>
  <si>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</si>
  <si>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</si>
  <si>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</si>
  <si>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</si>
  <si>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</si>
  <si>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</si>
  <si>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</si>
  <si>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</si>
  <si>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</si>
  <si>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</si>
  <si>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</si>
  <si>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</si>
  <si>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</si>
  <si>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</si>
  <si>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</si>
  <si>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</si>
  <si>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</si>
  <si>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</si>
  <si>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</si>
  <si>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</si>
  <si>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</si>
  <si>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</si>
  <si>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</si>
  <si>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</si>
  <si>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</si>
  <si>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</si>
  <si>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</si>
  <si>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</si>
  <si>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</si>
  <si>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</si>
  <si>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</si>
  <si>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</si>
  <si>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</si>
  <si>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</si>
  <si>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</si>
  <si>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</si>
  <si>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</si>
  <si>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</si>
  <si>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</si>
  <si>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</si>
  <si>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</si>
  <si>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</si>
  <si>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</si>
  <si>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</si>
  <si>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</si>
  <si>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</si>
  <si>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</si>
  <si>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</si>
  <si>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</si>
  <si>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</si>
  <si>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</si>
  <si>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</si>
  <si>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</si>
  <si>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</si>
  <si>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</si>
  <si>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</si>
  <si>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</si>
  <si>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</si>
  <si>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</si>
  <si>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</si>
  <si>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</si>
  <si>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</si>
  <si>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</si>
  <si>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</si>
  <si>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</si>
  <si>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</si>
  <si>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</si>
  <si>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</si>
  <si>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</si>
  <si>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</si>
  <si>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</si>
  <si>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</si>
  <si>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</si>
  <si>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</si>
  <si>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</si>
  <si>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</si>
  <si>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</si>
  <si>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</si>
  <si>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</si>
  <si>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</si>
  <si>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</si>
  <si>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</si>
  <si>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</si>
  <si>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</si>
  <si>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</si>
  <si>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</si>
  <si>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</si>
  <si>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</si>
  <si>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</si>
  <si>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</si>
  <si>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</si>
  <si>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</si>
  <si>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</si>
  <si>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</si>
  <si>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</si>
  <si>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</si>
  <si>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</si>
  <si>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</si>
  <si>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</si>
  <si>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Liberado para expedição</t>
  </si>
  <si>
    <t>LIBERADO PARA EXPEDIÇÃO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</si>
  <si>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</si>
  <si>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</si>
  <si>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</si>
  <si>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</si>
  <si>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</si>
  <si>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</si>
  <si>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</si>
  <si>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</si>
  <si>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</si>
  <si>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</si>
  <si>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</si>
  <si>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</si>
  <si>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</si>
  <si>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</si>
  <si>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</si>
  <si>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</si>
  <si>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</si>
  <si>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</si>
  <si>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</si>
  <si>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</si>
  <si>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</si>
  <si>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</si>
  <si>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</si>
  <si>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</si>
  <si>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</si>
  <si>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</si>
  <si>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</si>
  <si>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</si>
  <si>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</si>
  <si>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</si>
  <si>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</si>
  <si>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</si>
  <si>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</si>
  <si>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</si>
  <si>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</si>
  <si>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</si>
  <si>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</si>
  <si>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</si>
  <si>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</si>
  <si>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</si>
  <si>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</si>
  <si>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</si>
  <si>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</si>
  <si>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</si>
  <si>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</si>
  <si>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</si>
  <si>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</si>
  <si>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</si>
  <si>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</si>
  <si>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</si>
  <si>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</si>
  <si>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</si>
  <si>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</si>
  <si>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</si>
  <si>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</si>
  <si>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</si>
  <si>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</si>
  <si>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</si>
  <si>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</si>
  <si>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</si>
  <si>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</si>
  <si>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</si>
  <si>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</si>
  <si>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</si>
  <si>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</si>
  <si>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</si>
  <si>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</si>
  <si>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</si>
  <si>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</si>
  <si>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</si>
  <si>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</si>
  <si>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</si>
  <si>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</si>
  <si>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</si>
  <si>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</si>
  <si>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</si>
  <si>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</si>
  <si>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</si>
  <si>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</si>
  <si>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</si>
  <si>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</si>
  <si>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</si>
  <si>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</si>
  <si>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</si>
  <si>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</si>
  <si>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</si>
  <si>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</si>
  <si>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</si>
  <si>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</si>
  <si>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</si>
  <si>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</si>
  <si>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</si>
  <si>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</si>
  <si>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</si>
  <si>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</si>
  <si>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</si>
  <si>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</si>
  <si>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</si>
  <si>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</si>
  <si>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</si>
  <si>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</si>
  <si>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</si>
  <si>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</si>
  <si>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</si>
  <si>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</si>
  <si>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</si>
  <si>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AGUARDADNO MATERIA PRIMA</t>
  </si>
  <si>
    <t>P.897</t>
  </si>
  <si>
    <t>NEW WAVE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</si>
  <si>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</si>
  <si>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</si>
  <si>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</si>
  <si>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</si>
  <si>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</si>
  <si>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</si>
  <si>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</si>
  <si>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</si>
  <si>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</si>
  <si>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</si>
  <si>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</si>
  <si>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</si>
  <si>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</si>
  <si>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</si>
  <si>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</si>
  <si>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</si>
  <si>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</si>
  <si>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</si>
  <si>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</si>
  <si>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</si>
  <si>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</si>
  <si>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</si>
  <si>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</si>
  <si>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</si>
  <si>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</si>
  <si>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</si>
  <si>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</si>
  <si>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</si>
  <si>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</si>
  <si>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</si>
  <si>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</si>
  <si>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</si>
  <si>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</si>
  <si>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</si>
  <si>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</si>
  <si>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</si>
  <si>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2 - 06/08/2026</t>
  </si>
  <si>
    <t>1 - 06/08/2026</t>
  </si>
  <si>
    <t>PLATAFORMA DO CHUTE DE DESCARGA - DETALHES (PLATAFORMA LATERAL DO CHUTE DE DESCARGA) 73269-B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</si>
  <si>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</si>
  <si>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</si>
  <si>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</si>
  <si>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</si>
  <si>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</si>
  <si>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</si>
  <si>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</si>
  <si>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</si>
  <si>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</si>
  <si>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</si>
  <si>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</si>
  <si>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</si>
  <si>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</si>
  <si>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</si>
  <si>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</si>
  <si>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</si>
  <si>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</si>
  <si>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</si>
  <si>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</si>
  <si>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</si>
  <si>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</si>
  <si>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</si>
  <si>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</si>
  <si>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</si>
  <si>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</si>
  <si>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</si>
  <si>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</si>
  <si>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</si>
  <si>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</si>
  <si>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</si>
  <si>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</si>
  <si>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</si>
  <si>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</si>
  <si>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</si>
  <si>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</si>
  <si>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</si>
  <si>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</si>
  <si>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</si>
  <si>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</si>
  <si>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</si>
  <si>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</si>
  <si>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</si>
  <si>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</si>
  <si>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</si>
  <si>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</si>
  <si>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</si>
  <si>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</si>
  <si>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</si>
  <si>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</si>
  <si>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</si>
  <si>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</si>
  <si>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</si>
  <si>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</si>
  <si>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</si>
  <si>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</si>
  <si>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</si>
  <si>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</si>
  <si>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</si>
  <si>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</si>
  <si>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</si>
  <si>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</si>
  <si>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</si>
  <si>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</si>
  <si>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</si>
  <si>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</si>
  <si>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</si>
  <si>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</si>
  <si>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</si>
  <si>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</si>
  <si>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</si>
  <si>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</si>
  <si>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</si>
  <si>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</si>
  <si>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</si>
  <si>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</si>
  <si>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</si>
  <si>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</si>
  <si>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</si>
  <si>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</si>
  <si>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</si>
  <si>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</si>
  <si>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</si>
  <si>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</si>
  <si>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</si>
  <si>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</si>
  <si>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</si>
  <si>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</si>
  <si>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</si>
  <si>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</si>
  <si>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</si>
  <si>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</si>
  <si>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</si>
  <si>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</si>
  <si>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</si>
  <si>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MI-D-148-ME-DF-0138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</si>
  <si>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</si>
  <si>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</si>
  <si>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</si>
  <si>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</si>
  <si>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</si>
  <si>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</si>
  <si>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</si>
  <si>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</si>
  <si>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</si>
  <si>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</si>
  <si>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</si>
  <si>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</si>
  <si>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</si>
  <si>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</si>
  <si>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</si>
  <si>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</si>
  <si>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</si>
  <si>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</si>
  <si>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</si>
  <si>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</si>
  <si>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</si>
  <si>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</si>
  <si>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</si>
  <si>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</si>
  <si>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</si>
  <si>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</si>
  <si>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</si>
  <si>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</si>
  <si>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</si>
  <si>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</si>
  <si>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</si>
  <si>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</si>
  <si>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</si>
  <si>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</si>
  <si>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</si>
  <si>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</si>
  <si>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</si>
  <si>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</si>
  <si>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</si>
  <si>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</si>
  <si>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</si>
  <si>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</si>
  <si>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</si>
  <si>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</si>
  <si>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</si>
  <si>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</si>
  <si>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</si>
  <si>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</si>
  <si>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</si>
  <si>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</si>
  <si>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</si>
  <si>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</si>
  <si>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</si>
  <si>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</si>
  <si>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</si>
  <si>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</si>
  <si>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</si>
  <si>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</si>
  <si>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</si>
  <si>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</si>
  <si>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</si>
  <si>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</si>
  <si>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</si>
  <si>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</si>
  <si>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</si>
  <si>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</si>
  <si>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</si>
  <si>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</si>
  <si>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</si>
  <si>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</si>
  <si>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</si>
  <si>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</si>
  <si>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</si>
  <si>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</si>
  <si>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</si>
  <si>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</si>
  <si>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</si>
  <si>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</si>
  <si>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</si>
  <si>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</si>
  <si>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</si>
  <si>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</si>
  <si>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</si>
  <si>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</si>
  <si>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</si>
  <si>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</si>
  <si>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</si>
  <si>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</si>
  <si>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</si>
  <si>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</si>
  <si>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</si>
  <si>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</si>
  <si>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</si>
  <si>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</si>
  <si>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</si>
  <si>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</si>
  <si>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</si>
  <si>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</si>
  <si>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</si>
  <si>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</si>
  <si>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</si>
  <si>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</si>
  <si>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</si>
  <si>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</si>
  <si>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</si>
  <si>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</si>
  <si>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</si>
  <si>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</si>
  <si>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</si>
  <si>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</si>
  <si>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</si>
  <si>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</si>
  <si>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</si>
  <si>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</si>
  <si>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</si>
  <si>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</si>
  <si>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</si>
  <si>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</si>
  <si>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</si>
  <si>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</si>
  <si>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</si>
  <si>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</si>
  <si>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</si>
  <si>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</si>
  <si>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</si>
  <si>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</si>
  <si>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</si>
  <si>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</si>
  <si>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</si>
  <si>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</si>
  <si>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</si>
  <si>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</si>
  <si>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</si>
  <si>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</si>
  <si>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</si>
  <si>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</si>
  <si>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</si>
  <si>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</si>
  <si>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</si>
  <si>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</si>
  <si>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</si>
  <si>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</si>
  <si>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</si>
  <si>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</si>
  <si>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</si>
  <si>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</si>
  <si>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</si>
  <si>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</si>
  <si>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</si>
  <si>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</si>
  <si>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P206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</si>
  <si>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</si>
  <si>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</si>
  <si>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</si>
  <si>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</si>
  <si>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</si>
  <si>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</si>
  <si>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</si>
  <si>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</si>
  <si>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</si>
  <si>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</si>
  <si>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</si>
  <si>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</si>
  <si>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</si>
  <si>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</si>
  <si>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</si>
  <si>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</si>
  <si>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</si>
  <si>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</si>
  <si>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REVESTIMENTO DA SAPATA (REVESTIMENTO DA SAPATA) 73401A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</si>
  <si>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</si>
  <si>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</si>
  <si>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T-073756-1</t>
  </si>
  <si>
    <t>MI-D-148-ME-DF-0135</t>
  </si>
  <si>
    <t>LIMPADOR EM V - DETALHES (LIMPADOR EM V) 73756-A</t>
  </si>
  <si>
    <t>1 - 21/08/2026</t>
  </si>
  <si>
    <t>T-073253-1</t>
  </si>
  <si>
    <t>T-073254-1</t>
  </si>
  <si>
    <t>A-014823-2</t>
  </si>
  <si>
    <t>A-000870-2</t>
  </si>
  <si>
    <t>ALIMENTADOR METÁLICO AM-09XX - RODA LISA - DETALHES</t>
  </si>
  <si>
    <t>A-000906-4</t>
  </si>
  <si>
    <t>CHAPA TRAVA - DETALHES</t>
  </si>
  <si>
    <t>ALIMENTADOR DE PLACAS 312 AL 101 (AM-1865) - EIXO DE ESTICAMENTO - CONJUNTO</t>
  </si>
  <si>
    <t>A-014935-2</t>
  </si>
  <si>
    <t>ALIMENTADOR DE PLACAS 312 AL 101 (AM-1865) - CUBO PARA RODA</t>
  </si>
  <si>
    <t>A-014937-4</t>
  </si>
  <si>
    <t>CHAVETA 45 X 25X 280 - DETALHES</t>
  </si>
  <si>
    <t>A-015126-1</t>
  </si>
  <si>
    <t>MANCAL DE ESTICAMENTO - CONJUNTO E DETALHES</t>
  </si>
  <si>
    <t>A-015698-4</t>
  </si>
  <si>
    <t>ANEL DE BLOQUEIO - DETALHES</t>
  </si>
  <si>
    <t>A-015127-2</t>
  </si>
  <si>
    <t>ALIMENTADOR DE SAPATAS AM 1865 - FUSO DO ESTICAMENTO - CONJUNTO E DETALHES</t>
  </si>
  <si>
    <t>1 - 24/08/2026</t>
  </si>
  <si>
    <t>F-073328-1</t>
  </si>
  <si>
    <t>1-P-551-R8-DF-402-0102-TC09-017</t>
  </si>
  <si>
    <t>COLUNAS DE SUPORTES - DETALHES (COLUNA) 017A</t>
  </si>
  <si>
    <t>F-073324-1</t>
  </si>
  <si>
    <t>1-P-551-R8-DF-402-0102-TC09-013</t>
  </si>
  <si>
    <t>COLUNAS DE SUPORTES - DETALHES (COLUNA) 013A</t>
  </si>
  <si>
    <t>COLUNAS DE SUPORTES - DETALHES (COLUNA) 013B</t>
  </si>
  <si>
    <t>F-073323-1</t>
  </si>
  <si>
    <t>1-P-551-R8-DF-402-0102-TC09-012</t>
  </si>
  <si>
    <t>COLUNAS DE SUPORTES - DETALHES (COLUNA) 012A</t>
  </si>
  <si>
    <t>F-073339-1</t>
  </si>
  <si>
    <t>1-P-551-R8-DF-402-0102-TC09-028</t>
  </si>
  <si>
    <t>TRELIÇA 04 - DETALHES (TRELIÇA) 028A</t>
  </si>
  <si>
    <t>F-073318-1</t>
  </si>
  <si>
    <t>1-P-551-R8-DF-402-0102-TC09-007</t>
  </si>
  <si>
    <t>TRELIÇA 03 - DETALHES (TRELIÇA) 007A</t>
  </si>
  <si>
    <t>F-073315-1</t>
  </si>
  <si>
    <t>1-P-551-R8-DF-402-0102-TC09-004</t>
  </si>
  <si>
    <t>ESTRUTURA TAMBOR DE RETORNO - DETALHE (ESTRUTURA) 004A</t>
  </si>
  <si>
    <t>ESTRUTURA TAMBOR DE RETORNO - DETALHE (VIGA ) 004B</t>
  </si>
  <si>
    <t>ESTRUTURA TAMBOR DE RETORNO - DETALHE (COLUNA ) 004C</t>
  </si>
  <si>
    <t>F-073325-1</t>
  </si>
  <si>
    <t>1-P-551-R8-DF-402-0102-TC09-014</t>
  </si>
  <si>
    <t>GUIA DE MATERIAL - DETALHES (LATERAL - DIR.) 014A</t>
  </si>
  <si>
    <t>GUIA DE MATERIAL - DETALHES (LATERAL - DIR.) 014B</t>
  </si>
  <si>
    <t>GUIA DE MATERIAL - DETALHES (TAMPA TRASEIRA) 014C</t>
  </si>
  <si>
    <t>GUIA DE MATERIAL - DETALHES (SUPORTE DA GUIA - DIR) 014D</t>
  </si>
  <si>
    <t>GUIA DE MATERIAL - DETALHES (SUPORTE DA GUIA - DIR) 014E</t>
  </si>
  <si>
    <t>GUIA DE MATERIAL - DETALHES (SUPORTE ) 014F</t>
  </si>
  <si>
    <t>GUIA DE MATERIAL - DETALHES (PRESILHA TRASEIRA ) 014J</t>
  </si>
  <si>
    <t>GUIA DE MATERIAL - DETALHES (PRESILHA LATERAL - TIPO 2 ) 014H</t>
  </si>
  <si>
    <t>GUIA DE MATERIAL - DETALHES (PRESILHA LATERAL - TIPO 1 ) 014G</t>
  </si>
  <si>
    <t>F-073326-1</t>
  </si>
  <si>
    <t>1-P-551-R8-DF-402-0102-TC09-015</t>
  </si>
  <si>
    <t>F-073351-1</t>
  </si>
  <si>
    <t xml:space="preserve">TAMBOR LIVRE FREET Ø800 x 700 - CONJUNTO E DETALHES (TAMBOR LIVRE FREET) </t>
  </si>
  <si>
    <t>PROTEÇÃO TAMBOR DE RETORNO - MONTANTE PROTEÇÃO TITRÔNIC - DETALHES (PROTEÇÃO) 015A</t>
  </si>
  <si>
    <t>PROTEÇÃO TAMBOR DE RETORNO - MONTANTE PROTEÇÃO TITRÔNIC - DETALHES (PROTEÇÃO) 015B</t>
  </si>
  <si>
    <t>PROTEÇÃO TAMBOR DE RETORNO - MONTANTE PROTEÇÃO TITRÔNIC - DETALHES (PROTEÇÃO) 015C</t>
  </si>
  <si>
    <t>PROTEÇÃO TAMBOR DE RETORNO - MONTANTE PROTEÇÃO TITRÔNIC - DETALHES (PROTEÇÃO) 015D</t>
  </si>
  <si>
    <t>PROTEÇÃO TAMBOR DE RETORNO - MONTANTE PROTEÇÃO TITRÔNIC - DETALHES (PROTEÇÃO) 015E</t>
  </si>
  <si>
    <t>PROTEÇÃO TAMBOR DE RETORNO - MONTANTE PROTEÇÃO TITRÔNIC - DETALHES (PROTEÇÃO) 015F</t>
  </si>
  <si>
    <t>PROTEÇÃO TAMBOR DE RETORNO - MONTANTE PROTEÇÃO TITRÔNIC - DETALHES (PROTEÇÃO) 015G</t>
  </si>
  <si>
    <t>PROTEÇÃO TAMBOR DE RETORNO - MONTANTE PROTEÇÃO TITRÔNIC - DETALHES (PROTEÇÃO) 015H</t>
  </si>
  <si>
    <t>F-073327-1</t>
  </si>
  <si>
    <t>1-P-551-R8-DF-402-0102-TC09-016</t>
  </si>
  <si>
    <t>CHUTE DE DESCARGA - MÓDULO 01 E 03 - DETALHES (CHUTE MODULO SUPERIOR) 016A</t>
  </si>
  <si>
    <t>CHUTE DE DESCARGA - MÓDULO 01 E 03 - DETALHES (CHUTE MODULO INFERIOR) 016B</t>
  </si>
  <si>
    <t>F-073329-1</t>
  </si>
  <si>
    <t>1-P-551-R8-DF-402-0102-TC09-018</t>
  </si>
  <si>
    <t>PROTEÇÃO INFERIOR - DETALHES (PROTEÇÃO) 018A</t>
  </si>
  <si>
    <t>PROTEÇÃO INFERIOR - DETALHES (PROTEÇÃO) 018B</t>
  </si>
  <si>
    <t>PROTEÇÃO INFERIOR - DETALHES (PROTEÇÃO) 018C</t>
  </si>
  <si>
    <t>PROTEÇÃO INFERIOR - DETALHES (PROTEÇÃO) 018D</t>
  </si>
  <si>
    <t>PROTEÇÃO INFERIOR - DETALHES (PROTEÇÃO) 018E</t>
  </si>
  <si>
    <t>PROTEÇÃO INFERIOR - DETALHES (PROTEÇÃO) 018F</t>
  </si>
  <si>
    <t>PROTEÇÃO INFERIOR - DETALHES (PENDURAL) 018G</t>
  </si>
  <si>
    <t>F-073332-1</t>
  </si>
  <si>
    <t>1-P-551-R8-DF-402-0102-TC09-021</t>
  </si>
  <si>
    <t>SUPORTES E PINO - DETALHES (SUPORTE) 021A</t>
  </si>
  <si>
    <t>SUPORTES E PINO - DETALHES (SUPORTE) 021B</t>
  </si>
  <si>
    <t>SUPORTES E PINO - DETALHES (PINO) 021C</t>
  </si>
  <si>
    <t>F-073330-1</t>
  </si>
  <si>
    <t>1-P-551-R8-DF-402-0102-TC09-019</t>
  </si>
  <si>
    <t>ESCADA E TRAVESSA - DETALHES (ESCADA) 019A</t>
  </si>
  <si>
    <t>ESCADA E TRAVESSA - DETALHES (TRAVESSA) 019B</t>
  </si>
  <si>
    <t>F-073331-1</t>
  </si>
  <si>
    <t>1-P-551-R8-DF-402-0102-TC09-020</t>
  </si>
  <si>
    <t>PASSADIÇO - DETALHES (PASSADIÇO 1) 020A</t>
  </si>
  <si>
    <t>PASSADIÇO - DETALHES (PASSADIÇO 2) 020B</t>
  </si>
  <si>
    <t>PASSADIÇO - DETALHES (PASSADIÇO 3) 020C</t>
  </si>
  <si>
    <t>PASSADIÇO - DETALHES (PASSADIÇO 4) 020D</t>
  </si>
  <si>
    <t>F-073333-1</t>
  </si>
  <si>
    <t>1-P-551-R8-DF-402-0102-TC09-022</t>
  </si>
  <si>
    <t>GUARDA CORPO - DETALHES (GUARDA CORPO - TIPO 1 ) 333A</t>
  </si>
  <si>
    <t>GUARDA CORPO - DETALHES (GUARDA CORPO - TIPO 2 ) 333B</t>
  </si>
  <si>
    <t>GUARDA CORPO - DETALHES (GUARDA CORPO - TIPO 3 ) 333C</t>
  </si>
  <si>
    <t>GUARDA CORPO - DETALHES (GUARDA CORPO - TIPO 4 DIR. ) 333D</t>
  </si>
  <si>
    <t>GUARDA CORPO - DETALHES (GUARDA CORPO - TIPO 4 ESQ. ) 333E</t>
  </si>
  <si>
    <t>GUARDA CORPO - DETALHES (GUARDA CORPO - TIPO 5 ) 333F</t>
  </si>
  <si>
    <t>GUARDA CORPO - DETALHES (GUARDA CORPO - TIPO 6 ) 333G</t>
  </si>
  <si>
    <t>GUARDA CORPO - DETALHES (GUARDA CORPO - TIPO 7 ) 333H</t>
  </si>
  <si>
    <t>4 - 25/08/2026</t>
  </si>
  <si>
    <t>ROLO DE IMPACTO Ø102/63 X 235 - 6204</t>
  </si>
  <si>
    <t>P217</t>
  </si>
  <si>
    <t>P-217</t>
  </si>
  <si>
    <t>POS.2 - 3</t>
  </si>
  <si>
    <t xml:space="preserve">TRAVA P/ ROLO BASE DE PROTEÇÃO </t>
  </si>
  <si>
    <t>CHAPA DE REVESTIMENTO CH. 13 X 190 X 350 73242-F _ POS.12</t>
  </si>
  <si>
    <t>PONTE TRELIÇADA 3 - (PONTE TRELIÇADA 1) 73245-A</t>
  </si>
  <si>
    <t>CHAPA DE DESGASTE _ POS.12</t>
  </si>
  <si>
    <t>CHAPA DE DESGASTE _ POS.13</t>
  </si>
  <si>
    <t>CHAPA DE DESGASTE _ POS.14</t>
  </si>
  <si>
    <t>GUIA MÓDULO 3 - CHAPA DESGASTE 73223-F _ POS.24</t>
  </si>
  <si>
    <t>GUIA MÓDULO 3 - CHAPA DESGASTE 73223-J _ POS.27</t>
  </si>
  <si>
    <t>GUIA MÓDULO 3 - CHAPA DESGASTE 73223-K _ POS.28</t>
  </si>
  <si>
    <t>GUIA MÓDULO 3 - CHAPA DESGASTE 73223-L _ POS.29</t>
  </si>
  <si>
    <t>GUIA MÓDULO 3 - CHAPA DESGASTE 73223-M _ POS.30</t>
  </si>
  <si>
    <t>GUIA MÓDULO 3 - CHAPA DESGASTE 73223-N _ POS.31</t>
  </si>
  <si>
    <t>GUIA MÓDULO 3 - CHAPA DESGASTE 73223-O _ POS.32</t>
  </si>
  <si>
    <t>GUIA MÓDULO 1 - CHAPA DESGASTE 73221-G</t>
  </si>
  <si>
    <t>1 -25/08/2026</t>
  </si>
  <si>
    <t>T-073760-1</t>
  </si>
  <si>
    <t>MI-D-148-ME-DF-0139</t>
  </si>
  <si>
    <t>CHAPAS PROTEÇÕES PARTE MÓVEIS - CONJUNTOS E DETALHES (PROTEÇÃO 1) 73760-A</t>
  </si>
  <si>
    <t>CHAPAS PROTEÇÕES PARTE MÓVEIS - CONJUNTOS E DETALHES (PROTEÇÃO 2) 73760-B</t>
  </si>
  <si>
    <t>CHAPAS PROTEÇÕES PARTE MÓVEIS - CONJUNTOS E DETALHES (PROTEÇÃO 3) 73760-C</t>
  </si>
  <si>
    <t>CHAPAS PROTEÇÕES PARTE MÓVEIS - CONJUNTOS E DETALHES (PROTEÇÃO 4) 73760-D</t>
  </si>
  <si>
    <t>CHAPAS PROTEÇÕES PARTE MÓVEIS - CONJUNTOS E DETALHES (PROTEÇÃO 5) 73760-E</t>
  </si>
  <si>
    <t>ERO</t>
  </si>
  <si>
    <t>1 - 26/08/2026</t>
  </si>
  <si>
    <t>BASE P/ ROLO DE CARGA (BASE - 1) 73352-A</t>
  </si>
  <si>
    <t>BASE P/ ROLO DE CARGA (BASE - 2) 73352-A  - DIR./ESQ.</t>
  </si>
  <si>
    <t>BASE P/ ROLO DE IMPACTO (BASE 2) 73353-B DIR./ESQ.</t>
  </si>
  <si>
    <t>Ok</t>
  </si>
  <si>
    <t>T-073255-1</t>
  </si>
  <si>
    <t>BASE MANCAL TAMBOR DE DESVIO - DETALHES (REFORÇO DA BASE DO TAMBOR) 73253-C</t>
  </si>
  <si>
    <t xml:space="preserve">T-072983-1 </t>
  </si>
  <si>
    <t>Porca Sext. M16 DIN 934 Gr 8 GALVANIZADO - DESENHO:T-072983-1 (TAG:1073-TC-006/1073-TC-007)</t>
  </si>
  <si>
    <t>Parafuso Cab. Sext. M16 x 55 DIN 933 Gr 8.8 GALVANIZADO - DESENHO:T-072983-1 (TAG:1073-TC-006/1073-TC-007)</t>
  </si>
  <si>
    <t>Dobradiça p/ Porta 1/2" (Cachimbo) - DESENHO:T-072983-1 (TAG:1073-TC-006/1073-TC-007)</t>
  </si>
  <si>
    <t xml:space="preserve">T-072913-1 </t>
  </si>
  <si>
    <t>Parafuso Cab. Sext. Ø 5/8" x 1 3/4" ASTM A325 - GALVANIZADO DESENHO:T-072913-1 (TAG:1073-TC-0007)</t>
  </si>
  <si>
    <t>Porca Sext. Ø 5/8" ASTM A325 GALVANIZADO DESENHO:T-072913-1 (TAG:1073-TC-0007)</t>
  </si>
  <si>
    <t>Arruela Lisa Ø 5/8" ASTM A325 GALVANIZADO DESENHO:T-072913-1 (TAG:1073-TC-0007)</t>
  </si>
  <si>
    <t xml:space="preserve">T-072912-1 </t>
  </si>
  <si>
    <t>Parafuso Cab. Sext. Ø 5/8" x 1 3/4" ASTM A325 - GALVANIZADO DESENHO:T-072912-1 (TAG:1073-TC-0006)</t>
  </si>
  <si>
    <t>Porca Sext. Ø 5/8" ASTM A325 GALVANIZADO DESENHO:T-072912-1 (TAG:1073-TC-0006)</t>
  </si>
  <si>
    <t>Arruela Lisa Ø 5/8" ASTM A325 GALVANIZADO DESENHO:T-072912-1 (TAG:1073-TC-0006)</t>
  </si>
  <si>
    <t xml:space="preserve">T-072988-1 </t>
  </si>
  <si>
    <t>Parafuso Cab. Sext. Ø 3/8" x 1.1/2" ASTM A325 GALVANIZADO - DESENHO:T-072988-1 (TAG:1073-TC-006 /  1073-TC-007)</t>
  </si>
  <si>
    <t>Pino Graxeiro Ø 1/4" BSP - DESENHO:T-072988-1 (TAG:1073-TC-006 /  1073-TC-007)</t>
  </si>
  <si>
    <t xml:space="preserve">T-073002-1 </t>
  </si>
  <si>
    <t>Parafuso Cab. Sext. Ø 7/8" x 3 1/2" ASTM A325 GALVANIZADO - DESENHO:T-073002-1 (TAG:1073-TC-006 /  1073-TC-007)</t>
  </si>
  <si>
    <t>Porca Sext. Ø 7/8" ASTM A325 ANSI B18.2.2 GALVANIZADO - DESENHO:T-073002-1 (TAG:1073-TC-006 /  1073-TC-007)</t>
  </si>
  <si>
    <t>Arruela Lisa Ø 7/8" ASTM A325 ANSI B27.2 GALVANIZADO - DESENHO:T-073002-1 (TAG:1073-TC-006 /  1073-TC-007)</t>
  </si>
  <si>
    <t>Parafuso Cab. Sext. Ø 1" x 4" ASTM A325 GALVANIZADO - DESENHO:T-073002-1 (TAG:1073-TC-006 /  1073-TC-007)</t>
  </si>
  <si>
    <t>Porca Sext. Ø 1" ASTM A325 ANSI B18.2.2 GALVANIZADO - DESENHO:T-073002-1 (TAG:1073-TC-006 /  1073-TC-007)</t>
  </si>
  <si>
    <t>Arruela Lisa Ø 1" ASTM A325 ANSI B27.2 GALVANIZADO - DESENHO:T-073002-1 (TAG:1073-TC-006 /  1073-TC-007)</t>
  </si>
  <si>
    <t>Parafuso Cab. Sext. Ø 1/2" x 1 1/2" ASTM A307 GALVANIZADO - DESENHO:T-073002-1 (TAG:1073-TC-006 /  1073-TC-007)</t>
  </si>
  <si>
    <t>Porca Sext. Ø 1/2" ASTM A307 ANSI B18.2.2 GALVANIZADO - DESENHO:T-073002-1 (TAG:1073-TC-006 /  1073-TC-007)</t>
  </si>
  <si>
    <t>Arruela Lisa Ø 1/2" ASTM A307 ANSI B27.2 GALVANIZADO - DESENHO:T-073002-1 (TAG:1073-TC-006 /  1073-TC-007)</t>
  </si>
  <si>
    <t>Parafuso Cab. Sext. Ø 5/8" x 4" ASTM A325 - GALVANIZADO - DESENHO:T-073002-1 (TAG:1073-TC-006 /  1073-TC-007)</t>
  </si>
  <si>
    <t>Porca Sext. Ø 5/8" ASTM A325 ANSI B18.2.2 GALVANIZADO - DESENHO:T-073002-1 (TAG:1073-TC-006 /  1073-TC-007)</t>
  </si>
  <si>
    <t xml:space="preserve">T-073001-1 </t>
  </si>
  <si>
    <t>Parafuso Cab. Sext. Ø 5/8" x 2 1/2" ASTM A325 GALVANIZADO - DESENHO:T-073001-1 (TAG:1073-TC-006 /  1073-TC-007)</t>
  </si>
  <si>
    <t>Porca Sext. Ø 5/8" ASTM A325 ANSI B18.2.2 GALVANIZADO - DESENHO:T-073001-1 (TAG:1073-TC-006 /  1073-TC-007)</t>
  </si>
  <si>
    <t>Arruela Lisa Ø 5/8" ASTM A325 ANSI B27.2 GALVANIZADO - DESENHO:T-073001-1 (TAG:1073-TC-006 /  1073-TC-007)</t>
  </si>
  <si>
    <t>T-072912-1                            T-072913-1</t>
  </si>
  <si>
    <t>Parafuso Cab. Sext. Ø 5/8" x 1 3/4" ASTM A325 - GALVANIZADO (DESENHO:T-072912-1 e T-072913-1) TAG:1073-TC-0006</t>
  </si>
  <si>
    <t>Porca Sext. Ø 5/8" ASTM A325 ANSI B18.2.2 - GALVANIZADO (DESENHO:T-072912-1 e T-072913-1) TAG:1073-TC-0006</t>
  </si>
  <si>
    <t>Arruela Lisa Ø 5/8" ASTM A325 ANSI B27.2 - GALVANIZADO (DESENHO:T-072912-1 e T-072913-1) TAG:1073-TC-0006</t>
  </si>
  <si>
    <t>BBR-D-DF-1073-MDE-M-0062</t>
  </si>
  <si>
    <t>CONJ. CARRO DO ESTICAMENTO</t>
  </si>
  <si>
    <t>PINO DA RODA DO CARRO</t>
  </si>
  <si>
    <t>PINO DA RODA GUIA</t>
  </si>
  <si>
    <t>RODA GUIA</t>
  </si>
  <si>
    <t>RODA PLANA</t>
  </si>
  <si>
    <t>RODA CANA EM "V"</t>
  </si>
  <si>
    <t>BBR-D-DF-1073-MDE-K-0010</t>
  </si>
  <si>
    <t>ITEM 37 Caixa de junção A PROVA DE TEMPO, GASES, VAPORES, PÓS E JATOS D'ÁGUA, GRAU DE PROTEÇÃO IP 66 CONFORME ET "BBR-D-DF-1073-MDE-K-0010"</t>
  </si>
  <si>
    <t>BBR-D-DF-1073-MDE-K-0011</t>
  </si>
  <si>
    <t>ITEM 37 Caixa de junção A PROVA DE TEMPO, GASES, VAPORES, PÓS E JATOS D'ÁGUA, GRAU DE PROTEÇÃO IP 66 CONFORME ET "BBR-D-DF-1073-MDE-K-0011"</t>
  </si>
  <si>
    <t>ITEM 35 Sensor Indutivo PARA VIGIA DE VELOCIDADE.  TENSÃO DE ALIMENTAÇÃO: 20 a 250VCA/VCC CONFORME ET "BBR-D-DF-1073-MDE-K-0010"</t>
  </si>
  <si>
    <t>ITEM 35 Sensor Indutivo PARA VIGIA DE VELOCIDADE.  TENSÃO DE ALIMENTAÇÃO: 20 a 250VCA/VCC CONFORME ET "BBR-D-DF-1073-MDE-K-0011"</t>
  </si>
  <si>
    <t>ET 0188-00-037</t>
  </si>
  <si>
    <t xml:space="preserve">Balança Integradora conforme 
ET 0188-00-037
</t>
  </si>
  <si>
    <t>ET-0788-00-037</t>
  </si>
  <si>
    <t xml:space="preserve">Balança Integradora conforme 
ET-0788-00-037
</t>
  </si>
  <si>
    <t>T-072988-1</t>
  </si>
  <si>
    <t>CONJ. DE ROLDANAS</t>
  </si>
  <si>
    <t>BASE P/ MANCAL TAMBOR DE ACIONAMENTO</t>
  </si>
  <si>
    <t xml:space="preserve"> T-072974-1</t>
  </si>
  <si>
    <t>PINO Ø60 x 130 mm C/ CONTRA PINO</t>
  </si>
  <si>
    <t xml:space="preserve"> T-072975-1</t>
  </si>
  <si>
    <t>POS.17-18</t>
  </si>
  <si>
    <t xml:space="preserve"> T-072976-1</t>
  </si>
  <si>
    <t xml:space="preserve"> T-072991-1</t>
  </si>
  <si>
    <t>POS.19-20</t>
  </si>
  <si>
    <t>PINO Ø50 x 96 mm C/ CONTRA PINO</t>
  </si>
  <si>
    <t>P.205</t>
  </si>
  <si>
    <t>Em processo de fabricação</t>
  </si>
  <si>
    <t>2 - 27/08/2026</t>
  </si>
  <si>
    <t>ROLO DE CARGA 40x</t>
  </si>
  <si>
    <t>30x ROLOS IMPACTO</t>
  </si>
  <si>
    <t>10 ROLO DE IMPACTO</t>
  </si>
  <si>
    <t>Entregue</t>
  </si>
  <si>
    <t>1 -21/08/2026</t>
  </si>
  <si>
    <t>2 - 20/08/2026</t>
  </si>
  <si>
    <t>4 - 20/08/2026</t>
  </si>
  <si>
    <t>3 - 13/08/2026</t>
  </si>
  <si>
    <t>2 - 13/08/2026</t>
  </si>
  <si>
    <t>1 - 19/08/2026</t>
  </si>
  <si>
    <t>3 - 19/08/2026</t>
  </si>
  <si>
    <t>T-073275-1</t>
  </si>
  <si>
    <t>MI-D-148-ME-DF-0104</t>
  </si>
  <si>
    <t>PLATAFORMA DE ACESSO - SUPORTE DO PIVÔ - DETALHES (PLATAFORMA) 73275-A</t>
  </si>
  <si>
    <t>T-073276-1</t>
  </si>
  <si>
    <t>MI-D-148-ME-DF-0105</t>
  </si>
  <si>
    <t>T-073277-1</t>
  </si>
  <si>
    <t>MI-D-148-ME-DF-0106</t>
  </si>
  <si>
    <t>PLATAFORMA DE ACESSO - PLATAFORMA LATERAL - DETALHES (PLATAFORMA LATERAL0 73276-A</t>
  </si>
  <si>
    <t>PLATAFORMA DE ACESSO - PLATAFORMA CENTRAL - DETALHES (PLATAFORMA CENTRAL)  73277-A</t>
  </si>
  <si>
    <t>PLATAFORMA DE ACESSO - PLATAFORMA CENTRAL - DETALHES (SUPORTE EIXO B)  73277-B</t>
  </si>
  <si>
    <t>MI-D-148-ME-DF-0175</t>
  </si>
  <si>
    <t>MI-D-148-ME-DF-0176</t>
  </si>
  <si>
    <t>T-073797-1</t>
  </si>
  <si>
    <t>PLATAFORMA DE ACESSO - ESCADA LATERAL DIREITA - DETALHES (ESCADA LATERAL DIREITA)  73797-A</t>
  </si>
  <si>
    <t>PLATAFORMA DE ACESSO - ESCADA LATERAL ESQUERDA - DETALHES (ESCADA LATERAL ESQUERDA)  73796-A</t>
  </si>
  <si>
    <t>T-073796-1</t>
  </si>
  <si>
    <t>T-073798-1</t>
  </si>
  <si>
    <t>MI-D-148-ME-DF-0177</t>
  </si>
  <si>
    <t>T-073799-1</t>
  </si>
  <si>
    <t>MI-D-148-ME-DF-0178</t>
  </si>
  <si>
    <t>T-073800-1</t>
  </si>
  <si>
    <t>MI-D-148-ME-DF-0179</t>
  </si>
  <si>
    <t>PLATAFORMA DE ACESSO - GUARDA CORPO  - DETALHES (GUARDA CORPO)  73800-A</t>
  </si>
  <si>
    <t>PLATAFORMA DE ACESSO - GUARDA CORPO DA ESCADA LATERAL DIREITA - DETALHES (GUARDA CORPO ESCADA)  73799-B</t>
  </si>
  <si>
    <t>PLATAFORMA DE ACESSO - GUARDA CORPO DA ESCADA LATERAL DIREITA - DETALHES (GUARDA CORPO ESCADA)  73799-A</t>
  </si>
  <si>
    <t>PLATAFORMA DE ACESSO - GUARDA CORPO DA ESCADA LATERAL ESQUERDA - DETALHES (GUARDA CORPO ESCADA)  73798-B</t>
  </si>
  <si>
    <t>PLATAFORMA DE ACESSO - GUARDA CORPO DA ESCADA LATERAL ESQUERDA - DETALHES (GUARDA CORPO ESCADA)  73798-A</t>
  </si>
  <si>
    <t>PLATAFORMA DE ACESSO - GUARDA CORPO  - DETALHES (GUARDA CORPO)  73800-B</t>
  </si>
  <si>
    <t>PLATAFORMA DE ACESSO - GUARDA CORPO  - DETALHES (GUARDA CORPO)  73800-C</t>
  </si>
  <si>
    <t>PLATAFORMA DE ACESSO - GUARDA CORPO  - DETALHES (GUARDA CORPO)  73800-D</t>
  </si>
  <si>
    <t>PLATAFORMA DE ACESSO - GUARDA CORPO  - DETALHES (GUARDA CORPO)  73800-E</t>
  </si>
  <si>
    <t>PLATAFORMA DE ACESSO - GUARDA CORPO  - DETALHES (GUARDA CORPO)  73800-F</t>
  </si>
  <si>
    <t>T-073918-1</t>
  </si>
  <si>
    <t>GUARDA CORPO ESCADA SUPERIOR LAADO ESQUERDO - DETALHES (GUARDA CORPO DIR.) 73918-A</t>
  </si>
  <si>
    <t>301-TRC-001</t>
  </si>
  <si>
    <t>P-215</t>
  </si>
  <si>
    <t>GUARDA CORPO ESCADA SUPERIOR LAADO ESQUERDO - DETALHES (GUARDA CORPO ESQ.) 73918-B</t>
  </si>
  <si>
    <t>GUARDA CORPO ESCADA SUPERIOR LAADO ESQUERDO - DETALHES (TRAVESSA DE FIXAÇÃO) 73918-D</t>
  </si>
  <si>
    <t>GUARDA CORPO ESCADA SUPERIOR LAADO ESQUERDO - DETALHES (TELA DE PROTEÇÃO 1) 73918-E</t>
  </si>
  <si>
    <t>GUARDA CORPO ESCADA SUPERIOR LAADO ESQUERDO - DETALHES (TELA DE PROTEÇÃO 2) 73918-F</t>
  </si>
  <si>
    <t>T-073917-1</t>
  </si>
  <si>
    <t>ESCADA SUPERIR LADO ESQUERDO - CONJUNTO E DETALHE (ESCADO LADO ESQUERDO) 73917-A</t>
  </si>
  <si>
    <t>T-073916-1</t>
  </si>
  <si>
    <t>PASSADIÇO E GUARDA CORPO DESVIO LADO ESQUERDO - CONJUNTO (GUARDA CORPO) 73916-A</t>
  </si>
  <si>
    <t>PASSADIÇO E GUARDA CORPO DESVIO LADO ESQUERDO - CONJUNTO (TRAVESSA DE FIXAÇÃO) 73916-B</t>
  </si>
  <si>
    <t>PASSADIÇO E GUARDA CORPO DESVIO LADO ESQUERDO - CONJUNTO (TRAVESSA DE FIXAÇÃO) 73916-C</t>
  </si>
  <si>
    <t>T-073915-1</t>
  </si>
  <si>
    <t>T-073912-1</t>
  </si>
  <si>
    <t>GUARDA CORPO ESCADA INFERIOR LADO ESQUERDO - CONJUNTO E DETALHES (GUARDA CORPO ESQ.) 73912-A</t>
  </si>
  <si>
    <t>GUARDA CORPO ESCADA INFERIOR LADO ESQUERDO - CONJUNTO E DETALHES (GUARDA CORPO DIR.) 73912-B</t>
  </si>
  <si>
    <t>T-073911-1</t>
  </si>
  <si>
    <t>ESCADA INFERIOR LADO ESQUERDO - CONJUNTO E DETALHE (ESCADA INFERIOR LADO ESQUERDO) 73911-A</t>
  </si>
  <si>
    <t xml:space="preserve"> PASSADIÇO E GUARDA LADO ESQUERDO PARTE 3 - DETALHES</t>
  </si>
  <si>
    <t>T-073914-1</t>
  </si>
  <si>
    <t>PASSADIÇO E GUARDA LADO ESQUERDO PARTE 2 - DETALHES</t>
  </si>
  <si>
    <t>T-073919-1</t>
  </si>
  <si>
    <t>PASSADIÇO E GUARDA CORPO DESVIO LADO ESQUERDO - DETALHES</t>
  </si>
  <si>
    <t>T-073913-1</t>
  </si>
  <si>
    <t>PASSADIÇO E GUARDA LADO ESQUERDO PARTE 1 - DETALHES</t>
  </si>
  <si>
    <t>REFORÇO</t>
  </si>
  <si>
    <t>BOSTON METAL</t>
  </si>
  <si>
    <t>F-073361-1</t>
  </si>
  <si>
    <t>1-P-551-RB-DF-402-0102-TC09-034</t>
  </si>
  <si>
    <t>CHUTE DESCARGA - MÓDULO 02 - DETALHES (CHUTE MODULO 02) 034A</t>
  </si>
  <si>
    <t>CHUTE DESCARGA - MÓDULO 02 - DETALHES (BASE DE APOIO) 034B</t>
  </si>
  <si>
    <t>F-073341-1</t>
  </si>
  <si>
    <t>1-P-551-RB-DF-402-0102-TC09-030</t>
  </si>
  <si>
    <t>PRONTE TRELIÇADA  6 - 73341A</t>
  </si>
  <si>
    <t>T-073922-1</t>
  </si>
  <si>
    <t>PROTEÇÃO DO DESVIO LADO ESQUERDO - DETALHES (SUPORTE) 73922-A</t>
  </si>
  <si>
    <t>PROTEÇÃO DO DESVIO LADO ESQUERDO - DETALHES (PROTEÇÃO DESVIO 1 LADO ESQUERDO) 73922-B</t>
  </si>
  <si>
    <t>PROTEÇÃO DO DESVIO LADO ESQUERDO - DETALHES (PROTEÇÃO DESVIO 2 LADO ESQUERDO) 73922-C</t>
  </si>
  <si>
    <t>T-073921-1</t>
  </si>
  <si>
    <t>PROTEÇÃO DO DESVIO LADO ESQUERDO - DETALHES (SUPORTE 1) 73921-A</t>
  </si>
  <si>
    <t>PROTEÇÃO DO DESVIO LADO ESQUERDO - DETALHES (SUPORTE 2) 73921-B</t>
  </si>
  <si>
    <t>PROTEÇÃO DO DESVIO LADO ESQUERDO - DETALHES (PROTEÇÃO LATERAL 120 X 1000) 73921-C</t>
  </si>
  <si>
    <t>PROTEÇÃO DO DESVIO LADO ESQUERDO - DETALHES (PROTEÇÃO LATERAL 120 X 855) 73921-D</t>
  </si>
  <si>
    <t>PROTEÇÃO DO DESVIO LADO ESQUERDO - DETALHES (PROTEÇÃO LATERAL 120 X 654) 73921-E</t>
  </si>
  <si>
    <t>PROTEÇÃO DO DESVIO LADO ESQUERDO - DETALHES (PROTEÇÃO LATERAL 120 X 430) 73921-F</t>
  </si>
  <si>
    <t>PROTEÇÃO DO DESVIO LADO ESQUERDO - DETALHES (PROTEÇÃO LATERAL 120 X 715) 73921-G</t>
  </si>
  <si>
    <t>PROTEÇÃO DO DESVIO LADO ESQUERDO - DETALHES (PROTEÇÃO LATERAL 280 X 555) 73921-H</t>
  </si>
  <si>
    <t>PROTEÇÃO DO DESVIO LADO ESQUERDO - DETALHES (PROTEÇÃO LATERAL 120 X 680) 73921-J</t>
  </si>
  <si>
    <t>A-073520-1</t>
  </si>
  <si>
    <t>SUPORTE DO CHUTE - CONJUNTO E DETALHES (VIGA DIR.) 73520-A</t>
  </si>
  <si>
    <t>SUPORTE DO CHUTE - CONJUNTO E DETALHES (VIGA ESQ.) 73520-B</t>
  </si>
  <si>
    <t>SUPORTE DO CHUTE - CONJUNTO E DETALHES (TRAVESSA) 73520-C</t>
  </si>
  <si>
    <t>1- 02/09/2026</t>
  </si>
  <si>
    <t>1- 03/09/2026</t>
  </si>
  <si>
    <t>1- 04/09/2026</t>
  </si>
  <si>
    <t>PLATAFORMA DE ACESSO - SUPORTE DO PIVÔ - DETALHES (SUPORTE PIVÔ 2) 73275-B</t>
  </si>
  <si>
    <t>T- 073759-1</t>
  </si>
  <si>
    <t>CHAPA DESGASTE (HARDOX-500)  - CH 12,7 x 196 x 396 - 73759-A</t>
  </si>
  <si>
    <t>CHAPA DESGASTE (HARDOX-500) - CH 12,7 x 196 x 470 - 73759-B</t>
  </si>
  <si>
    <t>CHAPA DESGASTE (HARDOX-500) - CH 12,7 x 196 x 270 - 73759-C</t>
  </si>
  <si>
    <t>CHAPA DESGASTE (HARDOX-500) - CH 12,7 x 196 x 196 - 73759-D</t>
  </si>
  <si>
    <t>CHAPA DESGASTE (HARDOX-500) - CH 12,7 x 70 x 396 - 73759-E</t>
  </si>
  <si>
    <t>CHAPA DESGASTE (HARDOX-500) - CH 12,7 x 70 x 658 - 73759-F</t>
  </si>
  <si>
    <t>CHAPA DESGASTE (HARDOX-500) - CH 12,7 x 196 x 574 - 73759-G</t>
  </si>
  <si>
    <t>CHAPA DESGASTE (HARDOX-500) - CH 12,7 x 196 x 219 - 73759-H</t>
  </si>
  <si>
    <t>CHAPA DESGASTE (HARDOX-500) - CH 12,7 x 196 x 265 - 73759-J</t>
  </si>
  <si>
    <t>CHAPA DESGASTE (HARDOX-500) - CH 12,7 x 196 x 310 - 73759-K</t>
  </si>
  <si>
    <t>CHAPA DESGASTE (HARDOX-500) - CH 12,7 x 196 x 356 - 73759-L</t>
  </si>
  <si>
    <t>CHAPA DESGASTE (HARDOX-500) - CH 12,7 x 196 x 678 - 73759-M</t>
  </si>
  <si>
    <t>CHAPA DESGASTE (HARDOX-500) - CH 12,7 x 196 x 323 - 73759-N</t>
  </si>
  <si>
    <t>CHAPA DESGASTE (HARDOX-500) - CH 12,7 x 196 x 369 - 73759-O</t>
  </si>
  <si>
    <t>CHAPA DESGASTE (HARDOX-500) - CH 12,7 x 196 x 369 - 73759-P</t>
  </si>
  <si>
    <t>CHAPA DESGASTE (HARDOX-500) - CH 12,7 x 196 x 613 1DIR. 1ESQ. - 73759-Q</t>
  </si>
  <si>
    <t>CHAPA DESGASTE (HARDOX-500) - CH 12,7 x 196 x 570 1DIR. 1ESQ. - 73759-R</t>
  </si>
  <si>
    <t>CHAPA DESGASTE (HARDOX-500) - CH 12,7 x 196 x 527 1DIR. 1ESQ. - 73759-S</t>
  </si>
  <si>
    <t>CHAPA DESGASTE (HARDOX-500) - CH 12,7 x 196 x 647 1DIR. 1ESQ. - 73759-T</t>
  </si>
  <si>
    <t>CHAPA DESGASTE (HARDOX-500) - CH 12,7 x 295 x 385 1DIR. 1ESQ. - 73759-U</t>
  </si>
  <si>
    <t>CHAPA DESGASTE (HARDOX-500) - CH 12,7 x 196 x 396 1DIR. 1ESQ. - 73759-V</t>
  </si>
  <si>
    <t>CHAPA DESGASTE (HARDOX-500) - CH 12,7 x 196 x 743 1DIR. 1ESQ. - 73759-X</t>
  </si>
  <si>
    <t>CHAPA DESGASTE (HARDOX-500) - CH 12,7 x 196 x 550 1DIR. 1ESQ. - 73759-Z</t>
  </si>
  <si>
    <t>CHAPA DESGASTE (HARDOX-500) - CH 12,7 x 196 x 650 1DIR. 1ESQ. - 73759-AA</t>
  </si>
  <si>
    <t>CHAPA DESGASTE (HARDOX-500) - CH 12,7 x 196 x 614 1DIR. 1ESQ. - 73759-AB</t>
  </si>
  <si>
    <t>CHAPA DESGASTE (HARDOX-500) - CH 12,7 x 472 x 692 1DIR. 1ESQ. - 73759-AC</t>
  </si>
  <si>
    <t>CHAPA DESGASTE (HARDOX-500)- CH 12,7 x 472 x 692 1DIR. 1ESQ. - 73759-AD</t>
  </si>
  <si>
    <t>CHAPA DESGASTE (HARDOX-500) - CH 12,7 x 196 x 280  - 73759-AF</t>
  </si>
  <si>
    <t>CHAPA DESGASTE (HARDOX-500) - CH 12,7 x 196 x 280  - 73759-AG</t>
  </si>
  <si>
    <t>2- 04/09/2026</t>
  </si>
  <si>
    <t>CHAPAS PROTEÇÕES PARTE MÓVEIS - CONJUNTOS E DETALHES (PROTEÇÃO 6) 73760-F</t>
  </si>
  <si>
    <t>CHAPAS PROTEÇÕES PARTE MÓVEIS - CONJUNTOS E DETALHES (PROTEÇÃO 7) 73760-G</t>
  </si>
  <si>
    <t>CHAPAS PROTEÇÕES PARTE MÓVEIS - CONJUNTOS E DETALHES (PROTEÇÃO 8) 73760-H</t>
  </si>
  <si>
    <t>CHAPAS PROTEÇÕES PARTE MÓVEIS - CONJUNTOS E DETALHES (PROTEÇÃO 9) 73760-J</t>
  </si>
  <si>
    <t>CHAPAS PROTEÇÕES PARTE MÓVEIS - CONJUNTOS E DETALHES (PROTEÇÃO 10) 73760-K</t>
  </si>
  <si>
    <t>CHAPAS PROTEÇÕES PARTE MÓVEIS - CONJUNTOS E DETALHES (PROTEÇÃO 11) 73760-L</t>
  </si>
  <si>
    <t>CHAPAS PROTEÇÕES PARTE MÓVEIS - CONJUNTOS E DETALHES (PROTEÇÃO 12) 73760-M</t>
  </si>
  <si>
    <t>CHAPAS PROTEÇÕES PARTE MÓVEIS - CONJUNTOS E DETALHES (PROTEÇÃO 13) 73760-N</t>
  </si>
  <si>
    <t>Correia</t>
  </si>
  <si>
    <t>CORREIA</t>
  </si>
  <si>
    <t>P218</t>
  </si>
  <si>
    <t>Comercial</t>
  </si>
  <si>
    <t>P-218</t>
  </si>
  <si>
    <t>P.898</t>
  </si>
  <si>
    <t>P.899</t>
  </si>
  <si>
    <t>P.900</t>
  </si>
  <si>
    <t>T-073804-1</t>
  </si>
  <si>
    <t>MI-D-148-ME-DF-0183</t>
  </si>
  <si>
    <t>PIVÔ - CONJUNTO E DETALHES (MÓDULO INFERIOR) 73804-A</t>
  </si>
  <si>
    <t>PIVÔ - CONJUNTO E DETALHES (MÓDULO INTERMEDIÁRIO) 73804-B</t>
  </si>
  <si>
    <t>PIVÔ - CONJUNTO E DETALHES (MÓDULO SUPERIOR) 73804-C</t>
  </si>
  <si>
    <t>PIVÔ - CONJUNTO E DETALHES (PINO) 73804-D</t>
  </si>
  <si>
    <t>T-073806-1</t>
  </si>
  <si>
    <t>MI-D-148-ME-DF-0185</t>
  </si>
  <si>
    <t>SUPORTE APOIO - DETALHES (SUPORTE DE APOIO-1) 73806-A</t>
  </si>
  <si>
    <t>SUPORTE APOIO - DETALHES (SUPORTE DE APOIO-2) 73806-B</t>
  </si>
  <si>
    <t>1- 09/09/2026</t>
  </si>
  <si>
    <t>2- 09/09/2026</t>
  </si>
  <si>
    <t>T-073803-1</t>
  </si>
  <si>
    <t>MI-D-148-ME-DF-0182</t>
  </si>
  <si>
    <t>GUIA DE MATERIAL - DETALHES (SUPORTE) 73803-A</t>
  </si>
  <si>
    <t>GUIA DE MATERIAL - DETALHES (SUPORTE DA CHAPA GUIA ) 73803-B</t>
  </si>
  <si>
    <t>GUIA DE MATERIAL - DETALHES (CHAPA GUIA ) 73803-C</t>
  </si>
  <si>
    <t>GUIA DE MATERIAL - DETALHES (PRENSA BORRACHA ) 73803-D</t>
  </si>
  <si>
    <t>GUIA DE MATERIAL - DETALHES (PRENSA BORRACHA ) 73803-E</t>
  </si>
  <si>
    <t>CHAPA DESGASTE (HARDOX-500) - CH 12,7 x 196 x 369 - 73803 - G</t>
  </si>
  <si>
    <t>GUIA DE MATERIAL - DETALHES (TAMPA TRASEIRA) 73803-H</t>
  </si>
  <si>
    <t>GUIA DE MATERIAL - DETALHES (PRENSA BORRACHA) 73803-J</t>
  </si>
  <si>
    <t>CHAPA DESGASTE (HARDOX-500) - CH 13 x 236 x 494 - 73803-L</t>
  </si>
  <si>
    <t>GUIA DE MATERIAL - DETALHES (SUPORTE DA CHAPA GUIA) 73803-M</t>
  </si>
  <si>
    <t>GUIA DE MATERIAL - DETALHES (SUPORTE) 73803-N</t>
  </si>
  <si>
    <t>CAIXA DE MANCAL - HSBP 32 - FCM</t>
  </si>
  <si>
    <t>P213</t>
  </si>
  <si>
    <t>P-213</t>
  </si>
  <si>
    <t>SIGMA</t>
  </si>
  <si>
    <t>Em processo de compra SC: 2088</t>
  </si>
  <si>
    <t>Em processo de compra SC: 1986</t>
  </si>
  <si>
    <t>AGUARDANDO MATÉRIA PRIMA OC: 2034, 2035</t>
  </si>
  <si>
    <t>AGUARDANDO MATÉRIA PRIMA SC: 2076</t>
  </si>
  <si>
    <t>AGUARDANDO BRONZE OC: 2768</t>
  </si>
  <si>
    <t>Compra de matéria prima SC: 2069, 2072</t>
  </si>
  <si>
    <t>0275079</t>
  </si>
  <si>
    <t>P.208</t>
  </si>
  <si>
    <t>0275080</t>
  </si>
  <si>
    <t>T-073923-1</t>
  </si>
  <si>
    <t>301.M.DIM.0XXX</t>
  </si>
  <si>
    <t>REFORÇO DA ESTRUTURA DO TRANSPORTADOR - CONJUNTO E DETALHES (REFORÇO P8 - PARTE 1) 73923-A</t>
  </si>
  <si>
    <t>REFORÇO DA ESTRUTURA DO TRANSPORTADOR - CONJUNTO E DETALHES (REFORÇO P8 - PARTE 2) 73923-B</t>
  </si>
  <si>
    <t>REFORÇO DA ESTRUTURA DO TRANSPORTADOR - CONJUNTO E DETALHES (VIGA DE REFORÇO INTERMEDIARIA) 73923-C</t>
  </si>
  <si>
    <t>REFORÇO DA ESTRUTURA DO TRANSPORTADOR - CONJUNTO E DETALHES (REFORÇO P7 - PARTE 1) 73923-D</t>
  </si>
  <si>
    <t>REFORÇO DA ESTRUTURA DO TRANSPORTADOR - CONJUNTO E DETALHES (REFORÇO P7 - PARTE 2) 73923-E</t>
  </si>
  <si>
    <t>REFORÇO DA ESTRUTURA DO TRANSPORTADOR - CONJUNTO E DETALHES (REFORÇO P6 - PARTE 1) 73923-F</t>
  </si>
  <si>
    <t>REFORÇO DA ESTRUTURA DO TRANSPORTADOR - CONJUNTO E DETALHES (REFORÇO P6 - PARTE 2) 73923-G</t>
  </si>
  <si>
    <t>REFORÇO DA ESTRUTURA DO TRANSPORTADOR - CONJUNTO E DETALHES (REFORÇO P5 - PARTE 1) 73923-H</t>
  </si>
  <si>
    <t>REFORÇO DA ESTRUTURA DO TRANSPORTADOR - CONJUNTO E DETALHES (REFORÇO P5 - PARTE 2) 73923-J</t>
  </si>
  <si>
    <t>REFORÇO DA ESTRUTURA DO TRANSPORTADOR - CONJUNTO E DETALHES (REFORÇO P2 - PARTE 1) 73923-K</t>
  </si>
  <si>
    <t>REFORÇO DA ESTRUTURA DO TRANSPORTADOR - CONJUNTO E DETALHES (REFORÇO P2 - PARTE 2) 73923-L</t>
  </si>
  <si>
    <t>REFORÇO DA ESTRUTURA DO TRANSPORTADOR - CONJUNTO E DETALHES (REFORÇO P1 - PARTE 1) 73923-M</t>
  </si>
  <si>
    <t>REFORÇO DA ESTRUTURA DO TRANSPORTADOR - CONJUNTO E DETALHES (REFORÇO P1 - PARTE 2) 73923-N</t>
  </si>
  <si>
    <t>REFORÇO DA ESTRUTURA DO TRANSPORTADOR - CONJUNTO E DETALHES (OLHAL - 1) 73923-P</t>
  </si>
  <si>
    <t>REFORÇO DA ESTRUTURA DO TRANSPORTADOR - CONJUNTO E DETALHES (OLHAL - 2) 73923-Q</t>
  </si>
  <si>
    <t>REFORÇO DA ESTRUTURA DO TRANSPORTADOR - CONJUNTO E DETALHES (REFORÇO) 73923-R</t>
  </si>
  <si>
    <t>REFORÇO DA ESTRUTURA DO TRANSPORTADOR - CONJUNTO E DETALHES (REFORÇO CONTRAVENTAMENTO COLUNAS P2, P3) 73923-S</t>
  </si>
  <si>
    <t>T-073924-1</t>
  </si>
  <si>
    <t>VIGA PARA RETIRADA DE INTERFERÊNCIA - CONJUNTO E DETALHES (VIGA RETIRADA DE INTERFERENCIA - MONTADA) 73924-A</t>
  </si>
  <si>
    <t>VIGA PARA RETIRADA DE INTERFERÊNCIA - CONJUNTO E DETALHES (VIGA RETIRADA DE INTERFERENCIA) 73924-B</t>
  </si>
  <si>
    <t>DF-0192-S-00100/S000947</t>
  </si>
  <si>
    <t>TAMBOR ACIONAMENTO-D610-1168-4 15/16"/150-150 ECM=1650 KA107 (TAMBOR) 0947-A</t>
  </si>
  <si>
    <t>P219</t>
  </si>
  <si>
    <t>1x TAMBOR DE ACIONAMENTO</t>
  </si>
  <si>
    <t xml:space="preserve">Em Processo de compra   </t>
  </si>
  <si>
    <t>DF-0192-S-00100/S000943</t>
  </si>
  <si>
    <t>TAMBOR ACIONAMENTO-D610-1168-4 15/16"/150-150 ECM=1650 1035-G20 (TAMBOR) 0943-A</t>
  </si>
  <si>
    <t>P220</t>
  </si>
  <si>
    <t>P-220</t>
  </si>
  <si>
    <t>DF-0192-S-00100/S000945</t>
  </si>
  <si>
    <t>TAMBOR ACIONAMENTO-D610-1372-5 15/16"/180-180 ECM=1850 1040-G20 (TAMBOR) 0945-A</t>
  </si>
  <si>
    <t>P221</t>
  </si>
  <si>
    <t>P-221</t>
  </si>
  <si>
    <t>DF-0192-S-00100/S000946</t>
  </si>
  <si>
    <t>TAMBOR LIVRE-D610-1372-4 15/16"/150-150 ECM=1750-CONJ. E DET. (TAMBOR) 0946-A</t>
  </si>
  <si>
    <t>P222</t>
  </si>
  <si>
    <t>P-222</t>
  </si>
  <si>
    <t>DF-0192-S-00100-S000944</t>
  </si>
  <si>
    <t>TAMBOR LIVRE-D610-1168-3 15/16"/120-120 ECM=1550-CONJ. E DET. (TAMBOR) 0944-A</t>
  </si>
  <si>
    <t>P223</t>
  </si>
  <si>
    <t>P-223</t>
  </si>
  <si>
    <t>1x TAMBOR LIVRE</t>
  </si>
  <si>
    <t>2- 11/09/2026</t>
  </si>
  <si>
    <t>3- 11/09/2026</t>
  </si>
  <si>
    <t>1- 11/09/2026</t>
  </si>
  <si>
    <t>2 - 11/09/2026</t>
  </si>
  <si>
    <t>T-073774-1</t>
  </si>
  <si>
    <t>MI-D-148-ME-DF-0153</t>
  </si>
  <si>
    <t>ESTRUTURA DE SUSTENTAÇÃO DO EXTRATOR - DETALHES (BASE/COLUNA) 73774-A</t>
  </si>
  <si>
    <t>ESTRUTURA DE SUSTENTAÇÃO DO EXTRATOR - DETALHES (VIGA DIR.ESQ) 73774-B</t>
  </si>
  <si>
    <t>ESTRUTURA DE SUSTENTAÇÃO DO EXTRATOR - DETALHES (VIGA DIR.ESQ) 73774-C</t>
  </si>
  <si>
    <t>ESTRUTURA DE SUSTENTAÇÃO DO EXTRATOR - DETALHES (VIGA ) 73774-D</t>
  </si>
  <si>
    <t>ESTRUTURA DE SUSTENTAÇÃO DO EXTRATOR - DETALHES (VIGA ) 73774-E</t>
  </si>
  <si>
    <t>ESTRUTURA DE SUSTENTAÇÃO DO EXTRATOR - DETALHES (VIGA ) 73774-F</t>
  </si>
  <si>
    <t>ESTRUTURA DE SUSTENTAÇÃO DO EXTRATOR - DETALHES (VIGA ) 73774-G</t>
  </si>
  <si>
    <t>ESTRUTURA DE SUSTENTAÇÃO DO EXTRATOR - DETALHES (LONGARINA ) 73774-H</t>
  </si>
  <si>
    <t>ESTRUTURA DE SUSTENTAÇÃO DO EXTRATOR - DETALHES (LONGARINA ) 73774-J</t>
  </si>
  <si>
    <t>ESTRUTURA DE SUSTENTAÇÃO DO EXTRATOR - DETALHES (LONGARINA ) 73774-K</t>
  </si>
  <si>
    <t>ESTRUTURA DE SUSTENTAÇÃO DO EXTRATOR - DETALHES (VIGA SUPERIOR ) 73774-L</t>
  </si>
  <si>
    <t>ESTRUTURA DE SUSTENTAÇÃO DO EXTRATOR - DETALHES (VIGA  ) 73774-M</t>
  </si>
  <si>
    <t>ESTRUTURA DE SUSTENTAÇÃO DO EXTRATOR - DETALHES (VIGA  ) 73774-N</t>
  </si>
  <si>
    <t>ESTRUTURA DE SUSTENTAÇÃO DO EXTRATOR - DETALHES (CHAPA LIGAÇÃO ) 73774-P</t>
  </si>
  <si>
    <t>ESTRUTURA DE SUSTENTAÇÃO DO EXTRATOR - DETALHES (CHAPA LIGAÇÃO ) 73774-Q</t>
  </si>
  <si>
    <t>ESTRUTURA DE SUSTENTAÇÃO DO EXTRATOR - DETALHES (CHAPA LIGAÇÃO ) 73774-R</t>
  </si>
  <si>
    <t>T-073775-1</t>
  </si>
  <si>
    <t>MI-D-148-ME-DF-0154</t>
  </si>
  <si>
    <t>GUARDA CORPO DA ESTRUTURA DO EXTRATOR - DETALHES (GUARDA COPRPO) 73775-A</t>
  </si>
  <si>
    <t>T-073808-1</t>
  </si>
  <si>
    <t>MI-D-148-ME-DF-0187</t>
  </si>
  <si>
    <t>TRUQUE E BRAÇO DE TORQUE - DETALHES (TRUQUE) 73808-A</t>
  </si>
  <si>
    <t>TRUQUE E BRAÇO DE TORQUE - DETALHES (BRAÇO DE TORQUE DIREITA) 73808-B</t>
  </si>
  <si>
    <t>TRUQUE E BRAÇO DE TORQUE - DETALHES (BRAÇO DE TORQUE ESQUERDA) 73808-C</t>
  </si>
  <si>
    <t>TRUQUE E BRAÇO DE TORQUE - DETALHES (EIXO) 73808-D</t>
  </si>
  <si>
    <t>TRUQUE E BRAÇO DE TORQUE - DETALHES (CHAVETA) 73808-E</t>
  </si>
  <si>
    <t>TRUQUE E BRAÇO DE TORQUE - DETALHES (CHAVETA) 73808-F</t>
  </si>
  <si>
    <t>TRUQUE E BRAÇO DE TORQUE - DETALHES (RODA) 73808-G</t>
  </si>
  <si>
    <t>TRUQUE E BRAÇO DE TORQUE - DETALHES (RODA) 73808-H</t>
  </si>
  <si>
    <t>TRUQUE E BRAÇO DE TORQUE - DETALHES (CHAPA LIMPA TRILHO) 73808-N</t>
  </si>
  <si>
    <t>TRUQUE E BRAÇO DE TORQUE - DETALHES (PARACHOQUE) 73808-P</t>
  </si>
  <si>
    <t>SUPORTES E PINO - DETALHES (FUSO) 021D</t>
  </si>
  <si>
    <t>SUPORTES E PINO - DETALHES (PINO) 021E</t>
  </si>
  <si>
    <t>GUIA MÓDULO 1 - DETALHES (TRAVESSA FIXAÇÃO ) 73221-D</t>
  </si>
  <si>
    <t>T-073155-1</t>
  </si>
  <si>
    <t>Raspador Primário - Tambor de Acionamento (1000mm) - Material: Pilha Filtragem - Conforme: ET Ped-198-010_0(Raspadores)</t>
  </si>
  <si>
    <t>Raspador Secundário - Tambor de Acionamento (1000mm) - Material: Pilha Filtragem - Conforme: ET Ped-198-010_0(Raspadores)</t>
  </si>
  <si>
    <t>T-073157-1</t>
  </si>
  <si>
    <t>Raspador Primário - Tambor de Acionamento (1200mm) - Material: Rom - Conforme: ET Ped-198-010_0(Raspadores)</t>
  </si>
  <si>
    <t>Raspador Secundário - Tambor de Acionamento (1200mm) - Material: Rom - Conforme: ET Ped-198-010_0(Raspadores)</t>
  </si>
  <si>
    <t>T-073158-1</t>
  </si>
  <si>
    <t>Raspador Primário - Tambor de Acionamento (800mm) - Material:Saprolito - Conforme: ET Ped-198-010_0(Raspadores)</t>
  </si>
  <si>
    <t>Raspador Secundário - Tambor de Acionamento (800mm) - Material:Saprolito - Conforme: ET Ped-198-010_0(Raspadores)</t>
  </si>
  <si>
    <t>T-073156-1</t>
  </si>
  <si>
    <t>Raspador Primário - Tambor de Acionamento (1800mm) - Material:Saprolito - Conforme: ET Ped-198-010_0(Raspadores)</t>
  </si>
  <si>
    <t>Raspador Secundário - Tambor de Acionamento (1800mm) - Material:Saprolito - Conforme: ET Ped-198-010_0(Raspadores)</t>
  </si>
  <si>
    <t xml:space="preserve">T-073242-1 </t>
  </si>
  <si>
    <t>Pos. 14</t>
  </si>
  <si>
    <t>Perfil Borracha 70±5 Shore x 2200mm EPDM -  POS:13 - DESENHO T-073242-1 (REMESSA 32)</t>
  </si>
  <si>
    <t xml:space="preserve">T-073201-1 </t>
  </si>
  <si>
    <t>Pos. 13</t>
  </si>
  <si>
    <t>Borracha de Ved. Lateral Aplron. Seal Hervy Duty 70±5 Shore X 2400mm</t>
  </si>
  <si>
    <t>Parafuso Cab Sex Autarrachante Ø6,3 x 25 DIN 7976 -  (DESENHO:T-073204-1) TAG:05-CV-0001</t>
  </si>
  <si>
    <t>Parafuso Cab. Sext. M10 x 60 DIN 933 Gr 8.8 -  (DESENHO:T-073204-1) TAG:05-CV-0001</t>
  </si>
  <si>
    <t>Porca Sext. M10 DIN 934 Gr 8 -  (DESENHO:T-073204-1) TAG:05-CV-0001</t>
  </si>
  <si>
    <t>Arruela M11 DIN 126 -  (DESENHO:T-073204-1) TAG:05-CV-0001</t>
  </si>
  <si>
    <t>Parafuso Allen Sext. Interno M6 x 30 DIN 912 -  (DESENHO:T-073204-1) TAG:05-CV-0001</t>
  </si>
  <si>
    <t>Parafuso Sext. M10 x 30 CL. 6.8 DIN 933 -  (DESENHO:T-073204-1) TAG:05-CV-0001</t>
  </si>
  <si>
    <t>Parafuso Cab. Sex. 5/8" UNC x 2" - ASTM A325 - ACABAMENTO, SUPERFICIAL GEOMET 500 GR. A. (DESENHO:T-073239-1) TAG:14-CV-0001</t>
  </si>
  <si>
    <t>Porca Sext. Ø 5/8" ASTM A563 ANSI B18.2.2 UNC - ACABAMENTO, SUPERFICIAL GEOMET 500 GR. A. (DESENHO:T-073239-1) TAG:14-CV-0001</t>
  </si>
  <si>
    <t>Arruela Lisa Ø 5/8" F436 - ACABAMENTO, SUPERFICIAL GEOMET 500 GR. A. (DESENHO:T-073239-1) TAG:14-CV-0001</t>
  </si>
  <si>
    <t>Parafuso Cab. Sext. Ø 1" x 4 1/4" ASTM A325 - ACABAMENTO, SUPERFICIAL GEOMET 500 GR. A. (DESENHO:T-073239-1) TAG:14-CV-0001</t>
  </si>
  <si>
    <t>Porca Sext. Pesada Ø 1" ASTM A563 ANSI B18.2.2 UNC - ACABAMENTO, SUPERFICIAL GEOMET 500 GR. A. (DESENHO:T-073239-1) TAG:14-CV-0001</t>
  </si>
  <si>
    <t>Arruela Lisa Ø 1" F436 - ACABAMENTO, SUPERFICIAL GEOMET 500 GR. A. (DESENHO:T-073239-1) TAG:14-CV-0001</t>
  </si>
  <si>
    <t>Porca Sext. Ø1" ASTM A563 ANSI B18.2.2 - (DESENHO:T-073239-1) TAG:14-CV-0001</t>
  </si>
  <si>
    <t>Parafuso Cab. Sext. Ø 1" x 5" (RT) ASTM A325 - (DESENHO:T-073239-1) TAG:14-CV-0001</t>
  </si>
  <si>
    <t>T-073241-1</t>
  </si>
  <si>
    <t>Parafuso Cab. Sex. 5/8" UNC x 1 1/2" - ASTM A325 Parafuso Cab. Sex. 5/8" UNC x 1 1/2" - ASTM A325 - ACABAMENTO, SUPERFICIAL GEOMET 500 GR. A. (DESENHO:T-073241-1) TAG:14-CV-0001</t>
  </si>
  <si>
    <t>Porca Sext. Ø 5/8" ASTM A563 ANSI B18.2.2 - ACABAMENTO, SUPERFICIAL GEOMET 500 GR. A. (DESENHO:T-073241-1) TAG:14-CV-0001</t>
  </si>
  <si>
    <t>Arruela Lisa Ø 5/8" ASTM F436 - ACABAMENTO, SUPERFICIAL GEOMET 500 GR. A. (DESENHO:T-073241-1) TAG:14-CV-0001</t>
  </si>
  <si>
    <t>Paraf. Cab Esc c/ Fenda Ø 1/2" x 1.1/2" ASTM A307 - ACABAMENTO, SUPERFICIAL GEOMET 500 GR. A. (DESENHO:T-073241-1) TAG:14-CV-0001</t>
  </si>
  <si>
    <t>Porca Sext. Ø 1/2"UNC ASTM A563-A - ACABAMENTO, SUPERFICIAL GEOMET 500 GR. A. (DESENHO:T-073241-1) TAG:14-CV-0001</t>
  </si>
  <si>
    <t>Arruela de Lisa Ø 1/2" ASTM F844 - ACABAMENTO, SUPERFICIAL GEOMET 500 GR. A. (DESENHO:T-073241-1) TAG:14-CV-0001</t>
  </si>
  <si>
    <t>Parafuso Cab. Sext. Ø 5/8" x 3" ASTM A307 - ACABAMENTO, SUPERFICIAL GEOMET 500 GR. A. (DESENHO:T-073242-1) TAG:14-CV-0001</t>
  </si>
  <si>
    <t>Porca Sext. Ø 5/8" ASTM A563 ANSI B18.2.2 - ACABAMENTO, SUPERFICIAL GEOMET 500 GR. A. (DESENHO:T-073242-1) TAG:14-CV-0001</t>
  </si>
  <si>
    <t>Arruela Lisa Ø 5/8" ASTM F844 - ACABAMENTO, SUPERFICIAL GEOMET 500 GR. A. (DESENHO:T-073242-1) TAG:14-CV-0001</t>
  </si>
  <si>
    <t>T-073200-1</t>
  </si>
  <si>
    <t>Parafuso Cab. Chata c/Fenda Ø3/4" x 2" ASME B18.6.3 - ACABAMENTO, SUPERFICIAL GEOMET 500 GR. A. (DESENHO:T-073200-1) TAG:05-CV-0001</t>
  </si>
  <si>
    <t>Porca Sext. Ø3/4" ASTM A563 ANSI B18.2.2 - ACABAMENTO, SUPERFICIAL GEOMET 500 GR. A. (DESENHO:T-073200-1) TAG:05-CV-0001</t>
  </si>
  <si>
    <t>Arruela Lisa Ø 3/4" F844 - ACABAMENTO, SUPERFICIAL GEOMET 500 GR. A. (DESENHO:T-073200-1) TAG:05-CV-0001</t>
  </si>
  <si>
    <t>Parafuso Cab. Sext. Ø 3/4" x 2 1/4" ASTM A307  - ACABAMENTO, SUPERFICIAL GEOMET 500 GR. A. (DESENHO:T-073218-1) TAG:14-AC-0001</t>
  </si>
  <si>
    <t>Porca Sext. Ø 3/4" ASTM A307  - ACABAMENTO, SUPERFICIAL GEOMET 500 GR. A. (DESENHO:T-073218-1) TAG:14-AC-0001</t>
  </si>
  <si>
    <t>Arruela Lisa Ø3/4" A26  - ACABAMENTO, SUPERFICIAL GEOMET 500 GR. A. (DESENHO:T-073218-1) TAG:14-AC-0001</t>
  </si>
  <si>
    <t>Parafuso Cab. Sext. Ø 5/8" x 2 1/2" ASTM A307  - ACABAMENTO, SUPERFICIAL GEOMET 500 GR. A. (DESENHO:T-073218-1) TAG:14-AC-0001</t>
  </si>
  <si>
    <t>Porca Sext. Ø 5/8" ASTM A307  - ACABAMENTO, SUPERFICIAL GEOMET 500 GR. A. (DESENHO:T-073218-1) TAG:14-AC-0001</t>
  </si>
  <si>
    <t>Arruela Lisa Ø5/8" A26  - ACABAMENTO, SUPERFICIAL GEOMET 500 GR. A. (DESENHO:T-073218-1) TAG:14-AC-0001</t>
  </si>
  <si>
    <t>Parafuso Cab. Sext. Ø 3/4" x 2" ASTM A307  - ACABAMENTO, SUPERFICIAL GEOMET 500 GR. A. (DESENHO:T-073219-1) TAG:14-AC-0001</t>
  </si>
  <si>
    <t>Arruela Lisa Ø 3/4" ASTM A307 - ACABAMENTO, SUPERFICIAL GEOMET 500 GR. A. (DESENHO:T-073219-1) TAG:14-AC-0001</t>
  </si>
  <si>
    <t>Arruela Lisa Ø3/4" DIN 125  - ACABAMENTO, SUPERFICIAL GEOMET 500 GR. A. (DESENHO:T-073269-1) TAG:14-CV-0005</t>
  </si>
  <si>
    <t>Parafuso Cab. Sext. Ø 3/4" x 2" ASTM A307  - ACABAMENTO, SUPERFICIAL GEOMET 500 GR. A. (DESENHO:T-073269-1) TAG:14-CV-0005</t>
  </si>
  <si>
    <t>Porca Sextavada Ø3/4" DIN 934  - ACABAMENTO, SUPERFICIAL GEOMET 500 GR. A. (DESENHO:T-073269-1) TAG:14-CV-0005</t>
  </si>
  <si>
    <t>Parafuso Cab. Sext. Ø 5/8" x 2 1/4" ASTM A307 - ACABAMENTO, SUPERFICIAL GEOMET 500 GR. A. (DESENHO:T-073226-1) TAG:14-AC-0001</t>
  </si>
  <si>
    <t>Porca Sextavada Ø5/8" UNC A307 - ACABAMENTO, SUPERFICIAL GEOMET 500 GR. A. (DESENHO:T-073226-1) TAG:14-AC-0001</t>
  </si>
  <si>
    <t>Arruela Lisa Ø5/8" ASTM A307 - ACABAMENTO, SUPERFICIAL GEOMET 500 GR. A. (DESENHO:T-073226-1) TAG:14-AC-0001</t>
  </si>
  <si>
    <t>T-073220-1</t>
  </si>
  <si>
    <t>Parafuso Cab. Sext. Ø 5/8" x 1 1/2" ASTM A307  - ACABAMENTO, SUPERFICIAL GEOMET 500 GR. A. (DESENHO:T-073220-1) TAG:14-AC-0001</t>
  </si>
  <si>
    <t>Arruela Lisa Ø5/8" A26  - ACABAMENTO, SUPERFICIAL GEOMET 500 GR. A. (DESENHO:T-073220-1) TAG:14-AC-0001</t>
  </si>
  <si>
    <t>Porca Sext. UNC Ø 5/8" ASTM A307 - ACABAMENTO, SUPERFICIAL GEOMET 500 GR. A. (DESENHO:T-073221-1) TAG:14-AC-0001</t>
  </si>
  <si>
    <t>Arruela Lisa Ø5/8" A307  - ACABAMENTO, SUPERFICIAL GEOMET 500 GR. A. (DESENHO:T-073221-1) TAG:14-AC-0001</t>
  </si>
  <si>
    <t>Porca Sext. Ø 3/4" ASTM A307 - ACABAMENTO, SUPERFICIAL GEOMET 500 GR. A. (DESENHO:T-073221-1) TAG:14-AC-0001</t>
  </si>
  <si>
    <t>Arruela Lisa Ø 3/4" ASTM A307 - ACABAMENTO, SUPERFICIAL GEOMET 500 GR. A. (DESENHO:T-073221-1) TAG:14-AC-0001</t>
  </si>
  <si>
    <t>Parafuso Cab. Chata com Fenda Simples Ø3/4" x 1 1/2" ASME B18.3 - ACABAMENTO, SUPERFICIAL GEOMET 500 GR. A. (DESENHO:T-073221-1) TAG:14-AC-0001</t>
  </si>
  <si>
    <t>Porca Sextavada Ø5/8" UNC A307 - ACABAMENTO, SUPERFICIAL GEOMET 500 GR. A. (DESENHO:T-073222-1) TAG:14-AC-0001</t>
  </si>
  <si>
    <t>Arruela Lisa Ø 5/8" ASTM A307 - ACABAMENTO, SUPERFICIAL GEOMET 500 GR. A. (DESENHO:T-073222-1) TAG:14-AC-0001</t>
  </si>
  <si>
    <t>Parafuso Cab. Chata com Fenda Simples Ø3/4" x 1 1/2" ASME B18.3 - ACABAMENTO, SUPERFICIAL GEOMET 500 GR. A. (DESENHO:T-073222-1) TAG:14-AC-0001</t>
  </si>
  <si>
    <t>Porca Sext. Ø 3/4" ASTM A307 - ACABAMENTO, SUPERFICIAL GEOMET 500 GR. A. (DESENHO:T-073222-1) TAG:14-AC-0001</t>
  </si>
  <si>
    <t>Porca Sext. Ø 5/8" ASTM A307 ANSI B18.2.2  - ACABAMENTO, SUPERFICIAL GEOMET 500 GR. A. (DESENHO:T-073223-1) TAG:14-AC-0001</t>
  </si>
  <si>
    <t>Arruela Lisa Ø 5/8" ASTM A307  - ACABAMENTO, SUPERFICIAL GEOMET 500 GR. A. (DESENHO:T-073223-1) TAG:14-AC-0001</t>
  </si>
  <si>
    <t>Porca Sext. Ø 3/4" ASTM A307  - ACABAMENTO, SUPERFICIAL GEOMET 500 GR. A. (DESENHO:T-073223-1) TAG:14-AC-0001</t>
  </si>
  <si>
    <t>Arruela Lisa Ø 3/4" ASTM A307  - ACABAMENTO, SUPERFICIAL GEOMET 500 GR. A. (DESENHO:T-073223-1) TAG:14-AC-0001</t>
  </si>
  <si>
    <t>Parafuso Cab. Chata com Fenda Simples Ø3/4" x 1 1/2" ASME B18.3 - ACABAMENTO, SUPERFICIAL GEOMET 500 GR. A. (DESENHO:T-073223-1) TAG:14-AC-0001</t>
  </si>
  <si>
    <t>Parafuso Cab. Chata com Fenda Simples Ø3/4" x 1 1/2" ASME B18.3 - ACABAMENTO, SUPERFICIAL GEOMET 500 GR. A. (DESENHO:T-073224-1) TAG:14-AC-0001</t>
  </si>
  <si>
    <t>Porca Sext. Ø 3/4" ASTM A307 UNC - ACABAMENTO, SUPERFICIAL GEOMET 500 GR. A. (DESENHO:T-073224-1) TAG:14-AC-0001</t>
  </si>
  <si>
    <t>Arruela Lisa Ø 3/4" ASTM A307 - ACABAMENTO, SUPERFICIAL GEOMET 500 GR. A. (DESENHO:T-073224-1) TAG:14-AC-0001</t>
  </si>
  <si>
    <t>Parafuso Cab. Chata com Fenda Simples Ø3/4" x 1 1/2" ASME B18.3 - ACABAMENTO, SUPERFICIAL GEOMET 500 GR. A. (DESENHO:T-073225-1) TAG:14-AC-0001</t>
  </si>
  <si>
    <t>Porca Sext. UNC Ø 5/8" ASTM A307 - ACABAMENTO, SUPERFICIAL GEOMET 500 GR. A. (DESENHO:T-073225-1) TAG:14-AC-0001</t>
  </si>
  <si>
    <t>Porca Sext. Ø 3/4" ASTM A307 - ACABAMENTO, SUPERFICIAL GEOMET 500 GR. A. (DESENHO:T-073225-1) TAG:14-AC-0001</t>
  </si>
  <si>
    <t>Arruela Lisa Ø 5/8" ASTM A307 - ACABAMENTO, SUPERFICIAL GEOMET 500 GR. A. (DESENHO:T-073225-1) TAG:14-AC-0001</t>
  </si>
  <si>
    <t>Arruela Lisa Ø3/4" A307 - ACABAMENTO, SUPERFICIAL GEOMET 500 GR. A. (DESENHO:T-073225-1) TAG:14-AC-0001</t>
  </si>
  <si>
    <t>T-073238-</t>
  </si>
  <si>
    <t>Parafuso Cab. Sext. Ø 3/4" x 2 1/4" ASTM A325 - ACABAMENTO, SUPERFICIAL GEOMET 500 GR. A. (DESENHO:T-073238-1) TAG:14-CV-0001</t>
  </si>
  <si>
    <t>Porca Sextavada Ø3/4" ASTM A563-C - ACABAMENTO, SUPERFICIAL GEOMET 500 GR. A. (DESENHO:T-073238-1) TAG:14-CV-0001</t>
  </si>
  <si>
    <t>Arruela Lisa Ø 3/4" F436 - ACABAMENTO, SUPERFICIAL GEOMET 500 GR. A. (DESENHO:T-073238-1) TAG:14-CV-0001</t>
  </si>
  <si>
    <t>Parafuso Cab. Sext. Ø 5/8" x 2 1/4" ASTM A325 - ACABAMENTO, SUPERFICIAL GEOMET 500 GR. A. (DESENHO:T-073229-1) TAG:14-AC-0001</t>
  </si>
  <si>
    <t>Porca Sex.  5/8" UNC - ASTM A325 - ACABAMENTO, SUPERFICIAL GEOMET 500 GR. A. (DESENHO:T-073229-1) TAG:14-AC-0001</t>
  </si>
  <si>
    <t>Arruela Lisa Ø 5/8" ASTM A325 - ACABAMENTO, SUPERFICIAL GEOMET 500 GR. A. (DESENHO:T-073229-1) TAG:14-AC-0001</t>
  </si>
  <si>
    <t>Parafuso Cab. Sext. Ø 5/8" x 2 1/4" ASTM A325 - ACABAMENTO, SUPERFICIAL GEOMET 500 GR. A. (DESENHO:T-073230-1) TAG:14-AC-0001</t>
  </si>
  <si>
    <t>Porca Sex.  5/8" UNC - ASTM A325 - ACABAMENTO, SUPERFICIAL GEOMET 500 GR. A. (DESENHO:T-073230-1) TAG:14-AC-0001</t>
  </si>
  <si>
    <t>Arruela Lisa Ø 5/8" ASTM A325 - ACABAMENTO, SUPERFICIAL GEOMET 500 GR. A. (DESENHO:T-073230-1) TAG:14-AC-0001</t>
  </si>
  <si>
    <t>Porca Sext. Ø 5/8" ASTM A325 - ACABAMENTO, SUPERFICIAL GEOMET 500 GR. A. (DESENHO:T-073224-1) TAG:14-AC-0001</t>
  </si>
  <si>
    <t>Arruela Lisa Ø 5/8" ASTM A325  - ACABAMENTO, SUPERFICIAL GEOMET 500 GR. A. (DESENHO:T-073224-1) TAG:14-AC-0001</t>
  </si>
  <si>
    <t>Parafuso Cab. Sex. 5/8" UNC x 1 1/2" - ASTM A325 -  (DESENHO:T-073197-1)</t>
  </si>
  <si>
    <t>Porca Sext. Ø 5/8" ASTM A563 ANSI B18.2.2 -  (DESENHO:T-073197-1)</t>
  </si>
  <si>
    <t>Arruela Lisa Ø 5/8" F436 -  (DESENHO:T-073197-1)</t>
  </si>
  <si>
    <t>Parafuso Cab. Sext. Ø 5/8" x 2 1/2" ASTM A325 -  (DESENHO:T-073197-1)</t>
  </si>
  <si>
    <t>Arruela Lisa 39 DIN 126 Aço -  (DESENHO:T-073197-1) TAG:05-CV-0001</t>
  </si>
  <si>
    <t>Arruela Lisa 48 DIN 126 Aço -  (DESENHO:T-073197-1) TAG:05-CV-0001</t>
  </si>
  <si>
    <t>Contrapino Ø6.3 x 55 DIN 94 -  (DESENHO:T-073197-1) TAG:05-CV-0001</t>
  </si>
  <si>
    <t>T-07386-1</t>
  </si>
  <si>
    <t>Parafuso Cab. Sext. Ø 5/8" x 2 1/2" ASTM A325 UNC -  (DESENHO:T-073196-1) TAG:05-CV-0001</t>
  </si>
  <si>
    <t>Arruela Lisa Ø 5/8" ASTM F436 -  (DESENHO:T-073196-1) TAG:05-CV-0001</t>
  </si>
  <si>
    <t>Parafuso Cab. Sext. M6 x 16 DIN 933 Gr 8.8 -  (DESENHO:T-054923-1) TAG:14-CV-0001</t>
  </si>
  <si>
    <t>Arruela de Pressão B6 DIN 127 -  (DESENHO:T-073193-1) TAG:14-AC-0001</t>
  </si>
  <si>
    <t>Parafuso Cab. Sext. Ø 5/8" x 1 3/4" ASTM A307 -  (DESENHO:T-073193-1) TAG:14-AC-0001</t>
  </si>
  <si>
    <t>Porca Sext. Ø 5/8 DIN 934 -  (DESENHO:T-073193-1) TAG:14-AC-0001</t>
  </si>
  <si>
    <t>Arruela Lisa Ø 5/8" DIN 125 -  (DESENHO:T-073193-1) TAG:14-AC-0001</t>
  </si>
  <si>
    <t>Parafuso Cab. Sext. Ø 5/8" x 6" ASTM A307 ANSI B18 -  (DESENHO:T-073180-1) TAG:05-CV-0001</t>
  </si>
  <si>
    <t>Porca Sext. Ø 5/8 DIN 934 -  (DESENHO:T-073180-1) TAG:05-CV-0001</t>
  </si>
  <si>
    <t>Arruela Lisa Ø5/8" DIN 125 -  (DESENHO:T-073180-1) TAG:05-CV-0001</t>
  </si>
  <si>
    <t>Parafuso Cab. Sext. Ø 5/8" x 7" ASTM A307 -  (DESENHO:T-073180-1) TAG:05-CV-0001</t>
  </si>
  <si>
    <t>Parafuso Cab. Sext. Ø 5/8" x 1 3/4" ASTM A307 -  (DESENHO:T-073181-1) TAG:05-CV-0001</t>
  </si>
  <si>
    <t>Porca Sext. Ø 5/8 DIN 934 -  (DESENHO:T-073181-1) TAG:05-CV-0001</t>
  </si>
  <si>
    <t>Arruela Lisa Ø5/8" DIN 125 -  (DESENHO:T-073181-1) TAG:05-CV-0001</t>
  </si>
  <si>
    <t>Parafuso Cab. Sext. M6 x 16 DIN 933 Gr 8.8 -  (DESENHO:T-054923-1) TAG:05-CV-0001</t>
  </si>
  <si>
    <t>Arruela de Pressão B6 DIN 127 -  (DESENHO:T-054923-1) TAG:05-CV-0001</t>
  </si>
  <si>
    <t>Arruela de Pressão B6 DIN 127 -  (DESENHO:T-054923-1) TAG:14-CV-0001</t>
  </si>
  <si>
    <t>Parafuso Cab. Sext. Ø 5/8" x 6" ASTM A307 ANSI B18 -  (DESENHO:T-073192-1) TAG:14-CV-0001</t>
  </si>
  <si>
    <t>Porca Sext. Ø 5/8" ASTM A307 ANSI B18.2.2 -  (DESENHO:T-073192-1) TAG:14-CV-0001</t>
  </si>
  <si>
    <t>Arruela Pressão Ø 5/8" ASTM A307 ANSI B18.21.1 -  (DESENHO:T-073192-1) TAG:14-CV-0001</t>
  </si>
  <si>
    <t>Parafuso Cab. Sex. 3/4" UNC x 2 1/4" -  ASTM A325 -  (DESENHO:T-073198-1) TAG:05-CV-0001</t>
  </si>
  <si>
    <t>Porca Sext. Ø3/4" ASTM A563 ANSI B18.2.2 -  (DESENHO:T-073198-1) TAG:05-CV-0001</t>
  </si>
  <si>
    <t>Arruela Lisa Ø 3/4" F436 -  (DESENHO:T-073198-1) TAG:05-CV-0001</t>
  </si>
  <si>
    <t>Parafuso Cab. Sext. Ø 5/8 UNC x 1 1/2" ASTM A325 -  (DESENHO:T-073198-1) TAG:05-CV-0001</t>
  </si>
  <si>
    <t>Porca Sext. Ø 5/8" ASTM A563 ANSI B18.2.2 -  (DESENHO:T-073198-1) TAG:05-CV-0001</t>
  </si>
  <si>
    <t>Arruela Lisa Ø 5/8" F436 -  (DESENHO:T-073198-1) TAG:05-CV-0001</t>
  </si>
  <si>
    <t>Parafuso Cab. Sext. Ø 3/4" x 2 1/4" ASTM A325 -  (DESENHO:T-073199-1) TAG:05-CV-0001</t>
  </si>
  <si>
    <t>Porca Sext. Pesada Ø 3/4" ASTM A563 ANSI B18.2.2 -  (DESENHO:T-073199-1) TAG:05-CV-0001</t>
  </si>
  <si>
    <t>Arruela Lisa Ø 3/4" F436 -  (DESENHO:T-073199-1) TAG:05-CV-0001</t>
  </si>
  <si>
    <t>Parafuso Cab. Sext. Ø 5/8"UNC x 2" ASTM A325 -  (DESENHO:T-073205-1) TAG:05-CV-0001</t>
  </si>
  <si>
    <t>Porca Sext. Ø 5/8" ASTM A563 ANSI B18.2.2 -  (DESENHO:T-073205-1) TAG:05-CV-0001</t>
  </si>
  <si>
    <t>Arruela Lisa Ø 5/8" F436 -  (DESENHO:T-073205-1) TAG:05-CV-0001</t>
  </si>
  <si>
    <t>Parafuso Cab. Sext. Ø 1" x 4 1/4" ASTM A325 -  (DESENHO:T-073205-1) TAG:05-CV-0001</t>
  </si>
  <si>
    <t>Porca Sext. Ø1" ASTM A563 ANSI B18.2.2 -  (DESENHO:T-073205-1) TAG:05-CV-0001</t>
  </si>
  <si>
    <t>Arruela Lisa Ø 1" F436 -  (DESENHO:T-073205-1) TAG:05-CV-0001</t>
  </si>
  <si>
    <t>Porca Sext. Ø 3/4" ASTM A325 ANSI B18.2.2 -  (DESENHO:T-073281-1) TAG:14-CV-0005</t>
  </si>
  <si>
    <t>Arruela de Pressão Ø 3/4" ANSI B27.1 -  (DESENHO:T-073281-1) TAG:14-CV-0005</t>
  </si>
  <si>
    <t>Parafuso Cab. Sext. Ø 1/2" x 1 3/4" ASTM A325 -  (DESENHO:T-073280-1) TAG:14-CV-0005</t>
  </si>
  <si>
    <t>Porca Sext. Ø 1/2" ASTM A325 ANSI B18.2.2 -  (DESENHO:T-073280-1) TAG:14-CV-0005</t>
  </si>
  <si>
    <t>Arruela Lisa Ø 1/2" ASTM A325 ANSI B27.2 -  (DESENHO:T-073280-1) TAG:14-CV-0005</t>
  </si>
  <si>
    <t>Arruela de Pressão B6 DIN 127 -  (DESENHO:T-054923-1) TAG:14-CV-0005</t>
  </si>
  <si>
    <t>Parafuso Cab. Sext. M6 x 16 DIN 933 Gr 8.8 -  (DESENHO:T-054923-1) TAG:14-CV-0005</t>
  </si>
  <si>
    <t>Porca Sext. M20 DIN 934 Gr 8</t>
  </si>
  <si>
    <t>Porca Sext. Ø 5/8" ASTM A563 ANSI B18.2.2 -  (DESENHO:T-073200-1) TAG:05-CV-0001</t>
  </si>
  <si>
    <t>Arruela Lisa Ø 5/8" F436 -  (DESENHO:T-073200-1) TAG:05-CV-0001</t>
  </si>
  <si>
    <t>Parafuso Cab Esc  Ø 1/2" x 1 1/2" ASTM A307 -  (DESENHO:T-073200-1) TAG:05-CV-0001</t>
  </si>
  <si>
    <t>Porca Sext. Ø 1/2"UNC ASTM A563-A -  (DESENHO:T-073200-1) TAG:05-CV-0001</t>
  </si>
  <si>
    <t>Arruela Lisa Ø 1" F844 -  (DESENHO:T-073200-1) TAG:05-CV-0001</t>
  </si>
  <si>
    <t>Porca Sext. Ø 5/8" ASTM A563 ANSI B18.2.2 UNC -  (DESENHO:T-073201-1) TAG:05-CV-0001</t>
  </si>
  <si>
    <t>Arruela Lisa Ø 5/8" ASTM F844 -  (DESENHO:T-073201-1) TAG:05-CV-0001</t>
  </si>
  <si>
    <t>Parafuso Cab. Sext. Ø 5/8" x 1 1/2" ASTM A325 -  (DESENHO:T-073200-1) TAG:05-CV-0001</t>
  </si>
  <si>
    <t>Parafuso Cab. Sext. Ø 5/8" x 3" ASTM A307 -  (DESENHO:T-073201-1) TAG:05-CV-0001</t>
  </si>
  <si>
    <t>T-073537-1/07356-1/073535-1/073533-1/073</t>
  </si>
  <si>
    <t>Parafuso Cab. Sext. M6 x 16 DIN 933 Classe Mat 5.6  -  (REMESSA 27) T-073537-1/07356-1/073535-1/073533-1/073532-1/073531-1 - TAG:14-CV-0005</t>
  </si>
  <si>
    <t>Arruela de Pressão B6 DIN 127  -  -  (REMESSA 27) T-073537-1/07356-1/073535-1/073533-1/073532-1/073531-1 - TAG:14-CV-0005</t>
  </si>
  <si>
    <t>Parafuso Cab. Sext. Ø 1" x 4 1/4" (RT) ASTM A325  -  (DESENHO:T-073205-1) TAG:05-CV-0001</t>
  </si>
  <si>
    <t>Porca Sext. Ø1" ASTM A563 ANSI B18.2.2  -  (DESENHO:T-073205-1) TAG:05-CV-0001</t>
  </si>
  <si>
    <t>Parafuso Cab. Sext. Int. Ø 5/8" x 3"  A325 073201</t>
  </si>
  <si>
    <t xml:space="preserve">Porca Sex.  5/8" UNC - ASTM A325 </t>
  </si>
  <si>
    <t xml:space="preserve">Arruela Lisa Ø 5/8" ASTM A325 ANSI B27.2 </t>
  </si>
  <si>
    <t>Parafuso Cab. Sext. M16 x 55 DIN 933 Gr 8.8 -  (DESENHO:T-073209-1) TAG:05-CV-0001</t>
  </si>
  <si>
    <t>Porca Sext. M16 DIN 934 Gr 8 -  (DESENHO:T-073209-1) TAG:05-CV-0001</t>
  </si>
  <si>
    <t>Arruela Lisa 18 DIN 126 Aço -  (DESENHO:T-073209-1) TAG:05-CV-0001</t>
  </si>
  <si>
    <t>Parafuso Cab. Sext. Ø 1/2" x 1 3/4"  UNC  A325 -  (DESENHO:T-073207-1) TAG:05-CV-0001</t>
  </si>
  <si>
    <t>Porca Sext. 1/2" ASTM A563 ANSI B18.2.2 -  (DESENHO:T-073207-1) TAG:05-CV-0001</t>
  </si>
  <si>
    <t>Arruela Lisa Ø 1/2" F436 -  (DESENHO:T-073207-1) TAG:05-CV-0001</t>
  </si>
  <si>
    <t>T-073206-1</t>
  </si>
  <si>
    <t>Parafuso Cab. Sex. 5/8" UNC x 1 3/4" - ASTM A325 -  (DESENHO:T-073206-1) TAG:05-CV-0001</t>
  </si>
  <si>
    <t>Porca Sext. Ø 5/8" ASTM A563 ANSI B18.2.2  -  (DESENHO:T-073206-1) TAG:05-CV-0001</t>
  </si>
  <si>
    <t>Arruela Lisa Ø 5/8" F436 -  (DESENHO:T-073206-1) TAG:05-CV-0001</t>
  </si>
  <si>
    <t>Parafuso Cab. Sex. 3/4" UNC x 2 1/4" -  ASTM A325 -  (DESENHO:T-073206-1) TAG:05-CV-0001</t>
  </si>
  <si>
    <t>Porca Sext. Pesada Ø 3/4" ASTM A563 ANSI B18.2.2 -  (DESENHO:T-073206-1) TAG:05-CV-0001</t>
  </si>
  <si>
    <t>Arruela Lisa Ø 3/4" F436 -  (DESENHO:T-073206-1) TAG:05-CV-0001</t>
  </si>
  <si>
    <t>Gonzo p/ porta Ø1/2" x 100mm (2x) - ASTM A36 -  (DESENHO:T-073209-1) TAG:05-CV-0001</t>
  </si>
  <si>
    <t>PEÇA</t>
  </si>
  <si>
    <t>P-219</t>
  </si>
  <si>
    <t>1- 15/09/2026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</si>
</sst>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7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sz val="12"/>
      <name val="Calibri"/>
      <family val="2"/>
      <scheme val="minor"/>
    </font>
    <font>
      <b/>
      <sz val="14"/>
      <name val="Arial Narrow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4"/>
      <name val="Arial Narrow"/>
    </font>
    <font>
      <sz val="12"/>
      <name val="Calibri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09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91" fillId="0" borderId="79" xfId="0" applyFont="1" applyBorder="1" applyAlignment="1" applyProtection="1">
      <alignment horizontal="center" vertical="center"/>
      <protection locked="0"/>
    </xf>
    <xf numFmtId="164" fontId="1" fillId="0" borderId="1" xfId="0" applyNumberFormat="1" applyFont="1" applyBorder="1" applyAlignment="1" applyProtection="1">
      <alignment horizontal="center" vertical="center"/>
      <protection locked="0"/>
    </xf>
    <xf numFmtId="14" fontId="92" fillId="0" borderId="1" xfId="0" applyNumberFormat="1" applyFont="1" applyBorder="1" applyAlignment="1">
      <alignment vertical="center"/>
    </xf>
    <xf numFmtId="0" fontId="93" fillId="0" borderId="5" xfId="0" applyFont="1" applyBorder="1"/>
    <xf numFmtId="0" fontId="0" fillId="0" borderId="18" xfId="0" applyBorder="1"/>
    <xf numFmtId="0" fontId="86" fillId="71" borderId="18" xfId="0" applyFont="1" applyFill="1" applyBorder="1"/>
    <xf numFmtId="14" fontId="0" fillId="71" borderId="1" xfId="0" applyNumberFormat="1" applyFill="1" applyBorder="1"/>
    <xf numFmtId="0" fontId="0" fillId="71" borderId="64" xfId="0" applyFill="1" applyBorder="1"/>
    <xf numFmtId="0" fontId="89" fillId="71" borderId="5" xfId="0" applyFont="1" applyFill="1" applyBorder="1"/>
    <xf numFmtId="0" fontId="94" fillId="0" borderId="5" xfId="0" applyFont="1" applyBorder="1"/>
    <xf numFmtId="14" fontId="95" fillId="0" borderId="1" xfId="0" applyNumberFormat="1" applyFont="1" applyBorder="1" applyAlignment="1">
      <alignment vertical="center"/>
    </xf>
    <xf numFmtId="164" fontId="8" fillId="0" borderId="10" xfId="0" applyNumberFormat="1" applyFont="1" applyBorder="1" applyAlignment="1">
      <alignment horizontal="center"/>
    </xf>
    <xf numFmtId="14" fontId="0" fillId="0" borderId="14" xfId="0" applyNumberFormat="1" applyBorder="1" applyAlignment="1">
      <alignment horizontal="center" vertical="center"/>
    </xf>
    <xf numFmtId="1" fontId="0" fillId="0" borderId="14" xfId="0" applyNumberFormat="1" applyBorder="1" applyAlignment="1">
      <alignment horizontal="center" vertical="center"/>
    </xf>
    <xf numFmtId="0" fontId="0" fillId="71" borderId="5" xfId="0" applyFill="1" applyBorder="1"/>
    <xf numFmtId="0" fontId="96" fillId="0" borderId="79" xfId="0" applyFont="1" applyBorder="1" applyAlignment="1" applyProtection="1">
      <alignment horizontal="center" vertical="center"/>
      <protection locked="0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230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229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9.3310999999999993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97.505799999999994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8.8692999999999955</c:v>
                </c:pt>
                <c:pt idx="1">
                  <c:v>3.5999999999999921E-3</c:v>
                </c:pt>
                <c:pt idx="2">
                  <c:v>5.6310999999999991</c:v>
                </c:pt>
                <c:pt idx="3">
                  <c:v>10.351599999999999</c:v>
                </c:pt>
                <c:pt idx="4">
                  <c:v>10.814400000000001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35.669999999999995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16.315800000000003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2.0099999999999998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61.835799999999999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20.366199999999999</c:v>
                </c:pt>
                <c:pt idx="1">
                  <c:v>0</c:v>
                </c:pt>
                <c:pt idx="2">
                  <c:v>3.3136999999999999</c:v>
                </c:pt>
                <c:pt idx="3">
                  <c:v>13.026599999999998</c:v>
                </c:pt>
                <c:pt idx="4">
                  <c:v>12.686400000000001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81.562899999999999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4.4188999999999981</c:v>
                </c:pt>
                <c:pt idx="1">
                  <c:v>0.14000000000000001</c:v>
                </c:pt>
                <c:pt idx="2">
                  <c:v>6.0474000000000006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15.436299999999996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232" totalsRowShown="0" headerRowDxfId="228" tableBorderDxfId="227">
  <autoFilter ref="A1:AW1232" xr:uid="{00000000-000C-0000-FFFF-FFFF00000000}"/>
  <tableColumns count="49">
    <tableColumn id="1" xr3:uid="{00000000-0010-0000-0000-000001000000}" name="DESENHO_x000a_MDE" dataDxfId="226"/>
    <tableColumn id="43" xr3:uid="{56981E1B-CD3E-434D-AB02-C5F83A6F3E43}" name="DESENHO_x000a_CLIENTE" dataDxfId="225"/>
    <tableColumn id="2" xr3:uid="{00000000-0010-0000-0000-000002000000}" name="QTE" dataDxfId="224"/>
    <tableColumn id="3" xr3:uid="{00000000-0010-0000-0000-000003000000}" name="DESCRIÇÃO" dataDxfId="223"/>
    <tableColumn id="41" xr3:uid="{00000000-0010-0000-0000-000029000000}" name="COD.MDE" dataDxfId="222"/>
    <tableColumn id="40" xr3:uid="{00000000-0010-0000-0000-000028000000}" name="REMESSA" dataDxfId="221"/>
    <tableColumn id="4" xr3:uid="{00000000-0010-0000-0000-000004000000}" name="PESO UNI" dataDxfId="220"/>
    <tableColumn id="5" xr3:uid="{00000000-0010-0000-0000-000005000000}" name="PESO TOTAL" dataDxfId="219"/>
    <tableColumn id="6" xr3:uid="{00000000-0010-0000-0000-000006000000}" name="Revisão" dataDxfId="218"/>
    <tableColumn id="7" xr3:uid="{00000000-0010-0000-0000-000007000000}" name="TAG" dataDxfId="217"/>
    <tableColumn id="38" xr3:uid="{00000000-0010-0000-0000-000026000000}" name="PRODUTO" dataDxfId="216"/>
    <tableColumn id="8" xr3:uid="{00000000-0010-0000-0000-000008000000}" name="PEDIDO" dataDxfId="215"/>
    <tableColumn id="9" xr3:uid="{00000000-0010-0000-0000-000009000000}" name="Engenharia" dataDxfId="214"/>
    <tableColumn id="10" xr3:uid="{00000000-0010-0000-0000-00000A000000}" name="FORNECEDOR" dataDxfId="213"/>
    <tableColumn id="11" xr3:uid="{00000000-0010-0000-0000-00000B000000}" name="QTDE/ Fabricação" dataDxfId="212"/>
    <tableColumn id="12" xr3:uid="{00000000-0010-0000-0000-00000C000000}" name="DATA/Fabricação" dataDxfId="211"/>
    <tableColumn id="13" xr3:uid="{00000000-0010-0000-0000-00000D000000}" name="SALDO PENDENTE/Fabricação" dataDxfId="210"/>
    <tableColumn id="14" xr3:uid="{00000000-0010-0000-0000-00000E000000}" name="EVOLUÇÃO PRETO / Fabricação_x000a_(kg)" dataDxfId="209"/>
    <tableColumn id="15" xr3:uid="{00000000-0010-0000-0000-00000F000000}" name="PRONTO ACABADO kg" dataDxfId="208">
      <calculatedColumnFormula>IFERROR(H2*AG2,"")</calculatedColumnFormula>
    </tableColumn>
    <tableColumn id="16" xr3:uid="{00000000-0010-0000-0000-000010000000}" name="Pendencia  / Fabricação_x000a_EM KG" dataDxfId="207"/>
    <tableColumn id="17" xr3:uid="{00000000-0010-0000-0000-000011000000}" name="QIANTIDADE EXPEDIDA" dataDxfId="206"/>
    <tableColumn id="18" xr3:uid="{00000000-0010-0000-0000-000012000000}" name="ROMANEIO " dataDxfId="205"/>
    <tableColumn id="19" xr3:uid="{00000000-0010-0000-0000-000013000000}" name="DATA EXPEDIÇÃO" dataDxfId="204"/>
    <tableColumn id="20" xr3:uid="{00000000-0010-0000-0000-000014000000}" name="Peso Expedido" dataDxfId="203"/>
    <tableColumn id="21" xr3:uid="{00000000-0010-0000-0000-000015000000}" name="QUANTIDADE PENDENTE/Expedição" dataDxfId="202"/>
    <tableColumn id="22" xr3:uid="{00000000-0010-0000-0000-000016000000}" name="PESO PENDENTE/Expedição" dataDxfId="201"/>
    <tableColumn id="23" xr3:uid="{00000000-0010-0000-0000-000017000000}" name="MATÉRIA PRIMA" dataDxfId="200"/>
    <tableColumn id="24" xr3:uid="{00000000-0010-0000-0000-000018000000}" name="RELATORIO" dataDxfId="199"/>
    <tableColumn id="25" xr3:uid="{00000000-0010-0000-0000-000019000000}" name="PREPARAÇÃO " dataDxfId="198"/>
    <tableColumn id="26" xr3:uid="{00000000-0010-0000-0000-00001A000000}" name="CALDEIRARIA" dataDxfId="197"/>
    <tableColumn id="27" xr3:uid="{00000000-0010-0000-0000-00001B000000}" name="SOLDA" dataDxfId="196"/>
    <tableColumn id="28" xr3:uid="{00000000-0010-0000-0000-00001C000000}" name="ACABAMENTO" dataDxfId="195"/>
    <tableColumn id="29" xr3:uid="{00000000-0010-0000-0000-00001D000000}" name="PRONTO ACABADO" dataDxfId="194"/>
    <tableColumn id="30" xr3:uid="{00000000-0010-0000-0000-00001E000000}" name="EXPEDIÇÃO " dataDxfId="193"/>
    <tableColumn id="31" xr3:uid="{00000000-0010-0000-0000-00001F000000}" name="FINALIZADO " dataDxfId="192"/>
    <tableColumn id="32" xr3:uid="{00000000-0010-0000-0000-000020000000}" name="Coluna1" dataDxfId="191"/>
    <tableColumn id="33" xr3:uid="{00000000-0010-0000-0000-000021000000}" name="Coluna2" dataDxfId="190"/>
    <tableColumn id="34" xr3:uid="{00000000-0010-0000-0000-000022000000}" name="Coluna3" dataDxfId="189"/>
    <tableColumn id="35" xr3:uid="{00000000-0010-0000-0000-000023000000}" name="Coluna4" dataDxfId="188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187"/>
    <tableColumn id="42" xr3:uid="{44772FB5-94B9-4683-9D51-42A525419432}" name="Colunas7" dataDxfId="186"/>
    <tableColumn id="44" xr3:uid="{7DBCA215-A831-41EC-8668-4217050D7CEF}" name="Coluna5" dataDxfId="185"/>
    <tableColumn id="52" xr3:uid="{0F1E3E30-ACD2-41A7-9FEB-CFC4141C720F}" name="PRONTO NO PRETO" dataDxfId="184"/>
    <tableColumn id="53" xr3:uid="{7B42991E-C57D-449B-9CA4-FF51ED3B7EE1}" name="PRONTO ACABADO3" dataDxfId="183"/>
    <tableColumn id="54" xr3:uid="{B185D57F-2904-41B4-A913-414AD30553DC}" name="PESO EXPEDIDO2" dataDxfId="182"/>
    <tableColumn id="55" xr3:uid="{216FC5C0-1E81-4ACF-B1FE-D38AAA1F26E6}" name="PRONTO ACABADO2" dataDxfId="181"/>
    <tableColumn id="57" xr3:uid="{58807113-78D0-4422-B88A-8E66792B9681}" name="Coluna7" dataDxfId="180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7" totalsRowShown="0" headerRowDxfId="179" headerRowBorderDxfId="178" tableBorderDxfId="177" totalsRowBorderDxfId="176">
  <autoFilter ref="A1:F27" xr:uid="{9E04BDB3-7991-400D-A075-6EF4E207F167}"/>
  <tableColumns count="6">
    <tableColumn id="1" xr3:uid="{0986BF72-EBA9-4CAA-A22C-20021A2F0193}" name="PEDIDO" dataDxfId="175"/>
    <tableColumn id="2" xr3:uid="{1E29E510-3230-4D4A-9101-BF1603DA1959}" name="EQUIPAMENTO" dataDxfId="174"/>
    <tableColumn id="3" xr3:uid="{27EA8246-98FE-4DF0-AB4F-2563340E3A33}" name="DATA PREVISTA " dataDxfId="173"/>
    <tableColumn id="4" xr3:uid="{178705E0-20E1-4EA8-BD6A-04EDA09B960F}" name="DATA REPROGRAMADA" dataDxfId="172"/>
    <tableColumn id="5" xr3:uid="{D69E8AE6-FCF7-4D70-8443-DFF41092DBA5}" name="Observação" dataDxfId="171"/>
    <tableColumn id="6" xr3:uid="{7ED96CF2-6F65-4A02-A0B9-FFDE23E894EB}" name="CLIENTE" dataDxfId="170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169">
  <autoFilter ref="D3:R395" xr:uid="{D635AFD0-01A4-4F4C-B4BB-2C0A84AFA373}"/>
  <tableColumns count="15">
    <tableColumn id="1" xr3:uid="{71019319-E348-41C4-90A8-BD800AFA385A}" name="TAG" dataDxfId="168"/>
    <tableColumn id="2" xr3:uid="{6205B1F5-4B96-401E-A8F0-D0B582A87E91}" name="PEDIDO" dataDxfId="167">
      <calculatedColumnFormula>VLOOKUP(Tabela2[[#This Row],[TAG]],MICRO!J:L,3,0)</calculatedColumnFormula>
    </tableColumn>
    <tableColumn id="3" xr3:uid="{EBC41BBB-459B-4DB5-8152-2C7C2C7ADFAA}" name="FORNECEDOR" dataDxfId="166" dataCellStyle="Normal 2"/>
    <tableColumn id="4" xr3:uid="{EE719B42-3B82-4AC6-AB4D-66A5AF76AAFC}" name="RECEBIDO ENGENHARIA (kg)" dataDxfId="165">
      <calculatedColumnFormula>SUMIF(MICRO!AP:AP,O:O,MICRO!H:H)</calculatedColumnFormula>
    </tableColumn>
    <tableColumn id="5" xr3:uid="{F8EF71F0-2467-40E6-8596-0C50AE8B2E56}" name="EM AVANÇO NO PRETO (kg)" dataDxfId="164">
      <calculatedColumnFormula>SUMIF(MICRO!AP:AP,O:O,MICRO!R:R)</calculatedColumnFormula>
    </tableColumn>
    <tableColumn id="6" xr3:uid="{70FA8036-1726-409E-865E-BBD68DD0CF2B}" name="Pendencia  / Fabricação_x000a_EM KG _x000a_(Kg)" dataDxfId="163">
      <calculatedColumnFormula>SUMIF(MICRO!AP:AP,O:O,MICRO!T:T)</calculatedColumnFormula>
    </tableColumn>
    <tableColumn id="7" xr3:uid="{2EDBF5C8-B6A0-4234-9B37-F4D245CBE335}" name="EVOLUÇÃO %" dataDxfId="162">
      <calculatedColumnFormula>IF(G4 = 0,0,H4/G4)</calculatedColumnFormula>
    </tableColumn>
    <tableColumn id="8" xr3:uid="{981D372E-5C81-43AA-82CF-C526D0CD7BC5}" name="PESO EXPEDIDO" dataDxfId="161">
      <calculatedColumnFormula>SUMIF(MICRO!AP:AP,O:O,MICRO!X:X)</calculatedColumnFormula>
    </tableColumn>
    <tableColumn id="9" xr3:uid="{9581E1B5-4976-4A66-B050-5EDFF64499FF}" name="% EXPEDIDO" dataDxfId="160">
      <calculatedColumnFormula>IF(G4&lt;&gt;0,SUM(K4/G4*1),"0%")</calculatedColumnFormula>
    </tableColumn>
    <tableColumn id="10" xr3:uid="{5A0DEF47-FBD5-46D6-A019-DB5E3CF46E5B}" name="PESO PENDENTE4" dataDxfId="159">
      <calculatedColumnFormula>G4-K4</calculatedColumnFormula>
    </tableColumn>
    <tableColumn id="11" xr3:uid="{AD13F8E0-0652-4176-B922-E74BEC175E7A}" name="Coluna1" dataDxfId="158">
      <calculatedColumnFormula>E4&amp;F4</calculatedColumnFormula>
    </tableColumn>
    <tableColumn id="12" xr3:uid="{9AB5E2D8-1AD6-4B63-A9ED-66372E94A48F}" name="Coluna2" dataDxfId="157">
      <calculatedColumnFormula>D4&amp;E4&amp;F4</calculatedColumnFormula>
    </tableColumn>
    <tableColumn id="13" xr3:uid="{ED15B1A8-5672-4E4D-9246-3BC797332C64}" name="PRONTO NO PRETO" dataDxfId="156">
      <calculatedColumnFormula>SUMIF(MICRO!AP:AP,O4,MICRO!AS:AS)</calculatedColumnFormula>
    </tableColumn>
    <tableColumn id="14" xr3:uid="{986427E9-0E8F-46D1-987F-01DBA908B397}" name="PRONTO ACABADO" dataDxfId="155">
      <calculatedColumnFormula>SUMIF(MICRO!AP:AP,O4,MICRO!AT:AT)</calculatedColumnFormula>
    </tableColumn>
    <tableColumn id="15" xr3:uid="{4361E9F4-014E-4677-9D4A-8DBAE707BA31}" name="PESO EXPEDIDO2" dataDxfId="154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I9"/>
  <sheetViews>
    <sheetView tabSelected="1" workbookViewId="0">
      <selection activeCell="L7" sqref="L7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10" bestFit="1" customWidth="1"/>
    <col min="9" max="9" width="13.28515625" bestFit="1" customWidth="1"/>
  </cols>
  <sheetData>
    <row r="1" spans="1:9" x14ac:dyDescent="0.25">
      <c r="A1" s="248" t="s">
        <v>326</v>
      </c>
      <c r="B1" s="250" t="s">
        <v>891</v>
      </c>
      <c r="C1" s="251"/>
      <c r="D1" s="251"/>
      <c r="E1" s="251"/>
      <c r="F1" s="251"/>
      <c r="G1" s="252"/>
      <c r="H1" s="246"/>
      <c r="I1" s="247"/>
    </row>
    <row r="2" spans="1:9" x14ac:dyDescent="0.25">
      <c r="A2" s="249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5105</v>
      </c>
      <c r="I2" s="181" t="s">
        <v>332</v>
      </c>
    </row>
    <row r="3" spans="1:9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82"/>
    </row>
    <row r="4" spans="1:9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82"/>
    </row>
    <row r="5" spans="1:9" x14ac:dyDescent="0.25">
      <c r="A5" s="243"/>
      <c r="B5" s="244"/>
      <c r="C5" s="244"/>
      <c r="D5" s="244"/>
      <c r="E5" s="244"/>
      <c r="F5" s="244"/>
      <c r="G5" s="244"/>
      <c r="H5" s="244"/>
      <c r="I5" s="245"/>
    </row>
    <row r="6" spans="1:9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82"/>
    </row>
    <row r="7" spans="1:9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82"/>
    </row>
    <row r="8" spans="1:9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82"/>
    </row>
    <row r="9" spans="1:9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20</v>
      </c>
      <c r="I9" s="183">
        <v>0</v>
      </c>
    </row>
  </sheetData>
  <mergeCells count="4">
    <mergeCell ref="A5:I5"/>
    <mergeCell ref="H1:I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232"/>
  <sheetViews>
    <sheetView showGridLines="0" topLeftCell="E1" zoomScale="77" zoomScaleNormal="77" workbookViewId="0">
      <pane ySplit="1" topLeftCell="A874" activePane="bottomLeft" state="frozen"/>
      <selection activeCell="AF1115" sqref="AF1115"/>
      <selection pane="bottomLeft" activeCell="L1" sqref="L1"/>
    </sheetView>
  </sheetViews>
  <sheetFormatPr defaultColWidth="9.140625" defaultRowHeight="15.75" customHeight="1" x14ac:dyDescent="0.25"/>
  <cols>
    <col min="1" max="1" width="41.140625" style="25" bestFit="1" customWidth="1"/>
    <col min="2" max="2" width="45.5703125" style="36" bestFit="1" customWidth="1"/>
    <col min="3" max="3" width="13" style="25" customWidth="1"/>
    <col min="4" max="4" width="177" style="26" customWidth="1"/>
    <col min="5" max="5" width="19.5703125" style="25" bestFit="1" customWidth="1"/>
    <col min="6" max="6" width="19.85546875" style="25" bestFit="1" customWidth="1"/>
    <col min="7" max="7" width="19.42578125" style="26" bestFit="1" customWidth="1"/>
    <col min="8" max="8" width="15.28515625" style="35" bestFit="1" customWidth="1"/>
    <col min="9" max="9" width="17.7109375" style="27" bestFit="1" customWidth="1"/>
    <col min="10" max="10" width="17.42578125" style="28" bestFit="1" customWidth="1"/>
    <col min="11" max="11" width="16.42578125" style="28" customWidth="1"/>
    <col min="12" max="12" width="11.7109375" style="28" customWidth="1"/>
    <col min="13" max="13" width="22.28515625" style="29" bestFit="1" customWidth="1"/>
    <col min="14" max="14" width="26" style="27" bestFit="1" customWidth="1"/>
    <col min="15" max="15" width="12" style="30" bestFit="1" customWidth="1"/>
    <col min="16" max="16" width="12" style="31" bestFit="1" customWidth="1"/>
    <col min="17" max="17" width="14.42578125" style="30" bestFit="1" customWidth="1"/>
    <col min="18" max="18" width="16.85546875" style="32" bestFit="1" customWidth="1"/>
    <col min="19" max="19" width="12" style="32" bestFit="1" customWidth="1"/>
    <col min="20" max="20" width="14.42578125" style="32" bestFit="1" customWidth="1"/>
    <col min="21" max="21" width="8.5703125" style="30" customWidth="1"/>
    <col min="22" max="22" width="9.5703125" style="30" bestFit="1" customWidth="1"/>
    <col min="23" max="23" width="12" style="30" bestFit="1" customWidth="1"/>
    <col min="24" max="24" width="10.140625" style="30" bestFit="1" customWidth="1"/>
    <col min="25" max="25" width="14.42578125" style="30" bestFit="1" customWidth="1"/>
    <col min="26" max="26" width="14.42578125" style="32" bestFit="1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6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6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136.19999999999999</v>
      </c>
      <c r="S8" s="18">
        <f t="shared" si="7"/>
        <v>136.19999999999999</v>
      </c>
      <c r="T8" s="19">
        <f t="shared" si="1"/>
        <v>0</v>
      </c>
      <c r="U8" s="16">
        <f>IFERROR(SUMIF('LISTA DE EMBARQUE'!B:B,MICRO!E:E,'LISTA DE EMBARQUE'!G:G),"")</f>
        <v>2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136.19999999999999</v>
      </c>
      <c r="Y8" s="14">
        <f t="shared" si="2"/>
        <v>0</v>
      </c>
      <c r="Z8" s="20">
        <f>Tabela1[[#This Row],[PESO TOTAL]]-Tabela1[[#This Row],[Peso Expedido]]</f>
        <v>0</v>
      </c>
      <c r="AA8" s="17">
        <v>1</v>
      </c>
      <c r="AB8" s="17">
        <v>1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33" t="s">
        <v>4412</v>
      </c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136.19999999999999</v>
      </c>
      <c r="AV8" s="37">
        <f t="shared" si="6"/>
        <v>136.19999999999999</v>
      </c>
      <c r="AW8" s="37"/>
    </row>
    <row r="9" spans="1:49" ht="15.75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136.19999999999999</v>
      </c>
      <c r="S9" s="18">
        <f t="shared" si="7"/>
        <v>136.19999999999999</v>
      </c>
      <c r="T9" s="19">
        <f t="shared" si="1"/>
        <v>0</v>
      </c>
      <c r="U9" s="16">
        <f>IFERROR(SUMIF('LISTA DE EMBARQUE'!B:B,MICRO!E:E,'LISTA DE EMBARQUE'!G:G),"")</f>
        <v>2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136.19999999999999</v>
      </c>
      <c r="Y9" s="14">
        <f t="shared" si="2"/>
        <v>0</v>
      </c>
      <c r="Z9" s="20">
        <f>Tabela1[[#This Row],[PESO TOTAL]]-Tabela1[[#This Row],[Peso Expedido]]</f>
        <v>0</v>
      </c>
      <c r="AA9" s="17">
        <v>1</v>
      </c>
      <c r="AB9" s="17">
        <v>1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33" t="s">
        <v>4412</v>
      </c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136.19999999999999</v>
      </c>
      <c r="AV9" s="37">
        <f t="shared" si="6"/>
        <v>136.19999999999999</v>
      </c>
      <c r="AW9" s="37"/>
    </row>
    <row r="10" spans="1:49" ht="15.75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119</v>
      </c>
      <c r="S24" s="18">
        <f t="shared" si="7"/>
        <v>119</v>
      </c>
      <c r="T24" s="19">
        <f t="shared" si="1"/>
        <v>0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>
        <v>1</v>
      </c>
      <c r="AB24" s="17">
        <v>1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33" t="s">
        <v>4412</v>
      </c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119</v>
      </c>
      <c r="AV24" s="37">
        <f t="shared" si="6"/>
        <v>119</v>
      </c>
      <c r="AW24" s="37"/>
    </row>
    <row r="25" spans="1:49" ht="15.75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119</v>
      </c>
      <c r="S25" s="18">
        <f t="shared" si="7"/>
        <v>119</v>
      </c>
      <c r="T25" s="19">
        <f t="shared" si="1"/>
        <v>0</v>
      </c>
      <c r="U25" s="16">
        <f>IFERROR(SUMIF('LISTA DE EMBARQUE'!B:B,MICRO!E:E,'LISTA DE EMBARQUE'!G:G),"")</f>
        <v>28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238</v>
      </c>
      <c r="Y25" s="14">
        <f t="shared" si="2"/>
        <v>14</v>
      </c>
      <c r="Z25" s="20">
        <v>0</v>
      </c>
      <c r="AA25" s="17">
        <v>1</v>
      </c>
      <c r="AB25" s="17">
        <v>1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33" t="s">
        <v>4412</v>
      </c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119</v>
      </c>
      <c r="AV25" s="37">
        <f t="shared" si="6"/>
        <v>119</v>
      </c>
      <c r="AW25" s="37"/>
    </row>
    <row r="26" spans="1:49" ht="15.75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12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237.60000000000002</v>
      </c>
      <c r="Y27" s="14">
        <f t="shared" si="2"/>
        <v>2</v>
      </c>
      <c r="Z27" s="20"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6" si="8">IFERROR(H28*((AA28*0.25)+(AC28*0.25)+(AD28*0.225)+(AE28*0.225)+(AF28*0.05)),"")</f>
        <v>976</v>
      </c>
      <c r="S28" s="18">
        <f t="shared" si="7"/>
        <v>976</v>
      </c>
      <c r="T28" s="19">
        <f t="shared" ref="T28:T36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ref="R37:R79" si="11">IFERROR(H37*((AA37*0.25)+(AC37*0.25)+(AD37*0.225)+(AE37*0.225)+(AF37*0.05)),"")</f>
        <v>144</v>
      </c>
      <c r="S37" s="18">
        <f t="shared" ref="S37:S79" si="12">IFERROR(H37*AG37,"")</f>
        <v>144</v>
      </c>
      <c r="T37" s="19">
        <f t="shared" ref="T37:T79" si="13">IFERROR(S37-H37,"")</f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ref="Y37:Y79" si="14">U37-C37</f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ref="AI37:AI79" si="15"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6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7">IF(AH37="",0,IF(ISTEXT(AH37),H37*VALUE(SUBSTITUTE(AH37,"%",""))/100,H37*AH37))</f>
        <v>144</v>
      </c>
      <c r="AV37" s="37">
        <f t="shared" ref="AV37:AV100" si="18">IF(AG37="",0,IF(ISTEXT(AG37),H37*VALUE(SUBSTITUTE(AG37,"%",""))/100,H37*AG37))</f>
        <v>144</v>
      </c>
      <c r="AW37" s="37"/>
    </row>
    <row r="38" spans="1:49" ht="15.75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si="11"/>
        <v>741</v>
      </c>
      <c r="S38" s="18">
        <f t="shared" si="12"/>
        <v>741</v>
      </c>
      <c r="T38" s="19">
        <f t="shared" si="13"/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si="14"/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5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6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7"/>
        <v>741</v>
      </c>
      <c r="AV38" s="37">
        <f t="shared" si="18"/>
        <v>741</v>
      </c>
      <c r="AW38" s="37"/>
    </row>
    <row r="39" spans="1:49" ht="15.75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1"/>
        <v>405</v>
      </c>
      <c r="S39" s="18">
        <f t="shared" si="12"/>
        <v>405</v>
      </c>
      <c r="T39" s="19">
        <f t="shared" si="13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4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5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6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7"/>
        <v>405</v>
      </c>
      <c r="AV39" s="37">
        <f t="shared" si="18"/>
        <v>405</v>
      </c>
      <c r="AW39" s="37"/>
    </row>
    <row r="40" spans="1:49" ht="15.75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1"/>
        <v>10.8</v>
      </c>
      <c r="S40" s="18">
        <f t="shared" si="12"/>
        <v>10.8</v>
      </c>
      <c r="T40" s="19">
        <f t="shared" si="13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4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5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6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7"/>
        <v>10.8</v>
      </c>
      <c r="AV40" s="37">
        <f t="shared" si="18"/>
        <v>10.8</v>
      </c>
      <c r="AW40" s="37"/>
    </row>
    <row r="41" spans="1:49" ht="15.75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1"/>
        <v>160</v>
      </c>
      <c r="S41" s="18">
        <f t="shared" si="12"/>
        <v>160</v>
      </c>
      <c r="T41" s="19">
        <f t="shared" si="13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4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5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6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7"/>
        <v>160</v>
      </c>
      <c r="AV41" s="37">
        <f t="shared" si="18"/>
        <v>160</v>
      </c>
      <c r="AW41" s="37"/>
    </row>
    <row r="42" spans="1:49" ht="15.75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1"/>
        <v>12.8</v>
      </c>
      <c r="S42" s="18">
        <f t="shared" si="12"/>
        <v>12.8</v>
      </c>
      <c r="T42" s="19">
        <f t="shared" si="13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4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5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6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7"/>
        <v>12.8</v>
      </c>
      <c r="AV42" s="37">
        <f t="shared" si="18"/>
        <v>12.8</v>
      </c>
      <c r="AW42" s="37"/>
    </row>
    <row r="43" spans="1:49" ht="15.75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1"/>
        <v>10.8</v>
      </c>
      <c r="S43" s="18">
        <f t="shared" si="12"/>
        <v>10.8</v>
      </c>
      <c r="T43" s="19">
        <f t="shared" si="13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4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5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6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7"/>
        <v>10.8</v>
      </c>
      <c r="AV43" s="37">
        <f t="shared" si="18"/>
        <v>10.8</v>
      </c>
      <c r="AW43" s="37"/>
    </row>
    <row r="44" spans="1:49" ht="15.75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1"/>
        <v>12.8</v>
      </c>
      <c r="S44" s="18">
        <f t="shared" si="12"/>
        <v>12.8</v>
      </c>
      <c r="T44" s="19">
        <f t="shared" si="13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4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5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6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7"/>
        <v>12.8</v>
      </c>
      <c r="AV44" s="37">
        <f t="shared" si="18"/>
        <v>12.8</v>
      </c>
      <c r="AW44" s="37"/>
    </row>
    <row r="45" spans="1:49" ht="15.75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1"/>
        <v>576</v>
      </c>
      <c r="S45" s="18">
        <f t="shared" si="12"/>
        <v>576</v>
      </c>
      <c r="T45" s="19">
        <f t="shared" si="13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4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5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6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7"/>
        <v>576</v>
      </c>
      <c r="AV45" s="37">
        <f t="shared" si="18"/>
        <v>576</v>
      </c>
      <c r="AW45" s="37"/>
    </row>
    <row r="46" spans="1:49" ht="15.75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1"/>
        <v>96</v>
      </c>
      <c r="S46" s="18">
        <f t="shared" si="12"/>
        <v>96</v>
      </c>
      <c r="T46" s="19">
        <f t="shared" si="13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4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5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6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7"/>
        <v>96</v>
      </c>
      <c r="AV46" s="37">
        <f t="shared" si="18"/>
        <v>96</v>
      </c>
      <c r="AW46" s="37"/>
    </row>
    <row r="47" spans="1:49" ht="15.75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1"/>
        <v>357</v>
      </c>
      <c r="S47" s="18">
        <f t="shared" si="12"/>
        <v>357</v>
      </c>
      <c r="T47" s="19">
        <f t="shared" si="13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4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5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6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7"/>
        <v>357</v>
      </c>
      <c r="AV47" s="37">
        <f t="shared" si="18"/>
        <v>357</v>
      </c>
      <c r="AW47" s="37"/>
    </row>
    <row r="48" spans="1:49" ht="15.75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1"/>
        <v>384</v>
      </c>
      <c r="S48" s="18">
        <f t="shared" si="12"/>
        <v>384</v>
      </c>
      <c r="T48" s="19">
        <f t="shared" si="13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4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5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6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7"/>
        <v>384</v>
      </c>
      <c r="AV48" s="37">
        <f t="shared" si="18"/>
        <v>384</v>
      </c>
      <c r="AW48" s="37"/>
    </row>
    <row r="49" spans="1:49" ht="15.75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1"/>
        <v>2112</v>
      </c>
      <c r="S49" s="18">
        <f t="shared" si="12"/>
        <v>2112</v>
      </c>
      <c r="T49" s="19">
        <f t="shared" si="13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4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5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6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7"/>
        <v>2112</v>
      </c>
      <c r="AV49" s="37">
        <f t="shared" si="18"/>
        <v>2112</v>
      </c>
      <c r="AW49" s="37"/>
    </row>
    <row r="50" spans="1:49" ht="15.75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1"/>
        <v>68.400000000000006</v>
      </c>
      <c r="S50" s="18">
        <f t="shared" si="12"/>
        <v>68.400000000000006</v>
      </c>
      <c r="T50" s="19">
        <f t="shared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4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5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6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7"/>
        <v>0</v>
      </c>
      <c r="AV50" s="37">
        <f t="shared" si="18"/>
        <v>68.400000000000006</v>
      </c>
      <c r="AW50" s="37"/>
    </row>
    <row r="51" spans="1:49" ht="15.75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1"/>
        <v>22.785000000000004</v>
      </c>
      <c r="S51" s="18">
        <f t="shared" si="12"/>
        <v>0</v>
      </c>
      <c r="T51" s="19">
        <f t="shared" si="13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4"/>
        <v>-2</v>
      </c>
      <c r="Z51" s="20">
        <f>Tabela1[[#This Row],[PESO TOTAL]]-Tabela1[[#This Row],[Peso Expedido]]</f>
        <v>37.200000000000003</v>
      </c>
      <c r="AA51" s="17">
        <v>1</v>
      </c>
      <c r="AB51" s="33"/>
      <c r="AC51" s="33">
        <v>1</v>
      </c>
      <c r="AD51" s="33">
        <v>0.5</v>
      </c>
      <c r="AE51" s="33"/>
      <c r="AF51" s="33"/>
      <c r="AG51" s="33"/>
      <c r="AH51" s="33"/>
      <c r="AI51" s="33" t="str">
        <f t="shared" si="15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6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7"/>
        <v>0</v>
      </c>
      <c r="AV51" s="37">
        <f t="shared" si="18"/>
        <v>0</v>
      </c>
      <c r="AW51" s="37"/>
    </row>
    <row r="52" spans="1:49" ht="15.75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1"/>
        <v>1.2250000000000001</v>
      </c>
      <c r="S52" s="18">
        <f t="shared" si="12"/>
        <v>0</v>
      </c>
      <c r="T52" s="19">
        <f t="shared" si="13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4"/>
        <v>-2</v>
      </c>
      <c r="Z52" s="20">
        <f>Tabela1[[#This Row],[PESO TOTAL]]-Tabela1[[#This Row],[Peso Expedido]]</f>
        <v>2</v>
      </c>
      <c r="AA52" s="17">
        <v>1</v>
      </c>
      <c r="AB52" s="33"/>
      <c r="AC52" s="33">
        <v>1</v>
      </c>
      <c r="AD52" s="33">
        <v>0.5</v>
      </c>
      <c r="AE52" s="33"/>
      <c r="AF52" s="33"/>
      <c r="AG52" s="33"/>
      <c r="AH52" s="33"/>
      <c r="AI52" s="33" t="str">
        <f t="shared" si="15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6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7"/>
        <v>0</v>
      </c>
      <c r="AV52" s="37">
        <f t="shared" si="18"/>
        <v>0</v>
      </c>
      <c r="AW52" s="37"/>
    </row>
    <row r="53" spans="1:49" ht="15.75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1"/>
        <v>28.8</v>
      </c>
      <c r="S53" s="18">
        <f t="shared" si="12"/>
        <v>28.8</v>
      </c>
      <c r="T53" s="19">
        <f t="shared" si="13"/>
        <v>0</v>
      </c>
      <c r="U53" s="16">
        <f>IFERROR(SUMIF('LISTA DE EMBARQUE'!B:B,MICRO!E:E,'LISTA DE EMBARQUE'!G:G),"")</f>
        <v>4</v>
      </c>
      <c r="V53" s="12">
        <f>IFERROR(VLOOKUP(Tabela1[[#This Row],[COD.MDE]],'LISTA DE EMBARQUE'!B:L,11,0),"")</f>
        <v>3</v>
      </c>
      <c r="W53" s="13" t="str">
        <f>IFERROR(COUNTIF(#REF!,Tabela1[[#This Row],[Colunas5]]),"")</f>
        <v/>
      </c>
      <c r="X53" s="14">
        <f>Tabela1[[#This Row],[QIANTIDADE EXPEDIDA]]*Tabela1[[#This Row],[PESO UNI]]</f>
        <v>28.8</v>
      </c>
      <c r="Y53" s="14">
        <f t="shared" si="14"/>
        <v>0</v>
      </c>
      <c r="Z53" s="20">
        <f>Tabela1[[#This Row],[PESO TOTAL]]-Tabela1[[#This Row],[Peso Expedido]]</f>
        <v>0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>
        <v>1</v>
      </c>
      <c r="AH53" s="33">
        <v>1</v>
      </c>
      <c r="AI53" s="33" t="str">
        <f t="shared" si="15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6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7"/>
        <v>28.8</v>
      </c>
      <c r="AV53" s="37">
        <f t="shared" si="18"/>
        <v>28.8</v>
      </c>
      <c r="AW53" s="37"/>
    </row>
    <row r="54" spans="1:49" ht="15.75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1"/>
        <v>520</v>
      </c>
      <c r="S54" s="18">
        <f t="shared" si="12"/>
        <v>520</v>
      </c>
      <c r="T54" s="19">
        <f t="shared" si="13"/>
        <v>0</v>
      </c>
      <c r="U54" s="16">
        <f>IFERROR(SUMIF('LISTA DE EMBARQUE'!B:B,MICRO!E:E,'LISTA DE EMBARQUE'!G:G),"")</f>
        <v>1</v>
      </c>
      <c r="V54" s="12">
        <f>IFERROR(VLOOKUP(Tabela1[[#This Row],[COD.MDE]],'LISTA DE EMBARQUE'!B:L,11,0),"")</f>
        <v>5</v>
      </c>
      <c r="W54" s="13" t="str">
        <f>IFERROR(COUNTIF(#REF!,Tabela1[[#This Row],[Colunas5]]),"")</f>
        <v/>
      </c>
      <c r="X54" s="14">
        <f>Tabela1[[#This Row],[QIANTIDADE EXPEDIDA]]*Tabela1[[#This Row],[PESO UNI]]</f>
        <v>520</v>
      </c>
      <c r="Y54" s="14">
        <f t="shared" si="14"/>
        <v>0</v>
      </c>
      <c r="Z54" s="20">
        <f>Tabela1[[#This Row],[PESO TOTAL]]-Tabela1[[#This Row],[Peso Expedido]]</f>
        <v>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>
        <v>1</v>
      </c>
      <c r="AH54" s="33">
        <v>1</v>
      </c>
      <c r="AI54" s="33" t="str">
        <f t="shared" si="15"/>
        <v>ok</v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6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7"/>
        <v>520</v>
      </c>
      <c r="AV54" s="37">
        <f t="shared" si="18"/>
        <v>520</v>
      </c>
      <c r="AW54" s="37"/>
    </row>
    <row r="55" spans="1:49" ht="15.75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1"/>
        <v>16.8</v>
      </c>
      <c r="S55" s="18">
        <f t="shared" si="12"/>
        <v>16.8</v>
      </c>
      <c r="T55" s="19">
        <f t="shared" si="13"/>
        <v>0</v>
      </c>
      <c r="U55" s="16">
        <f>IFERROR(SUMIF('LISTA DE EMBARQUE'!B:B,MICRO!E:E,'LISTA DE EMBARQUE'!G:G),"")</f>
        <v>2</v>
      </c>
      <c r="V55" s="12">
        <f>IFERROR(VLOOKUP(Tabela1[[#This Row],[COD.MDE]],'LISTA DE EMBARQUE'!B:L,11,0),"")</f>
        <v>5</v>
      </c>
      <c r="W55" s="13" t="str">
        <f>IFERROR(COUNTIF(#REF!,Tabela1[[#This Row],[Colunas5]]),"")</f>
        <v/>
      </c>
      <c r="X55" s="14">
        <f>Tabela1[[#This Row],[QIANTIDADE EXPEDIDA]]*Tabela1[[#This Row],[PESO UNI]]</f>
        <v>16.8</v>
      </c>
      <c r="Y55" s="14">
        <f t="shared" si="14"/>
        <v>0</v>
      </c>
      <c r="Z55" s="20">
        <f>Tabela1[[#This Row],[PESO TOTAL]]-Tabela1[[#This Row],[Peso Expedido]]</f>
        <v>0</v>
      </c>
      <c r="AA55" s="17">
        <v>1</v>
      </c>
      <c r="AB55" s="33"/>
      <c r="AC55" s="33">
        <v>1</v>
      </c>
      <c r="AD55" s="33">
        <v>1</v>
      </c>
      <c r="AE55" s="33">
        <v>1</v>
      </c>
      <c r="AF55" s="33">
        <v>1</v>
      </c>
      <c r="AG55" s="33">
        <v>1</v>
      </c>
      <c r="AH55" s="33">
        <v>1</v>
      </c>
      <c r="AI55" s="33" t="str">
        <f t="shared" si="15"/>
        <v>ok</v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6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7"/>
        <v>16.8</v>
      </c>
      <c r="AV55" s="37">
        <f t="shared" si="18"/>
        <v>16.8</v>
      </c>
      <c r="AW55" s="37"/>
    </row>
    <row r="56" spans="1:49" ht="15.75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4843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1"/>
        <v>10.8</v>
      </c>
      <c r="S56" s="18">
        <f t="shared" si="12"/>
        <v>10.8</v>
      </c>
      <c r="T56" s="19">
        <f t="shared" si="13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4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5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6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7"/>
        <v>10.8</v>
      </c>
      <c r="AV56" s="37">
        <f t="shared" si="18"/>
        <v>10.8</v>
      </c>
      <c r="AW56" s="37"/>
    </row>
    <row r="57" spans="1:49" ht="15.75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4840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1"/>
        <v>41.9</v>
      </c>
      <c r="S57" s="18">
        <f t="shared" si="12"/>
        <v>41.9</v>
      </c>
      <c r="T57" s="19">
        <f t="shared" si="13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4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5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6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7"/>
        <v>41.9</v>
      </c>
      <c r="AV57" s="37">
        <f t="shared" si="18"/>
        <v>41.9</v>
      </c>
      <c r="AW57" s="37"/>
    </row>
    <row r="58" spans="1:49" ht="15.75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1"/>
        <v>54</v>
      </c>
      <c r="S58" s="18">
        <f t="shared" si="12"/>
        <v>54</v>
      </c>
      <c r="T58" s="19">
        <f t="shared" si="13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4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5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6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7"/>
        <v>54</v>
      </c>
      <c r="AV58" s="37">
        <f t="shared" si="18"/>
        <v>54</v>
      </c>
      <c r="AW58" s="37"/>
    </row>
    <row r="59" spans="1:49" ht="15.75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1"/>
        <v>95.2</v>
      </c>
      <c r="S59" s="18">
        <f t="shared" si="12"/>
        <v>95.2</v>
      </c>
      <c r="T59" s="19">
        <f t="shared" si="13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4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5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6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7"/>
        <v>95.2</v>
      </c>
      <c r="AV59" s="37">
        <f t="shared" si="18"/>
        <v>95.2</v>
      </c>
      <c r="AW59" s="37"/>
    </row>
    <row r="60" spans="1:49" ht="15.75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1"/>
        <v>2142</v>
      </c>
      <c r="S60" s="18">
        <f t="shared" si="12"/>
        <v>2142</v>
      </c>
      <c r="T60" s="19">
        <f t="shared" si="13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4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5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6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7"/>
        <v>2142</v>
      </c>
      <c r="AV60" s="37">
        <f t="shared" si="18"/>
        <v>2142</v>
      </c>
      <c r="AW60" s="37"/>
    </row>
    <row r="61" spans="1:49" ht="15.75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1"/>
        <v>591.79999999999995</v>
      </c>
      <c r="S61" s="18">
        <f t="shared" si="12"/>
        <v>591.79999999999995</v>
      </c>
      <c r="T61" s="19">
        <f t="shared" si="13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4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5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6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7"/>
        <v>591.79999999999995</v>
      </c>
      <c r="AV61" s="37">
        <f t="shared" si="18"/>
        <v>591.79999999999995</v>
      </c>
      <c r="AW61" s="37"/>
    </row>
    <row r="62" spans="1:49" ht="15.75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1"/>
        <v>394.5</v>
      </c>
      <c r="S62" s="18">
        <f t="shared" si="12"/>
        <v>394.5</v>
      </c>
      <c r="T62" s="19">
        <f t="shared" si="13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4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5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6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7"/>
        <v>394.5</v>
      </c>
      <c r="AV62" s="37">
        <f t="shared" si="18"/>
        <v>394.5</v>
      </c>
      <c r="AW62" s="37"/>
    </row>
    <row r="63" spans="1:49" ht="15.75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1"/>
        <v>118.2</v>
      </c>
      <c r="S63" s="18">
        <f t="shared" si="12"/>
        <v>118.2</v>
      </c>
      <c r="T63" s="19">
        <f t="shared" si="13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4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5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6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7"/>
        <v>118.2</v>
      </c>
      <c r="AV63" s="37">
        <f t="shared" si="18"/>
        <v>118.2</v>
      </c>
      <c r="AW63" s="37"/>
    </row>
    <row r="64" spans="1:49" ht="15.75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1"/>
        <v>53.8</v>
      </c>
      <c r="S64" s="18">
        <f t="shared" si="12"/>
        <v>53.8</v>
      </c>
      <c r="T64" s="19">
        <f t="shared" si="13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4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5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6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7"/>
        <v>53.8</v>
      </c>
      <c r="AV64" s="37">
        <f t="shared" si="18"/>
        <v>53.8</v>
      </c>
      <c r="AW64" s="37"/>
    </row>
    <row r="65" spans="1:49" ht="15.75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1"/>
        <v>1064</v>
      </c>
      <c r="S65" s="18">
        <f t="shared" si="12"/>
        <v>1064</v>
      </c>
      <c r="T65" s="19">
        <f t="shared" si="13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4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5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6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7"/>
        <v>1064</v>
      </c>
      <c r="AV65" s="37">
        <f t="shared" si="18"/>
        <v>1064</v>
      </c>
      <c r="AW65" s="37"/>
    </row>
    <row r="66" spans="1:49" ht="15.75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1"/>
        <v>230.4</v>
      </c>
      <c r="S66" s="18">
        <f t="shared" si="12"/>
        <v>230.4</v>
      </c>
      <c r="T66" s="19">
        <f t="shared" si="13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4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5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6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7"/>
        <v>230.4</v>
      </c>
      <c r="AV66" s="37">
        <f t="shared" si="18"/>
        <v>230.4</v>
      </c>
      <c r="AW66" s="37"/>
    </row>
    <row r="67" spans="1:49" ht="15.75" customHeight="1" x14ac:dyDescent="0.25">
      <c r="A67" s="6" t="s">
        <v>3086</v>
      </c>
      <c r="B67" s="21"/>
      <c r="C67" s="7">
        <v>16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83.2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-16</v>
      </c>
      <c r="R67" s="18">
        <f t="shared" si="11"/>
        <v>83.2</v>
      </c>
      <c r="S67" s="18">
        <f t="shared" si="12"/>
        <v>83.2</v>
      </c>
      <c r="T67" s="19">
        <f t="shared" si="13"/>
        <v>0</v>
      </c>
      <c r="U67" s="16">
        <f>IFERROR(SUMIF('LISTA DE EMBARQUE'!B:B,MICRO!E:E,'LISTA DE EMBARQUE'!G:G),"")</f>
        <v>16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83.2</v>
      </c>
      <c r="Y67" s="14">
        <f t="shared" si="14"/>
        <v>0</v>
      </c>
      <c r="Z67" s="20"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5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6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7"/>
        <v>83.2</v>
      </c>
      <c r="AV67" s="37">
        <f t="shared" si="18"/>
        <v>83.2</v>
      </c>
      <c r="AW67" s="37"/>
    </row>
    <row r="68" spans="1:49" ht="15.75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1"/>
        <v>98</v>
      </c>
      <c r="S68" s="18">
        <f t="shared" si="12"/>
        <v>98</v>
      </c>
      <c r="T68" s="19">
        <f t="shared" si="13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4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5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7"/>
        <v>98</v>
      </c>
      <c r="AV68" s="37">
        <f t="shared" si="18"/>
        <v>98</v>
      </c>
      <c r="AW68" s="37"/>
    </row>
    <row r="69" spans="1:49" ht="15.75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1"/>
        <v>56</v>
      </c>
      <c r="S69" s="18">
        <f t="shared" si="12"/>
        <v>56</v>
      </c>
      <c r="T69" s="19">
        <f t="shared" si="13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4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5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9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7"/>
        <v>56</v>
      </c>
      <c r="AV69" s="37">
        <f t="shared" si="18"/>
        <v>56</v>
      </c>
      <c r="AW69" s="37"/>
    </row>
    <row r="70" spans="1:49" ht="15.75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1"/>
        <v>10.8</v>
      </c>
      <c r="S70" s="18">
        <f t="shared" si="12"/>
        <v>10.8</v>
      </c>
      <c r="T70" s="19">
        <f t="shared" si="13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4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5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9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7"/>
        <v>10.8</v>
      </c>
      <c r="AV70" s="37">
        <f t="shared" si="18"/>
        <v>10.8</v>
      </c>
      <c r="AW70" s="37"/>
    </row>
    <row r="71" spans="1:49" ht="15.75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1"/>
        <v>10.8</v>
      </c>
      <c r="S71" s="18">
        <f t="shared" si="12"/>
        <v>10.8</v>
      </c>
      <c r="T71" s="19">
        <f t="shared" si="13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4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5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9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7"/>
        <v>10.8</v>
      </c>
      <c r="AV71" s="37">
        <f t="shared" si="18"/>
        <v>10.8</v>
      </c>
      <c r="AW71" s="37"/>
    </row>
    <row r="72" spans="1:49" ht="15.75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1"/>
        <v>3103.2000000000003</v>
      </c>
      <c r="S72" s="18">
        <f t="shared" si="12"/>
        <v>3103.2000000000003</v>
      </c>
      <c r="T72" s="19">
        <f t="shared" si="13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4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5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9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7"/>
        <v>3103.2000000000003</v>
      </c>
      <c r="AV72" s="37">
        <f t="shared" si="18"/>
        <v>3103.2000000000003</v>
      </c>
      <c r="AW72" s="37"/>
    </row>
    <row r="73" spans="1:49" ht="15.75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1"/>
        <v>240</v>
      </c>
      <c r="S73" s="18">
        <f t="shared" si="12"/>
        <v>240</v>
      </c>
      <c r="T73" s="19">
        <f t="shared" si="13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4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5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9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7"/>
        <v>240</v>
      </c>
      <c r="AV73" s="37">
        <f t="shared" si="18"/>
        <v>240</v>
      </c>
      <c r="AW73" s="37"/>
    </row>
    <row r="74" spans="1:49" ht="15.75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1"/>
        <v>56</v>
      </c>
      <c r="S74" s="18">
        <f t="shared" si="12"/>
        <v>56</v>
      </c>
      <c r="T74" s="19">
        <f t="shared" si="13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4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5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9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7"/>
        <v>56</v>
      </c>
      <c r="AV74" s="37">
        <f t="shared" si="18"/>
        <v>56</v>
      </c>
      <c r="AW74" s="37"/>
    </row>
    <row r="75" spans="1:49" ht="15.75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1"/>
        <v>1200</v>
      </c>
      <c r="S75" s="18">
        <f t="shared" si="12"/>
        <v>1200</v>
      </c>
      <c r="T75" s="19">
        <f t="shared" si="13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4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5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9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7"/>
        <v>1200</v>
      </c>
      <c r="AV75" s="37">
        <f t="shared" si="18"/>
        <v>1200</v>
      </c>
      <c r="AW75" s="37"/>
    </row>
    <row r="76" spans="1:49" ht="15.75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1"/>
        <v>864</v>
      </c>
      <c r="S76" s="18">
        <f t="shared" si="12"/>
        <v>864</v>
      </c>
      <c r="T76" s="19">
        <f t="shared" si="13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4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5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9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7"/>
        <v>864</v>
      </c>
      <c r="AV76" s="37">
        <f t="shared" si="18"/>
        <v>864</v>
      </c>
      <c r="AW76" s="37"/>
    </row>
    <row r="77" spans="1:49" ht="15.75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1"/>
        <v>804</v>
      </c>
      <c r="S77" s="18">
        <f t="shared" si="12"/>
        <v>804</v>
      </c>
      <c r="T77" s="19">
        <f t="shared" si="13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4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5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9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7"/>
        <v>804</v>
      </c>
      <c r="AV77" s="37">
        <f t="shared" si="18"/>
        <v>804</v>
      </c>
      <c r="AW77" s="37"/>
    </row>
    <row r="78" spans="1:49" ht="15.75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1"/>
        <v>469</v>
      </c>
      <c r="S78" s="18">
        <f t="shared" si="12"/>
        <v>469</v>
      </c>
      <c r="T78" s="19">
        <f t="shared" si="13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4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5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9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7"/>
        <v>469</v>
      </c>
      <c r="AV78" s="37">
        <f t="shared" si="18"/>
        <v>469</v>
      </c>
      <c r="AW78" s="37"/>
    </row>
    <row r="79" spans="1:49" ht="15.75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1"/>
        <v>10.8</v>
      </c>
      <c r="S79" s="18">
        <f t="shared" si="12"/>
        <v>10.8</v>
      </c>
      <c r="T79" s="19">
        <f t="shared" si="13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4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5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9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7"/>
        <v>10.8</v>
      </c>
      <c r="AV79" s="37">
        <f t="shared" si="18"/>
        <v>10.8</v>
      </c>
      <c r="AW79" s="37"/>
    </row>
    <row r="80" spans="1:49" ht="15.75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" si="20">IFERROR(H80*((AA80*0.25)+(AC80*0.25)+(AD80*0.225)+(AE80*0.225)+(AF80*0.05)),"")</f>
        <v>122.99999999999999</v>
      </c>
      <c r="S80" s="18">
        <f t="shared" ref="S80:S115" si="21">IFERROR(H80*AG80,"")</f>
        <v>122.99999999999999</v>
      </c>
      <c r="T80" s="19">
        <f t="shared" ref="T80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5" si="23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9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7"/>
        <v>122.99999999999999</v>
      </c>
      <c r="AV80" s="37">
        <f t="shared" si="18"/>
        <v>122.99999999999999</v>
      </c>
      <c r="AW80" s="37"/>
    </row>
    <row r="81" spans="1:49" ht="15.75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4416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ref="R81:R114" si="24">IFERROR(H81*((AA81*0.25)+(AC81*0.25)+(AD81*0.225)+(AE81*0.225)+(AF81*0.05)),"")</f>
        <v>45</v>
      </c>
      <c r="S81" s="18">
        <f t="shared" ref="S81:S114" si="25">IFERROR(H81*AG81,"")</f>
        <v>45</v>
      </c>
      <c r="T81" s="19">
        <f t="shared" ref="T81:T114" si="26">IFERROR(S81-H81,"")</f>
        <v>0</v>
      </c>
      <c r="U81" s="16">
        <f>IFERROR(SUMIF('LISTA DE EMBARQUE'!B:B,MICRO!E:E,'LISTA DE EMBARQUE'!G:G),"")</f>
        <v>18</v>
      </c>
      <c r="V81" s="12">
        <f>IFERROR(VLOOKUP(Tabela1[[#This Row],[COD.MDE]],'LISTA DE EMBARQUE'!B:L,11,0),"")</f>
        <v>5</v>
      </c>
      <c r="W81" s="13" t="str">
        <f>IFERROR(COUNTIF(#REF!,Tabela1[[#This Row],[Colunas5]]),"")</f>
        <v/>
      </c>
      <c r="X81" s="14">
        <f>Tabela1[[#This Row],[QIANTIDADE EXPEDIDA]]*Tabela1[[#This Row],[PESO UNI]]</f>
        <v>45</v>
      </c>
      <c r="Y81" s="14">
        <f t="shared" ref="Y81:Y114" si="27">U81-C81</f>
        <v>0</v>
      </c>
      <c r="Z81" s="20">
        <f>Tabela1[[#This Row],[PESO TOTAL]]-Tabela1[[#This Row],[Peso Expedido]]</f>
        <v>0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>
        <v>1</v>
      </c>
      <c r="AI81" s="33" t="str">
        <f t="shared" ref="AI81:AI114" si="28">IF(Z81&lt;=0,"ok","")</f>
        <v>ok</v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9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7"/>
        <v>45</v>
      </c>
      <c r="AV81" s="37">
        <f t="shared" si="18"/>
        <v>45</v>
      </c>
      <c r="AW81" s="37"/>
    </row>
    <row r="82" spans="1:49" ht="15.75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4416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24"/>
        <v>396.3</v>
      </c>
      <c r="S82" s="18">
        <f t="shared" si="25"/>
        <v>396.3</v>
      </c>
      <c r="T82" s="19">
        <f t="shared" si="26"/>
        <v>0</v>
      </c>
      <c r="U82" s="16">
        <f>IFERROR(SUMIF('LISTA DE EMBARQUE'!B:B,MICRO!E:E,'LISTA DE EMBARQUE'!G:G),"")</f>
        <v>1</v>
      </c>
      <c r="V82" s="12">
        <f>IFERROR(VLOOKUP(Tabela1[[#This Row],[COD.MDE]],'LISTA DE EMBARQUE'!B:L,11,0),"")</f>
        <v>3</v>
      </c>
      <c r="W82" s="13" t="str">
        <f>IFERROR(COUNTIF(#REF!,Tabela1[[#This Row],[Colunas5]]),"")</f>
        <v/>
      </c>
      <c r="X82" s="14">
        <f>Tabela1[[#This Row],[QIANTIDADE EXPEDIDA]]*Tabela1[[#This Row],[PESO UNI]]</f>
        <v>396.3</v>
      </c>
      <c r="Y82" s="14">
        <f t="shared" si="27"/>
        <v>0</v>
      </c>
      <c r="Z82" s="20">
        <f>Tabela1[[#This Row],[PESO TOTAL]]-Tabela1[[#This Row],[Peso Expedido]]</f>
        <v>0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>
        <v>1</v>
      </c>
      <c r="AI82" s="33" t="str">
        <f t="shared" si="28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9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7"/>
        <v>396.3</v>
      </c>
      <c r="AV82" s="37">
        <f t="shared" si="18"/>
        <v>396.3</v>
      </c>
      <c r="AW82" s="37"/>
    </row>
    <row r="83" spans="1:49" ht="15.75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4416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24"/>
        <v>290.60000000000002</v>
      </c>
      <c r="S83" s="18">
        <f t="shared" si="25"/>
        <v>290.60000000000002</v>
      </c>
      <c r="T83" s="19">
        <f t="shared" si="26"/>
        <v>0</v>
      </c>
      <c r="U83" s="16">
        <f>IFERROR(SUMIF('LISTA DE EMBARQUE'!B:B,MICRO!E:E,'LISTA DE EMBARQUE'!G:G),"")</f>
        <v>1</v>
      </c>
      <c r="V83" s="12">
        <f>IFERROR(VLOOKUP(Tabela1[[#This Row],[COD.MDE]],'LISTA DE EMBARQUE'!B:L,11,0),"")</f>
        <v>3</v>
      </c>
      <c r="W83" s="13" t="str">
        <f>IFERROR(COUNTIF(#REF!,Tabela1[[#This Row],[Colunas5]]),"")</f>
        <v/>
      </c>
      <c r="X83" s="14">
        <f>Tabela1[[#This Row],[QIANTIDADE EXPEDIDA]]*Tabela1[[#This Row],[PESO UNI]]</f>
        <v>290.60000000000002</v>
      </c>
      <c r="Y83" s="14">
        <f t="shared" si="27"/>
        <v>0</v>
      </c>
      <c r="Z83" s="20">
        <f>Tabela1[[#This Row],[PESO TOTAL]]-Tabela1[[#This Row],[Peso Expedido]]</f>
        <v>0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>
        <v>1</v>
      </c>
      <c r="AI83" s="33" t="str">
        <f t="shared" si="28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9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7"/>
        <v>290.60000000000002</v>
      </c>
      <c r="AV83" s="37">
        <f t="shared" si="18"/>
        <v>290.60000000000002</v>
      </c>
      <c r="AW83" s="37"/>
    </row>
    <row r="84" spans="1:49" ht="15.75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4416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24"/>
        <v>290.60000000000002</v>
      </c>
      <c r="S84" s="18">
        <f t="shared" si="25"/>
        <v>290.60000000000002</v>
      </c>
      <c r="T84" s="19">
        <f t="shared" si="26"/>
        <v>0</v>
      </c>
      <c r="U84" s="16">
        <f>IFERROR(SUMIF('LISTA DE EMBARQUE'!B:B,MICRO!E:E,'LISTA DE EMBARQUE'!G:G),"")</f>
        <v>1</v>
      </c>
      <c r="V84" s="12">
        <f>IFERROR(VLOOKUP(Tabela1[[#This Row],[COD.MDE]],'LISTA DE EMBARQUE'!B:L,11,0),"")</f>
        <v>3</v>
      </c>
      <c r="W84" s="13" t="str">
        <f>IFERROR(COUNTIF(#REF!,Tabela1[[#This Row],[Colunas5]]),"")</f>
        <v/>
      </c>
      <c r="X84" s="14">
        <f>Tabela1[[#This Row],[QIANTIDADE EXPEDIDA]]*Tabela1[[#This Row],[PESO UNI]]</f>
        <v>290.60000000000002</v>
      </c>
      <c r="Y84" s="14">
        <f t="shared" si="27"/>
        <v>0</v>
      </c>
      <c r="Z84" s="20">
        <f>Tabela1[[#This Row],[PESO TOTAL]]-Tabela1[[#This Row],[Peso Expedido]]</f>
        <v>0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>
        <v>1</v>
      </c>
      <c r="AI84" s="33" t="str">
        <f t="shared" si="28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9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7"/>
        <v>290.60000000000002</v>
      </c>
      <c r="AV84" s="37">
        <f t="shared" si="18"/>
        <v>290.60000000000002</v>
      </c>
      <c r="AW84" s="37"/>
    </row>
    <row r="85" spans="1:49" ht="15.75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4416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24"/>
        <v>295</v>
      </c>
      <c r="S85" s="18">
        <f t="shared" si="25"/>
        <v>295</v>
      </c>
      <c r="T85" s="19">
        <f t="shared" si="26"/>
        <v>0</v>
      </c>
      <c r="U85" s="16">
        <f>IFERROR(SUMIF('LISTA DE EMBARQUE'!B:B,MICRO!E:E,'LISTA DE EMBARQUE'!G:G),"")</f>
        <v>1</v>
      </c>
      <c r="V85" s="12">
        <f>IFERROR(VLOOKUP(Tabela1[[#This Row],[COD.MDE]],'LISTA DE EMBARQUE'!B:L,11,0),"")</f>
        <v>3</v>
      </c>
      <c r="W85" s="13" t="str">
        <f>IFERROR(COUNTIF(#REF!,Tabela1[[#This Row],[Colunas5]]),"")</f>
        <v/>
      </c>
      <c r="X85" s="14">
        <f>Tabela1[[#This Row],[QIANTIDADE EXPEDIDA]]*Tabela1[[#This Row],[PESO UNI]]</f>
        <v>295</v>
      </c>
      <c r="Y85" s="14">
        <f t="shared" si="27"/>
        <v>0</v>
      </c>
      <c r="Z85" s="20">
        <f>Tabela1[[#This Row],[PESO TOTAL]]-Tabela1[[#This Row],[Peso Expedido]]</f>
        <v>0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>
        <v>1</v>
      </c>
      <c r="AI85" s="33" t="str">
        <f t="shared" si="28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9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7"/>
        <v>295</v>
      </c>
      <c r="AV85" s="37">
        <f t="shared" si="18"/>
        <v>295</v>
      </c>
      <c r="AW85" s="37"/>
    </row>
    <row r="86" spans="1:49" ht="15.75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4416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24"/>
        <v>144</v>
      </c>
      <c r="S86" s="18">
        <f t="shared" si="25"/>
        <v>144</v>
      </c>
      <c r="T86" s="19">
        <f t="shared" si="26"/>
        <v>0</v>
      </c>
      <c r="U86" s="16">
        <f>IFERROR(SUMIF('LISTA DE EMBARQUE'!B:B,MICRO!E:E,'LISTA DE EMBARQUE'!G:G),"")</f>
        <v>6</v>
      </c>
      <c r="V86" s="12">
        <f>IFERROR(VLOOKUP(Tabela1[[#This Row],[COD.MDE]],'LISTA DE EMBARQUE'!B:L,11,0),"")</f>
        <v>5</v>
      </c>
      <c r="W86" s="13" t="str">
        <f>IFERROR(COUNTIF(#REF!,Tabela1[[#This Row],[Colunas5]]),"")</f>
        <v/>
      </c>
      <c r="X86" s="14">
        <f>Tabela1[[#This Row],[QIANTIDADE EXPEDIDA]]*Tabela1[[#This Row],[PESO UNI]]</f>
        <v>144</v>
      </c>
      <c r="Y86" s="14">
        <f t="shared" si="27"/>
        <v>0</v>
      </c>
      <c r="Z86" s="20">
        <f>Tabela1[[#This Row],[PESO TOTAL]]-Tabela1[[#This Row],[Peso Expedido]]</f>
        <v>0</v>
      </c>
      <c r="AA86" s="17">
        <v>1</v>
      </c>
      <c r="AB86" s="33"/>
      <c r="AC86" s="33">
        <v>1</v>
      </c>
      <c r="AD86" s="33">
        <v>1</v>
      </c>
      <c r="AE86" s="33">
        <v>1</v>
      </c>
      <c r="AF86" s="33">
        <v>1</v>
      </c>
      <c r="AG86" s="33">
        <v>1</v>
      </c>
      <c r="AH86" s="33">
        <v>1</v>
      </c>
      <c r="AI86" s="33" t="str">
        <f t="shared" si="28"/>
        <v>ok</v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9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7"/>
        <v>144</v>
      </c>
      <c r="AV86" s="37">
        <f t="shared" si="18"/>
        <v>144</v>
      </c>
      <c r="AW86" s="37"/>
    </row>
    <row r="87" spans="1:49" ht="15.75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4415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24"/>
        <v>29.6</v>
      </c>
      <c r="S87" s="18">
        <f t="shared" si="25"/>
        <v>29.6</v>
      </c>
      <c r="T87" s="19">
        <f t="shared" si="26"/>
        <v>0</v>
      </c>
      <c r="U87" s="16">
        <f>IFERROR(SUMIF('LISTA DE EMBARQUE'!B:B,MICRO!E:E,'LISTA DE EMBARQUE'!G:G),"")</f>
        <v>4</v>
      </c>
      <c r="V87" s="12">
        <f>IFERROR(VLOOKUP(Tabela1[[#This Row],[COD.MDE]],'LISTA DE EMBARQUE'!B:L,11,0),"")</f>
        <v>3</v>
      </c>
      <c r="W87" s="13" t="str">
        <f>IFERROR(COUNTIF(#REF!,Tabela1[[#This Row],[Colunas5]]),"")</f>
        <v/>
      </c>
      <c r="X87" s="14">
        <f>Tabela1[[#This Row],[QIANTIDADE EXPEDIDA]]*Tabela1[[#This Row],[PESO UNI]]</f>
        <v>29.6</v>
      </c>
      <c r="Y87" s="14">
        <f t="shared" si="27"/>
        <v>0</v>
      </c>
      <c r="Z87" s="20">
        <f>Tabela1[[#This Row],[PESO TOTAL]]-Tabela1[[#This Row],[Peso Expedido]]</f>
        <v>0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>
        <v>1</v>
      </c>
      <c r="AI87" s="33" t="str">
        <f t="shared" si="28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9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7"/>
        <v>29.6</v>
      </c>
      <c r="AV87" s="37">
        <f t="shared" si="18"/>
        <v>29.6</v>
      </c>
      <c r="AW87" s="37"/>
    </row>
    <row r="88" spans="1:49" ht="15.75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4415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24"/>
        <v>252</v>
      </c>
      <c r="S88" s="18">
        <f t="shared" si="25"/>
        <v>252</v>
      </c>
      <c r="T88" s="19">
        <f t="shared" si="26"/>
        <v>0</v>
      </c>
      <c r="U88" s="16">
        <f>IFERROR(SUMIF('LISTA DE EMBARQUE'!B:B,MICRO!E:E,'LISTA DE EMBARQUE'!G:G),"")</f>
        <v>1</v>
      </c>
      <c r="V88" s="12">
        <f>IFERROR(VLOOKUP(Tabela1[[#This Row],[COD.MDE]],'LISTA DE EMBARQUE'!B:L,11,0),"")</f>
        <v>3</v>
      </c>
      <c r="W88" s="13" t="str">
        <f>IFERROR(COUNTIF(#REF!,Tabela1[[#This Row],[Colunas5]]),"")</f>
        <v/>
      </c>
      <c r="X88" s="14">
        <f>Tabela1[[#This Row],[QIANTIDADE EXPEDIDA]]*Tabela1[[#This Row],[PESO UNI]]</f>
        <v>252</v>
      </c>
      <c r="Y88" s="14">
        <f t="shared" si="27"/>
        <v>0</v>
      </c>
      <c r="Z88" s="20">
        <f>Tabela1[[#This Row],[PESO TOTAL]]-Tabela1[[#This Row],[Peso Expedido]]</f>
        <v>0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>
        <v>1</v>
      </c>
      <c r="AI88" s="33" t="str">
        <f t="shared" si="28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9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7"/>
        <v>252</v>
      </c>
      <c r="AV88" s="37">
        <f t="shared" si="18"/>
        <v>252</v>
      </c>
      <c r="AW88" s="37"/>
    </row>
    <row r="89" spans="1:49" ht="15.75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4416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24"/>
        <v>154.6</v>
      </c>
      <c r="S89" s="18">
        <f t="shared" si="25"/>
        <v>154.6</v>
      </c>
      <c r="T89" s="19">
        <f t="shared" si="26"/>
        <v>0</v>
      </c>
      <c r="U89" s="16">
        <f>IFERROR(SUMIF('LISTA DE EMBARQUE'!B:B,MICRO!E:E,'LISTA DE EMBARQUE'!G:G),"")</f>
        <v>2</v>
      </c>
      <c r="V89" s="12">
        <f>IFERROR(VLOOKUP(Tabela1[[#This Row],[COD.MDE]],'LISTA DE EMBARQUE'!B:L,11,0),"")</f>
        <v>5</v>
      </c>
      <c r="W89" s="13" t="str">
        <f>IFERROR(COUNTIF(#REF!,Tabela1[[#This Row],[Colunas5]]),"")</f>
        <v/>
      </c>
      <c r="X89" s="14">
        <f>Tabela1[[#This Row],[QIANTIDADE EXPEDIDA]]*Tabela1[[#This Row],[PESO UNI]]</f>
        <v>154.6</v>
      </c>
      <c r="Y89" s="14">
        <f t="shared" si="27"/>
        <v>0</v>
      </c>
      <c r="Z89" s="20">
        <f>Tabela1[[#This Row],[PESO TOTAL]]-Tabela1[[#This Row],[Peso Expedido]]</f>
        <v>0</v>
      </c>
      <c r="AA89" s="17">
        <v>1</v>
      </c>
      <c r="AB89" s="33"/>
      <c r="AC89" s="33">
        <v>1</v>
      </c>
      <c r="AD89" s="33">
        <v>1</v>
      </c>
      <c r="AE89" s="33">
        <v>1</v>
      </c>
      <c r="AF89" s="33">
        <v>1</v>
      </c>
      <c r="AG89" s="33">
        <v>1</v>
      </c>
      <c r="AH89" s="33">
        <v>1</v>
      </c>
      <c r="AI89" s="33" t="str">
        <f t="shared" si="28"/>
        <v>ok</v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9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7"/>
        <v>154.6</v>
      </c>
      <c r="AV89" s="37">
        <f t="shared" si="18"/>
        <v>154.6</v>
      </c>
      <c r="AW89" s="37"/>
    </row>
    <row r="90" spans="1:49" ht="15.75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24"/>
        <v>36.4</v>
      </c>
      <c r="S90" s="18">
        <f t="shared" si="25"/>
        <v>36.4</v>
      </c>
      <c r="T90" s="19">
        <f t="shared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7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28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9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7"/>
        <v>0</v>
      </c>
      <c r="AV90" s="37">
        <f t="shared" si="18"/>
        <v>36.4</v>
      </c>
      <c r="AW90" s="37"/>
    </row>
    <row r="91" spans="1:49" ht="15.75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4414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24"/>
        <v>291.2</v>
      </c>
      <c r="S91" s="18">
        <f t="shared" si="25"/>
        <v>291.2</v>
      </c>
      <c r="T91" s="19">
        <f t="shared" si="26"/>
        <v>0</v>
      </c>
      <c r="U91" s="16">
        <f>IFERROR(SUMIF('LISTA DE EMBARQUE'!B:B,MICRO!E:E,'LISTA DE EMBARQUE'!G:G),"")</f>
        <v>28</v>
      </c>
      <c r="V91" s="12">
        <f>IFERROR(VLOOKUP(Tabela1[[#This Row],[COD.MDE]],'LISTA DE EMBARQUE'!B:L,11,0),"")</f>
        <v>3</v>
      </c>
      <c r="W91" s="13" t="str">
        <f>IFERROR(COUNTIF(#REF!,Tabela1[[#This Row],[Colunas5]]),"")</f>
        <v/>
      </c>
      <c r="X91" s="14">
        <f>Tabela1[[#This Row],[QIANTIDADE EXPEDIDA]]*Tabela1[[#This Row],[PESO UNI]]</f>
        <v>291.2</v>
      </c>
      <c r="Y91" s="14">
        <f t="shared" si="27"/>
        <v>0</v>
      </c>
      <c r="Z91" s="20">
        <f>Tabela1[[#This Row],[PESO TOTAL]]-Tabela1[[#This Row],[Peso Expedido]]</f>
        <v>0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33">
        <v>1</v>
      </c>
      <c r="AI91" s="33" t="str">
        <f t="shared" si="28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9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7"/>
        <v>291.2</v>
      </c>
      <c r="AV91" s="37">
        <f t="shared" si="18"/>
        <v>291.2</v>
      </c>
      <c r="AW91" s="37"/>
    </row>
    <row r="92" spans="1:49" ht="15.75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4414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24"/>
        <v>691.2</v>
      </c>
      <c r="S92" s="18">
        <f t="shared" si="25"/>
        <v>691.2</v>
      </c>
      <c r="T92" s="19">
        <f t="shared" si="26"/>
        <v>0</v>
      </c>
      <c r="U92" s="16">
        <f>IFERROR(SUMIF('LISTA DE EMBARQUE'!B:B,MICRO!E:E,'LISTA DE EMBARQUE'!G:G),"")</f>
        <v>12</v>
      </c>
      <c r="V92" s="12">
        <f>IFERROR(VLOOKUP(Tabela1[[#This Row],[COD.MDE]],'LISTA DE EMBARQUE'!B:L,11,0),"")</f>
        <v>5</v>
      </c>
      <c r="W92" s="13" t="str">
        <f>IFERROR(COUNTIF(#REF!,Tabela1[[#This Row],[Colunas5]]),"")</f>
        <v/>
      </c>
      <c r="X92" s="14">
        <f>Tabela1[[#This Row],[QIANTIDADE EXPEDIDA]]*Tabela1[[#This Row],[PESO UNI]]</f>
        <v>691.2</v>
      </c>
      <c r="Y92" s="14">
        <f t="shared" si="27"/>
        <v>0</v>
      </c>
      <c r="Z92" s="20">
        <f>Tabela1[[#This Row],[PESO TOTAL]]-Tabela1[[#This Row],[Peso Expedido]]</f>
        <v>0</v>
      </c>
      <c r="AA92" s="17">
        <v>1</v>
      </c>
      <c r="AB92" s="33"/>
      <c r="AC92" s="33">
        <v>1</v>
      </c>
      <c r="AD92" s="33">
        <v>1</v>
      </c>
      <c r="AE92" s="33">
        <v>1</v>
      </c>
      <c r="AF92" s="33">
        <v>1</v>
      </c>
      <c r="AG92" s="33">
        <v>1</v>
      </c>
      <c r="AH92" s="33">
        <v>1</v>
      </c>
      <c r="AI92" s="33" t="str">
        <f t="shared" si="28"/>
        <v>ok</v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9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7"/>
        <v>691.2</v>
      </c>
      <c r="AV92" s="37">
        <f t="shared" si="18"/>
        <v>691.2</v>
      </c>
      <c r="AW92" s="37"/>
    </row>
    <row r="93" spans="1:49" ht="15.75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4414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24"/>
        <v>115.2</v>
      </c>
      <c r="S93" s="18">
        <f t="shared" si="25"/>
        <v>115.2</v>
      </c>
      <c r="T93" s="19">
        <f t="shared" si="26"/>
        <v>0</v>
      </c>
      <c r="U93" s="16">
        <f>IFERROR(SUMIF('LISTA DE EMBARQUE'!B:B,MICRO!E:E,'LISTA DE EMBARQUE'!G:G),"")</f>
        <v>2</v>
      </c>
      <c r="V93" s="12">
        <f>IFERROR(VLOOKUP(Tabela1[[#This Row],[COD.MDE]],'LISTA DE EMBARQUE'!B:L,11,0),"")</f>
        <v>5</v>
      </c>
      <c r="W93" s="13" t="str">
        <f>IFERROR(COUNTIF(#REF!,Tabela1[[#This Row],[Colunas5]]),"")</f>
        <v/>
      </c>
      <c r="X93" s="14">
        <f>Tabela1[[#This Row],[QIANTIDADE EXPEDIDA]]*Tabela1[[#This Row],[PESO UNI]]</f>
        <v>115.2</v>
      </c>
      <c r="Y93" s="14">
        <f t="shared" si="27"/>
        <v>0</v>
      </c>
      <c r="Z93" s="20">
        <f>Tabela1[[#This Row],[PESO TOTAL]]-Tabela1[[#This Row],[Peso Expedido]]</f>
        <v>0</v>
      </c>
      <c r="AA93" s="17">
        <v>1</v>
      </c>
      <c r="AB93" s="33"/>
      <c r="AC93" s="33">
        <v>1</v>
      </c>
      <c r="AD93" s="33">
        <v>1</v>
      </c>
      <c r="AE93" s="33">
        <v>1</v>
      </c>
      <c r="AF93" s="33">
        <v>1</v>
      </c>
      <c r="AG93" s="33">
        <v>1</v>
      </c>
      <c r="AH93" s="33">
        <v>1</v>
      </c>
      <c r="AI93" s="33" t="str">
        <f t="shared" si="28"/>
        <v>ok</v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9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7"/>
        <v>115.2</v>
      </c>
      <c r="AV93" s="37">
        <f t="shared" si="18"/>
        <v>115.2</v>
      </c>
      <c r="AW93" s="37"/>
    </row>
    <row r="94" spans="1:49" ht="15.75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4414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24"/>
        <v>134.4</v>
      </c>
      <c r="S94" s="18">
        <f t="shared" si="25"/>
        <v>134.4</v>
      </c>
      <c r="T94" s="19">
        <f t="shared" si="26"/>
        <v>0</v>
      </c>
      <c r="U94" s="16">
        <f>IFERROR(SUMIF('LISTA DE EMBARQUE'!B:B,MICRO!E:E,'LISTA DE EMBARQUE'!G:G),"")</f>
        <v>28</v>
      </c>
      <c r="V94" s="12">
        <f>IFERROR(VLOOKUP(Tabela1[[#This Row],[COD.MDE]],'LISTA DE EMBARQUE'!B:L,11,0),"")</f>
        <v>6</v>
      </c>
      <c r="W94" s="13" t="str">
        <f>IFERROR(COUNTIF(#REF!,Tabela1[[#This Row],[Colunas5]]),"")</f>
        <v/>
      </c>
      <c r="X94" s="14">
        <f>Tabela1[[#This Row],[QIANTIDADE EXPEDIDA]]*Tabela1[[#This Row],[PESO UNI]]</f>
        <v>134.4</v>
      </c>
      <c r="Y94" s="14">
        <f t="shared" si="27"/>
        <v>0</v>
      </c>
      <c r="Z94" s="20">
        <f>Tabela1[[#This Row],[PESO TOTAL]]-Tabela1[[#This Row],[Peso Expedido]]</f>
        <v>0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>
        <v>1</v>
      </c>
      <c r="AI94" s="33" t="str">
        <f t="shared" si="28"/>
        <v>ok</v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9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0</v>
      </c>
      <c r="AU94" s="37">
        <f t="shared" si="17"/>
        <v>134.4</v>
      </c>
      <c r="AV94" s="37">
        <f t="shared" si="18"/>
        <v>134.4</v>
      </c>
      <c r="AW94" s="37"/>
    </row>
    <row r="95" spans="1:49" ht="15.75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24"/>
        <v>57.452500000000001</v>
      </c>
      <c r="S95" s="18">
        <f t="shared" si="25"/>
        <v>0</v>
      </c>
      <c r="T95" s="19">
        <f t="shared" si="26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7"/>
        <v>-14</v>
      </c>
      <c r="Z95" s="20">
        <f>Tabela1[[#This Row],[PESO TOTAL]]-Tabela1[[#This Row],[Peso Expedido]]</f>
        <v>93.8</v>
      </c>
      <c r="AA95" s="17">
        <v>1</v>
      </c>
      <c r="AB95" s="33"/>
      <c r="AC95" s="17">
        <v>1</v>
      </c>
      <c r="AD95" s="33">
        <v>0.5</v>
      </c>
      <c r="AE95" s="33"/>
      <c r="AF95" s="33"/>
      <c r="AG95" s="33"/>
      <c r="AH95" s="33"/>
      <c r="AI95" s="33" t="str">
        <f t="shared" si="28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9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7"/>
        <v>0</v>
      </c>
      <c r="AV95" s="37">
        <f t="shared" si="18"/>
        <v>0</v>
      </c>
      <c r="AW95" s="37"/>
    </row>
    <row r="96" spans="1:49" ht="15.75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24"/>
        <v>75.600000000000009</v>
      </c>
      <c r="S96" s="18">
        <f t="shared" si="25"/>
        <v>75.600000000000009</v>
      </c>
      <c r="T96" s="19">
        <f t="shared" si="26"/>
        <v>0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7"/>
        <v>-84</v>
      </c>
      <c r="Z96" s="20">
        <f>Tabela1[[#This Row],[PESO TOTAL]]-Tabela1[[#This Row],[Peso Expedido]]</f>
        <v>75.600000000000009</v>
      </c>
      <c r="AA96" s="17">
        <v>1</v>
      </c>
      <c r="AB96" s="33"/>
      <c r="AC96" s="17">
        <v>1</v>
      </c>
      <c r="AD96" s="33">
        <v>1</v>
      </c>
      <c r="AE96" s="33">
        <v>1</v>
      </c>
      <c r="AF96" s="33">
        <v>1</v>
      </c>
      <c r="AG96" s="33">
        <v>1</v>
      </c>
      <c r="AH96" s="33"/>
      <c r="AI96" s="33" t="str">
        <f t="shared" si="28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9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75.600000000000009</v>
      </c>
      <c r="AU96" s="37">
        <f t="shared" si="17"/>
        <v>0</v>
      </c>
      <c r="AV96" s="37">
        <f t="shared" si="18"/>
        <v>75.600000000000009</v>
      </c>
      <c r="AW96" s="37"/>
    </row>
    <row r="97" spans="1:49" ht="15.75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4414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24"/>
        <v>26.3</v>
      </c>
      <c r="S97" s="18">
        <f t="shared" si="25"/>
        <v>26.3</v>
      </c>
      <c r="T97" s="19">
        <f t="shared" si="26"/>
        <v>0</v>
      </c>
      <c r="U97" s="16">
        <f>IFERROR(SUMIF('LISTA DE EMBARQUE'!B:B,MICRO!E:E,'LISTA DE EMBARQUE'!G:G),"")</f>
        <v>1</v>
      </c>
      <c r="V97" s="12">
        <f>IFERROR(VLOOKUP(Tabela1[[#This Row],[COD.MDE]],'LISTA DE EMBARQUE'!B:L,11,0),"")</f>
        <v>3</v>
      </c>
      <c r="W97" s="13" t="str">
        <f>IFERROR(COUNTIF(#REF!,Tabela1[[#This Row],[Colunas5]]),"")</f>
        <v/>
      </c>
      <c r="X97" s="14">
        <f>Tabela1[[#This Row],[QIANTIDADE EXPEDIDA]]*Tabela1[[#This Row],[PESO UNI]]</f>
        <v>26.3</v>
      </c>
      <c r="Y97" s="14">
        <f t="shared" si="27"/>
        <v>0</v>
      </c>
      <c r="Z97" s="20">
        <f>Tabela1[[#This Row],[PESO TOTAL]]-Tabela1[[#This Row],[Peso Expedido]]</f>
        <v>0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33">
        <v>1</v>
      </c>
      <c r="AI97" s="33" t="str">
        <f t="shared" si="28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9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7"/>
        <v>26.3</v>
      </c>
      <c r="AV97" s="37">
        <f t="shared" si="18"/>
        <v>26.3</v>
      </c>
      <c r="AW97" s="37"/>
    </row>
    <row r="98" spans="1:49" ht="15.75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4414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24"/>
        <v>2.4</v>
      </c>
      <c r="S98" s="18">
        <f t="shared" si="25"/>
        <v>2.4</v>
      </c>
      <c r="T98" s="19">
        <f t="shared" si="26"/>
        <v>0</v>
      </c>
      <c r="U98" s="16">
        <f>IFERROR(SUMIF('LISTA DE EMBARQUE'!B:B,MICRO!E:E,'LISTA DE EMBARQUE'!G:G),"")</f>
        <v>1</v>
      </c>
      <c r="V98" s="12">
        <f>IFERROR(VLOOKUP(Tabela1[[#This Row],[COD.MDE]],'LISTA DE EMBARQUE'!B:L,11,0),"")</f>
        <v>6</v>
      </c>
      <c r="W98" s="13" t="str">
        <f>IFERROR(COUNTIF(#REF!,Tabela1[[#This Row],[Colunas5]]),"")</f>
        <v/>
      </c>
      <c r="X98" s="14">
        <f>Tabela1[[#This Row],[QIANTIDADE EXPEDIDA]]*Tabela1[[#This Row],[PESO UNI]]</f>
        <v>2.4</v>
      </c>
      <c r="Y98" s="14">
        <f t="shared" si="27"/>
        <v>0</v>
      </c>
      <c r="Z98" s="20">
        <f>Tabela1[[#This Row],[PESO TOTAL]]-Tabela1[[#This Row],[Peso Expedido]]</f>
        <v>0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>
        <v>1</v>
      </c>
      <c r="AI98" s="33" t="str">
        <f t="shared" si="28"/>
        <v>ok</v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9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0</v>
      </c>
      <c r="AU98" s="37">
        <f t="shared" si="17"/>
        <v>2.4</v>
      </c>
      <c r="AV98" s="37">
        <f t="shared" si="18"/>
        <v>2.4</v>
      </c>
      <c r="AW98" s="37"/>
    </row>
    <row r="99" spans="1:49" ht="15.75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24"/>
        <v>1.3475000000000001</v>
      </c>
      <c r="S99" s="18">
        <f t="shared" si="25"/>
        <v>0</v>
      </c>
      <c r="T99" s="19">
        <f t="shared" si="26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7"/>
        <v>-1</v>
      </c>
      <c r="Z99" s="20">
        <f>Tabela1[[#This Row],[PESO TOTAL]]-Tabela1[[#This Row],[Peso Expedido]]</f>
        <v>2.2000000000000002</v>
      </c>
      <c r="AA99" s="17">
        <v>1</v>
      </c>
      <c r="AB99" s="33"/>
      <c r="AC99" s="17">
        <v>1</v>
      </c>
      <c r="AD99" s="33">
        <v>0.5</v>
      </c>
      <c r="AE99" s="33"/>
      <c r="AF99" s="33"/>
      <c r="AG99" s="33"/>
      <c r="AH99" s="33"/>
      <c r="AI99" s="33" t="str">
        <f t="shared" si="28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9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7"/>
        <v>0</v>
      </c>
      <c r="AV99" s="37">
        <f t="shared" si="18"/>
        <v>0</v>
      </c>
      <c r="AW99" s="37"/>
    </row>
    <row r="100" spans="1:49" ht="15.75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24"/>
        <v>2.4</v>
      </c>
      <c r="S100" s="18">
        <f t="shared" si="25"/>
        <v>2.4</v>
      </c>
      <c r="T100" s="19">
        <f t="shared" si="26"/>
        <v>0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7"/>
        <v>-2</v>
      </c>
      <c r="Z100" s="20">
        <f>Tabela1[[#This Row],[PESO TOTAL]]-Tabela1[[#This Row],[Peso Expedido]]</f>
        <v>2.4</v>
      </c>
      <c r="AA100" s="17">
        <v>1</v>
      </c>
      <c r="AB100" s="33"/>
      <c r="AC100" s="17">
        <v>1</v>
      </c>
      <c r="AD100" s="33">
        <v>1</v>
      </c>
      <c r="AE100" s="33">
        <v>1</v>
      </c>
      <c r="AF100" s="33">
        <v>1</v>
      </c>
      <c r="AG100" s="33">
        <v>1</v>
      </c>
      <c r="AH100" s="33"/>
      <c r="AI100" s="33" t="str">
        <f t="shared" si="28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9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2.4</v>
      </c>
      <c r="AU100" s="37">
        <f t="shared" si="17"/>
        <v>0</v>
      </c>
      <c r="AV100" s="37">
        <f t="shared" si="18"/>
        <v>2.4</v>
      </c>
      <c r="AW100" s="37"/>
    </row>
    <row r="101" spans="1:49" ht="15.75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24"/>
        <v>10.8</v>
      </c>
      <c r="S101" s="18">
        <f t="shared" si="25"/>
        <v>10.8</v>
      </c>
      <c r="T101" s="19">
        <f t="shared" si="26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7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8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9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3" si="29">IF(AH101="",0,IF(ISTEXT(AH101),H101*VALUE(SUBSTITUTE(AH101,"%",""))/100,H101*AH101))</f>
        <v>10.8</v>
      </c>
      <c r="AV101" s="37">
        <f t="shared" ref="AV101:AV163" si="30">IF(AG101="",0,IF(ISTEXT(AG101),H101*VALUE(SUBSTITUTE(AG101,"%",""))/100,H101*AG101))</f>
        <v>10.8</v>
      </c>
      <c r="AW101" s="37"/>
    </row>
    <row r="102" spans="1:49" ht="15.75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24"/>
        <v>12.8</v>
      </c>
      <c r="S102" s="18">
        <f t="shared" si="25"/>
        <v>12.8</v>
      </c>
      <c r="T102" s="19">
        <f t="shared" si="26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7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8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9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9"/>
        <v>12.8</v>
      </c>
      <c r="AV102" s="37">
        <f t="shared" si="30"/>
        <v>12.8</v>
      </c>
      <c r="AW102" s="37"/>
    </row>
    <row r="103" spans="1:49" ht="15.75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24"/>
        <v>324</v>
      </c>
      <c r="S103" s="18">
        <f t="shared" si="25"/>
        <v>324</v>
      </c>
      <c r="T103" s="19">
        <f t="shared" si="26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7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8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9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9"/>
        <v>324</v>
      </c>
      <c r="AV103" s="37">
        <f t="shared" si="30"/>
        <v>324</v>
      </c>
      <c r="AW103" s="37"/>
    </row>
    <row r="104" spans="1:49" ht="15.75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24"/>
        <v>65.8</v>
      </c>
      <c r="S104" s="18">
        <f t="shared" si="25"/>
        <v>65.8</v>
      </c>
      <c r="T104" s="19">
        <f t="shared" si="26"/>
        <v>0</v>
      </c>
      <c r="U104" s="16">
        <f>IFERROR(SUMIF('LISTA DE EMBARQUE'!B:B,MICRO!E:E,'LISTA DE EMBARQUE'!G:G),"")</f>
        <v>14</v>
      </c>
      <c r="V104" s="12">
        <f>IFERROR(VLOOKUP(Tabela1[[#This Row],[COD.MDE]],'LISTA DE EMBARQUE'!B:L,11,0),"")</f>
        <v>5</v>
      </c>
      <c r="W104" s="13" t="str">
        <f>IFERROR(COUNTIF(#REF!,Tabela1[[#This Row],[Colunas5]]),"")</f>
        <v/>
      </c>
      <c r="X104" s="14">
        <f>Tabela1[[#This Row],[QIANTIDADE EXPEDIDA]]*Tabela1[[#This Row],[PESO UNI]]</f>
        <v>65.8</v>
      </c>
      <c r="Y104" s="14">
        <f t="shared" si="27"/>
        <v>0</v>
      </c>
      <c r="Z104" s="20">
        <f>Tabela1[[#This Row],[PESO TOTAL]]-Tabela1[[#This Row],[Peso Expedido]]</f>
        <v>0</v>
      </c>
      <c r="AA104" s="17">
        <v>1</v>
      </c>
      <c r="AB104" s="33"/>
      <c r="AC104" s="33">
        <v>1</v>
      </c>
      <c r="AD104" s="33">
        <v>1</v>
      </c>
      <c r="AE104" s="33">
        <v>1</v>
      </c>
      <c r="AF104" s="33">
        <v>1</v>
      </c>
      <c r="AG104" s="33">
        <v>1</v>
      </c>
      <c r="AH104" s="33">
        <v>1</v>
      </c>
      <c r="AI104" s="33" t="str">
        <f t="shared" si="28"/>
        <v>ok</v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9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9"/>
        <v>65.8</v>
      </c>
      <c r="AV104" s="37">
        <f t="shared" si="30"/>
        <v>65.8</v>
      </c>
      <c r="AW104" s="37"/>
    </row>
    <row r="105" spans="1:49" ht="15.75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24"/>
        <v>378</v>
      </c>
      <c r="S105" s="18">
        <f t="shared" si="25"/>
        <v>378</v>
      </c>
      <c r="T105" s="19">
        <f t="shared" si="26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7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8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9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9"/>
        <v>378</v>
      </c>
      <c r="AV105" s="37">
        <f t="shared" si="30"/>
        <v>378</v>
      </c>
      <c r="AW105" s="37"/>
    </row>
    <row r="106" spans="1:49" ht="15.75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24"/>
        <v>120</v>
      </c>
      <c r="S106" s="18">
        <f t="shared" si="25"/>
        <v>120</v>
      </c>
      <c r="T106" s="19">
        <f t="shared" si="26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7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8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9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9"/>
        <v>120</v>
      </c>
      <c r="AV106" s="37">
        <f t="shared" si="30"/>
        <v>120</v>
      </c>
      <c r="AW106" s="37"/>
    </row>
    <row r="107" spans="1:49" ht="15.75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24"/>
        <v>18.5</v>
      </c>
      <c r="S107" s="18">
        <f t="shared" si="25"/>
        <v>18.5</v>
      </c>
      <c r="T107" s="19">
        <f t="shared" si="26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7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8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9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9"/>
        <v>18.5</v>
      </c>
      <c r="AV107" s="37">
        <f t="shared" si="30"/>
        <v>18.5</v>
      </c>
      <c r="AW107" s="37"/>
    </row>
    <row r="108" spans="1:49" ht="15.75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24"/>
        <v>31.2</v>
      </c>
      <c r="S108" s="18">
        <f t="shared" si="25"/>
        <v>31.2</v>
      </c>
      <c r="T108" s="19">
        <f t="shared" si="26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7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8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9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9"/>
        <v>31.2</v>
      </c>
      <c r="AV108" s="37">
        <f t="shared" si="30"/>
        <v>31.2</v>
      </c>
      <c r="AW108" s="37"/>
    </row>
    <row r="109" spans="1:49" ht="15.75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24"/>
        <v>30</v>
      </c>
      <c r="S109" s="18">
        <f t="shared" si="25"/>
        <v>30</v>
      </c>
      <c r="T109" s="19">
        <f t="shared" si="26"/>
        <v>0</v>
      </c>
      <c r="U109" s="16">
        <f>IFERROR(SUMIF('LISTA DE EMBARQUE'!B:B,MICRO!E:E,'LISTA DE EMBARQUE'!G:G),"")</f>
        <v>5</v>
      </c>
      <c r="V109" s="12">
        <f>IFERROR(VLOOKUP(Tabela1[[#This Row],[COD.MDE]],'LISTA DE EMBARQUE'!B:L,11,0),"")</f>
        <v>5</v>
      </c>
      <c r="W109" s="13" t="str">
        <f>IFERROR(COUNTIF(#REF!,Tabela1[[#This Row],[Colunas5]]),"")</f>
        <v/>
      </c>
      <c r="X109" s="14">
        <f>Tabela1[[#This Row],[QIANTIDADE EXPEDIDA]]*Tabela1[[#This Row],[PESO UNI]]</f>
        <v>30</v>
      </c>
      <c r="Y109" s="14">
        <f t="shared" si="27"/>
        <v>0</v>
      </c>
      <c r="Z109" s="20">
        <f>Tabela1[[#This Row],[PESO TOTAL]]-Tabela1[[#This Row],[Peso Expedido]]</f>
        <v>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>
        <v>1</v>
      </c>
      <c r="AI109" s="33" t="str">
        <f t="shared" si="28"/>
        <v>ok</v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9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0</v>
      </c>
      <c r="AU109" s="37">
        <f t="shared" si="29"/>
        <v>30</v>
      </c>
      <c r="AV109" s="37">
        <f t="shared" si="30"/>
        <v>30</v>
      </c>
      <c r="AW109" s="37"/>
    </row>
    <row r="110" spans="1:49" ht="15.75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24"/>
        <v>103.2</v>
      </c>
      <c r="S110" s="18">
        <f t="shared" si="25"/>
        <v>103.2</v>
      </c>
      <c r="T110" s="19">
        <f t="shared" si="26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7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8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9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9"/>
        <v>103.2</v>
      </c>
      <c r="AV110" s="37">
        <f t="shared" si="30"/>
        <v>103.2</v>
      </c>
      <c r="AW110" s="37"/>
    </row>
    <row r="111" spans="1:49" ht="15.75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24"/>
        <v>309.10000000000002</v>
      </c>
      <c r="S111" s="18">
        <f t="shared" si="25"/>
        <v>309.10000000000002</v>
      </c>
      <c r="T111" s="19">
        <f t="shared" si="26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7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8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9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9"/>
        <v>309.10000000000002</v>
      </c>
      <c r="AV111" s="37">
        <f t="shared" si="30"/>
        <v>309.10000000000002</v>
      </c>
      <c r="AW111" s="37"/>
    </row>
    <row r="112" spans="1:49" ht="15.75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24"/>
        <v>392</v>
      </c>
      <c r="S112" s="18">
        <f t="shared" si="25"/>
        <v>392</v>
      </c>
      <c r="T112" s="19">
        <f t="shared" si="26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7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8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9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9"/>
        <v>392</v>
      </c>
      <c r="AV112" s="37">
        <f t="shared" si="30"/>
        <v>392</v>
      </c>
      <c r="AW112" s="37"/>
    </row>
    <row r="113" spans="1:49" ht="15.75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24"/>
        <v>41.8</v>
      </c>
      <c r="S113" s="18">
        <f t="shared" si="25"/>
        <v>41.8</v>
      </c>
      <c r="T113" s="19">
        <f t="shared" si="26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7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8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9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9"/>
        <v>41.8</v>
      </c>
      <c r="AV113" s="37">
        <f t="shared" si="30"/>
        <v>41.8</v>
      </c>
      <c r="AW113" s="37"/>
    </row>
    <row r="114" spans="1:49" ht="15.75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24"/>
        <v>10.8</v>
      </c>
      <c r="S114" s="18">
        <f t="shared" si="25"/>
        <v>10.8</v>
      </c>
      <c r="T114" s="19">
        <f t="shared" si="26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7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8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9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9"/>
        <v>10.8</v>
      </c>
      <c r="AV114" s="37">
        <f t="shared" si="30"/>
        <v>10.8</v>
      </c>
      <c r="AW114" s="37"/>
    </row>
    <row r="115" spans="1:49" ht="15.75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" si="31">IFERROR(H115*((AA115*0.25)+(AC115*0.25)+(AD115*0.225)+(AE115*0.225)+(AF115*0.05)),"")</f>
        <v>97.199999999999989</v>
      </c>
      <c r="S115" s="18">
        <f t="shared" si="21"/>
        <v>97.199999999999989</v>
      </c>
      <c r="T115" s="19">
        <f t="shared" ref="T115" si="32">IFERROR(S115-H115,"")</f>
        <v>0</v>
      </c>
      <c r="U115" s="16">
        <f>IFERROR(SUMIF('LISTA DE EMBARQUE'!B:B,MICRO!E:E,'LISTA DE EMBARQUE'!G:G),"")</f>
        <v>3</v>
      </c>
      <c r="V115" s="12">
        <f>IFERROR(VLOOKUP(Tabela1[[#This Row],[COD.MDE]],'LISTA DE EMBARQUE'!B:L,11,0),"")</f>
        <v>1</v>
      </c>
      <c r="W115" s="13" t="str">
        <f>IFERROR(COUNTIF(#REF!,Tabela1[[#This Row],[Colunas5]]),"")</f>
        <v/>
      </c>
      <c r="X115" s="14">
        <f>Tabela1[[#This Row],[QIANTIDADE EXPEDIDA]]*Tabela1[[#This Row],[PESO UNI]]</f>
        <v>97.199999999999989</v>
      </c>
      <c r="Y115" s="14">
        <f t="shared" si="23"/>
        <v>0</v>
      </c>
      <c r="Z115" s="20">
        <f>Tabela1[[#This Row],[PESO TOTAL]]-Tabela1[[#This Row],[Peso Expedido]]</f>
        <v>0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>
        <v>1</v>
      </c>
      <c r="AI115" s="33" t="str">
        <f t="shared" ref="AI115:AI154" si="33">IF(Z115&lt;=0,"ok","")</f>
        <v>ok</v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9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9"/>
        <v>97.199999999999989</v>
      </c>
      <c r="AV115" s="37">
        <f t="shared" si="30"/>
        <v>97.199999999999989</v>
      </c>
      <c r="AW115" s="37"/>
    </row>
    <row r="116" spans="1:49" ht="15.75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 t="s">
        <v>5641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ref="R116:R152" si="34">IFERROR(H116*((AA116*0.25)+(AC116*0.25)+(AD116*0.225)+(AE116*0.225)+(AF116*0.05)),"")</f>
        <v>11.75625</v>
      </c>
      <c r="S116" s="18">
        <f t="shared" ref="S116:S152" si="35">IFERROR(H116*AG116,"")</f>
        <v>0</v>
      </c>
      <c r="T116" s="19">
        <f t="shared" ref="T116:T152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ref="Y116:Y152" si="37">U116-C116</f>
        <v>-1</v>
      </c>
      <c r="Z116" s="20">
        <f>Tabela1[[#This Row],[PESO TOTAL]]-Tabela1[[#This Row],[Peso Expedido]]</f>
        <v>20.9</v>
      </c>
      <c r="AA116" s="17">
        <v>0.9</v>
      </c>
      <c r="AB116" s="33"/>
      <c r="AC116" s="33">
        <v>0.9</v>
      </c>
      <c r="AD116" s="33">
        <v>0.5</v>
      </c>
      <c r="AE116" s="33"/>
      <c r="AF116" s="33"/>
      <c r="AG116" s="33"/>
      <c r="AH116" s="33"/>
      <c r="AI116" s="33" t="str">
        <f t="shared" ref="AI116:AI128" si="38"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9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9"/>
        <v>0</v>
      </c>
      <c r="AV116" s="37">
        <f t="shared" si="30"/>
        <v>0</v>
      </c>
      <c r="AW116" s="37"/>
    </row>
    <row r="117" spans="1:49" ht="15.75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 t="s">
        <v>5641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34"/>
        <v>96.524999999999991</v>
      </c>
      <c r="S117" s="18">
        <f t="shared" si="35"/>
        <v>0</v>
      </c>
      <c r="T117" s="19">
        <f t="shared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si="37"/>
        <v>-4</v>
      </c>
      <c r="Z117" s="20">
        <f>Tabela1[[#This Row],[PESO TOTAL]]-Tabela1[[#This Row],[Peso Expedido]]</f>
        <v>171.6</v>
      </c>
      <c r="AA117" s="17">
        <v>0.9</v>
      </c>
      <c r="AB117" s="33"/>
      <c r="AC117" s="33">
        <v>0.9</v>
      </c>
      <c r="AD117" s="33">
        <v>0.5</v>
      </c>
      <c r="AE117" s="33"/>
      <c r="AF117" s="33"/>
      <c r="AG117" s="33"/>
      <c r="AH117" s="33"/>
      <c r="AI117" s="33" t="str">
        <f t="shared" si="38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9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9"/>
        <v>0</v>
      </c>
      <c r="AV117" s="37">
        <f t="shared" si="30"/>
        <v>0</v>
      </c>
      <c r="AW117" s="37"/>
    </row>
    <row r="118" spans="1:49" ht="15.75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 t="s">
        <v>5641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34"/>
        <v>24.75</v>
      </c>
      <c r="S118" s="18">
        <f t="shared" si="35"/>
        <v>0</v>
      </c>
      <c r="T118" s="19">
        <f t="shared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37"/>
        <v>-1</v>
      </c>
      <c r="Z118" s="20">
        <f>Tabela1[[#This Row],[PESO TOTAL]]-Tabela1[[#This Row],[Peso Expedido]]</f>
        <v>44</v>
      </c>
      <c r="AA118" s="17">
        <v>0.9</v>
      </c>
      <c r="AB118" s="33"/>
      <c r="AC118" s="33">
        <v>0.9</v>
      </c>
      <c r="AD118" s="33">
        <v>0.5</v>
      </c>
      <c r="AE118" s="33"/>
      <c r="AF118" s="33"/>
      <c r="AG118" s="33"/>
      <c r="AH118" s="33"/>
      <c r="AI118" s="33" t="str">
        <f t="shared" si="38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9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9"/>
        <v>0</v>
      </c>
      <c r="AV118" s="37">
        <f t="shared" si="30"/>
        <v>0</v>
      </c>
      <c r="AW118" s="37"/>
    </row>
    <row r="119" spans="1:49" ht="15.75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 t="s">
        <v>5641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34"/>
        <v>24.131249999999998</v>
      </c>
      <c r="S119" s="18">
        <f t="shared" si="35"/>
        <v>0</v>
      </c>
      <c r="T119" s="19">
        <f t="shared" si="36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37"/>
        <v>-1</v>
      </c>
      <c r="Z119" s="20">
        <f>Tabela1[[#This Row],[PESO TOTAL]]-Tabela1[[#This Row],[Peso Expedido]]</f>
        <v>42.9</v>
      </c>
      <c r="AA119" s="17">
        <v>0.9</v>
      </c>
      <c r="AB119" s="33"/>
      <c r="AC119" s="33">
        <v>0.9</v>
      </c>
      <c r="AD119" s="33">
        <v>0.5</v>
      </c>
      <c r="AE119" s="33"/>
      <c r="AF119" s="33"/>
      <c r="AG119" s="33"/>
      <c r="AH119" s="33"/>
      <c r="AI119" s="33" t="str">
        <f t="shared" si="38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9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9"/>
        <v>0</v>
      </c>
      <c r="AV119" s="37">
        <f t="shared" si="30"/>
        <v>0</v>
      </c>
      <c r="AW119" s="37"/>
    </row>
    <row r="120" spans="1:49" ht="15.75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 t="s">
        <v>5641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34"/>
        <v>23.568749999999998</v>
      </c>
      <c r="S120" s="18">
        <f t="shared" si="35"/>
        <v>0</v>
      </c>
      <c r="T120" s="19">
        <f t="shared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37"/>
        <v>-1</v>
      </c>
      <c r="Z120" s="20">
        <f>Tabela1[[#This Row],[PESO TOTAL]]-Tabela1[[#This Row],[Peso Expedido]]</f>
        <v>41.9</v>
      </c>
      <c r="AA120" s="17">
        <v>0.9</v>
      </c>
      <c r="AB120" s="33"/>
      <c r="AC120" s="33">
        <v>0.9</v>
      </c>
      <c r="AD120" s="33">
        <v>0.5</v>
      </c>
      <c r="AE120" s="33"/>
      <c r="AF120" s="33"/>
      <c r="AG120" s="33"/>
      <c r="AH120" s="33"/>
      <c r="AI120" s="33" t="str">
        <f t="shared" si="38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9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9"/>
        <v>0</v>
      </c>
      <c r="AV120" s="37">
        <f t="shared" si="30"/>
        <v>0</v>
      </c>
      <c r="AW120" s="37"/>
    </row>
    <row r="121" spans="1:49" ht="15.75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 t="s">
        <v>5641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>IFERROR(H121*((AA121*0.25)+(AC121*0.25)+(AD121*0.225)+(AE121*0.225)+(AF121*0.05)),"")</f>
        <v>22.612500000000001</v>
      </c>
      <c r="S121" s="18">
        <f t="shared" si="35"/>
        <v>0</v>
      </c>
      <c r="T121" s="19">
        <f t="shared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37"/>
        <v>-1</v>
      </c>
      <c r="Z121" s="20">
        <f>Tabela1[[#This Row],[PESO TOTAL]]-Tabela1[[#This Row],[Peso Expedido]]</f>
        <v>40.200000000000003</v>
      </c>
      <c r="AA121" s="17">
        <v>0.9</v>
      </c>
      <c r="AB121" s="33"/>
      <c r="AC121" s="33">
        <v>0.9</v>
      </c>
      <c r="AD121" s="33">
        <v>0.5</v>
      </c>
      <c r="AE121" s="33"/>
      <c r="AF121" s="33"/>
      <c r="AG121" s="33"/>
      <c r="AH121" s="33"/>
      <c r="AI121" s="33" t="str">
        <f t="shared" si="38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9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9"/>
        <v>0</v>
      </c>
      <c r="AV121" s="37">
        <f t="shared" si="30"/>
        <v>0</v>
      </c>
      <c r="AW121" s="37"/>
    </row>
    <row r="122" spans="1:49" ht="15.75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 t="str">
        <f>IFERROR(H122*((#REF!*0.25)+(#REF!*0.25)+(#REF!*0.225)+(AE122*0.225)+(AF122*0.05)),"")</f>
        <v/>
      </c>
      <c r="S122" s="18">
        <f t="shared" si="35"/>
        <v>0</v>
      </c>
      <c r="T122" s="19">
        <f t="shared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37"/>
        <v>-1</v>
      </c>
      <c r="Z122" s="20">
        <f>Tabela1[[#This Row],[PESO TOTAL]]-Tabela1[[#This Row],[Peso Expedido]]</f>
        <v>244.4</v>
      </c>
      <c r="AA122" s="17">
        <v>0.9</v>
      </c>
      <c r="AB122" s="33"/>
      <c r="AC122" s="33">
        <v>0.9</v>
      </c>
      <c r="AD122" s="33">
        <v>0.5</v>
      </c>
      <c r="AE122" s="33"/>
      <c r="AF122" s="33"/>
      <c r="AG122" s="33"/>
      <c r="AH122" s="33"/>
      <c r="AI122" s="33" t="str">
        <f t="shared" si="38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9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9"/>
        <v>0</v>
      </c>
      <c r="AV122" s="37">
        <f t="shared" si="30"/>
        <v>0</v>
      </c>
      <c r="AW122" s="37"/>
    </row>
    <row r="123" spans="1:49" ht="15.75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 t="s">
        <v>5934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34"/>
        <v>566.49374999999998</v>
      </c>
      <c r="S123" s="18">
        <f t="shared" si="35"/>
        <v>0</v>
      </c>
      <c r="T123" s="19">
        <f t="shared" si="36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37"/>
        <v>-1</v>
      </c>
      <c r="Z123" s="20">
        <f>Tabela1[[#This Row],[PESO TOTAL]]-Tabela1[[#This Row],[Peso Expedido]]</f>
        <v>1007.1</v>
      </c>
      <c r="AA123" s="17">
        <v>0.9</v>
      </c>
      <c r="AB123" s="33"/>
      <c r="AC123" s="33">
        <v>0.9</v>
      </c>
      <c r="AD123" s="33">
        <v>0.5</v>
      </c>
      <c r="AE123" s="33"/>
      <c r="AF123" s="33"/>
      <c r="AG123" s="33"/>
      <c r="AH123" s="33"/>
      <c r="AI123" s="33" t="str">
        <f t="shared" si="38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9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9"/>
        <v>0</v>
      </c>
      <c r="AV123" s="37">
        <f t="shared" si="30"/>
        <v>0</v>
      </c>
      <c r="AW123" s="37"/>
    </row>
    <row r="124" spans="1:49" ht="15.75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823.7</v>
      </c>
      <c r="H124" s="34">
        <f>Tabela1[[#This Row],[PESO UNI]]*Tabela1[[#This Row],[QTE]]</f>
        <v>823.7</v>
      </c>
      <c r="I124" s="7" t="s">
        <v>5934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34"/>
        <v>463.33125000000001</v>
      </c>
      <c r="S124" s="18">
        <f t="shared" si="35"/>
        <v>0</v>
      </c>
      <c r="T124" s="19">
        <f t="shared" si="36"/>
        <v>-823.7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37"/>
        <v>-1</v>
      </c>
      <c r="Z124" s="20">
        <f>Tabela1[[#This Row],[PESO TOTAL]]-Tabela1[[#This Row],[Peso Expedido]]</f>
        <v>823.7</v>
      </c>
      <c r="AA124" s="17">
        <v>0.9</v>
      </c>
      <c r="AB124" s="33"/>
      <c r="AC124" s="33">
        <v>0.9</v>
      </c>
      <c r="AD124" s="33">
        <v>0.5</v>
      </c>
      <c r="AE124" s="33"/>
      <c r="AF124" s="33"/>
      <c r="AG124" s="33"/>
      <c r="AH124" s="33"/>
      <c r="AI124" s="33" t="str">
        <f t="shared" si="38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9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9"/>
        <v>0</v>
      </c>
      <c r="AV124" s="37">
        <f t="shared" si="30"/>
        <v>0</v>
      </c>
      <c r="AW124" s="37"/>
    </row>
    <row r="125" spans="1:49" ht="15.75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34"/>
        <v>127.91250000000001</v>
      </c>
      <c r="S125" s="18">
        <f t="shared" si="35"/>
        <v>0</v>
      </c>
      <c r="T125" s="19">
        <f t="shared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37"/>
        <v>-1</v>
      </c>
      <c r="Z125" s="20">
        <f>Tabela1[[#This Row],[PESO TOTAL]]-Tabela1[[#This Row],[Peso Expedido]]</f>
        <v>227.4</v>
      </c>
      <c r="AA125" s="17">
        <v>0.9</v>
      </c>
      <c r="AB125" s="33"/>
      <c r="AC125" s="33">
        <v>0.9</v>
      </c>
      <c r="AD125" s="33">
        <v>0.5</v>
      </c>
      <c r="AE125" s="33"/>
      <c r="AF125" s="33"/>
      <c r="AG125" s="33"/>
      <c r="AH125" s="33"/>
      <c r="AI125" s="33" t="str">
        <f t="shared" si="38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9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9"/>
        <v>0</v>
      </c>
      <c r="AV125" s="37">
        <f t="shared" si="30"/>
        <v>0</v>
      </c>
      <c r="AW125" s="37"/>
    </row>
    <row r="126" spans="1:49" ht="15.75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34"/>
        <v>394.875</v>
      </c>
      <c r="S126" s="18">
        <f t="shared" si="35"/>
        <v>0</v>
      </c>
      <c r="T126" s="19">
        <f t="shared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37"/>
        <v>-1</v>
      </c>
      <c r="Z126" s="20">
        <f>Tabela1[[#This Row],[PESO TOTAL]]-Tabela1[[#This Row],[Peso Expedido]]</f>
        <v>702</v>
      </c>
      <c r="AA126" s="17">
        <v>0.9</v>
      </c>
      <c r="AB126" s="33"/>
      <c r="AC126" s="33">
        <v>0.9</v>
      </c>
      <c r="AD126" s="33">
        <v>0.5</v>
      </c>
      <c r="AE126" s="33"/>
      <c r="AF126" s="33"/>
      <c r="AG126" s="33"/>
      <c r="AH126" s="33"/>
      <c r="AI126" s="33" t="str">
        <f t="shared" si="38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9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9"/>
        <v>0</v>
      </c>
      <c r="AV126" s="37">
        <f t="shared" si="30"/>
        <v>0</v>
      </c>
      <c r="AW126" s="37"/>
    </row>
    <row r="127" spans="1:49" ht="15.75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34"/>
        <v>1357.2</v>
      </c>
      <c r="S127" s="18">
        <f t="shared" si="35"/>
        <v>0</v>
      </c>
      <c r="T127" s="19">
        <f t="shared" si="36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37"/>
        <v>-4</v>
      </c>
      <c r="Z127" s="20">
        <f>Tabela1[[#This Row],[PESO TOTAL]]-Tabela1[[#This Row],[Peso Expedido]]</f>
        <v>2412.8000000000002</v>
      </c>
      <c r="AA127" s="17">
        <v>0.9</v>
      </c>
      <c r="AB127" s="33"/>
      <c r="AC127" s="33">
        <v>0.9</v>
      </c>
      <c r="AD127" s="33">
        <v>0.5</v>
      </c>
      <c r="AE127" s="33"/>
      <c r="AF127" s="33"/>
      <c r="AG127" s="33"/>
      <c r="AH127" s="33"/>
      <c r="AI127" s="33" t="str">
        <f t="shared" si="38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9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9"/>
        <v>0</v>
      </c>
      <c r="AV127" s="37">
        <f t="shared" si="30"/>
        <v>0</v>
      </c>
      <c r="AW127" s="37"/>
    </row>
    <row r="128" spans="1:49" ht="15.75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34"/>
        <v>33</v>
      </c>
      <c r="S128" s="18">
        <f t="shared" si="35"/>
        <v>33</v>
      </c>
      <c r="T128" s="19">
        <f t="shared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37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38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9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9"/>
        <v>0</v>
      </c>
      <c r="AV128" s="37">
        <f t="shared" si="30"/>
        <v>33</v>
      </c>
      <c r="AW128" s="37"/>
    </row>
    <row r="129" spans="1:49" ht="15.75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4865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34"/>
        <v>453.9</v>
      </c>
      <c r="S129" s="18">
        <f t="shared" si="35"/>
        <v>453.9</v>
      </c>
      <c r="T129" s="19">
        <f t="shared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37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9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9"/>
        <v>453.9</v>
      </c>
      <c r="AV129" s="37">
        <f t="shared" si="30"/>
        <v>453.9</v>
      </c>
      <c r="AW129" s="37"/>
    </row>
    <row r="130" spans="1:49" ht="15.75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7.4</v>
      </c>
      <c r="H130" s="34">
        <f>Tabela1[[#This Row],[PESO UNI]]*Tabela1[[#This Row],[QTE]]</f>
        <v>22.200000000000003</v>
      </c>
      <c r="I130" s="7" t="s">
        <v>4865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34"/>
        <v>22.200000000000003</v>
      </c>
      <c r="S130" s="18">
        <f t="shared" si="35"/>
        <v>22.200000000000003</v>
      </c>
      <c r="T130" s="19">
        <f t="shared" si="36"/>
        <v>0</v>
      </c>
      <c r="U130" s="16">
        <f>IFERROR(SUMIF('LISTA DE EMBARQUE'!B:B,MICRO!E:E,'LISTA DE EMBARQUE'!G:G),"")</f>
        <v>3</v>
      </c>
      <c r="V130" s="12">
        <f>IFERROR(VLOOKUP(Tabela1[[#This Row],[COD.MDE]],'LISTA DE EMBARQUE'!B:L,11,0),"")</f>
        <v>5</v>
      </c>
      <c r="W130" s="13" t="str">
        <f>IFERROR(COUNTIF(#REF!,Tabela1[[#This Row],[Colunas5]]),"")</f>
        <v/>
      </c>
      <c r="X130" s="14">
        <f>Tabela1[[#This Row],[QIANTIDADE EXPEDIDA]]*Tabela1[[#This Row],[PESO UNI]]</f>
        <v>22.200000000000003</v>
      </c>
      <c r="Y130" s="14">
        <f t="shared" si="37"/>
        <v>0</v>
      </c>
      <c r="Z130" s="20">
        <f>Tabela1[[#This Row],[PESO TOTAL]]-Tabela1[[#This Row],[Peso Expedido]]</f>
        <v>0</v>
      </c>
      <c r="AA130" s="17">
        <v>1</v>
      </c>
      <c r="AB130" s="33"/>
      <c r="AC130" s="33">
        <v>1</v>
      </c>
      <c r="AD130" s="33">
        <v>1</v>
      </c>
      <c r="AE130" s="33">
        <v>1</v>
      </c>
      <c r="AF130" s="33">
        <v>1</v>
      </c>
      <c r="AG130" s="33">
        <v>1</v>
      </c>
      <c r="AH130" s="33">
        <v>1</v>
      </c>
      <c r="AI130" s="33" t="str">
        <f t="shared" ref="AI130:AI152" si="39">IF(Z130&lt;=0,"ok","")</f>
        <v>ok</v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9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9"/>
        <v>22.200000000000003</v>
      </c>
      <c r="AV130" s="37">
        <f t="shared" si="30"/>
        <v>22.200000000000003</v>
      </c>
      <c r="AW130" s="37"/>
    </row>
    <row r="131" spans="1:49" ht="15.75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470.6</v>
      </c>
      <c r="H131" s="34">
        <f>Tabela1[[#This Row],[PESO UNI]]*Tabela1[[#This Row],[QTE]]</f>
        <v>470.6</v>
      </c>
      <c r="I131" s="7" t="s">
        <v>4865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34"/>
        <v>470.6</v>
      </c>
      <c r="S131" s="18">
        <f t="shared" si="35"/>
        <v>470.6</v>
      </c>
      <c r="T131" s="19">
        <f t="shared" si="36"/>
        <v>0</v>
      </c>
      <c r="U131" s="16">
        <f>IFERROR(SUMIF('LISTA DE EMBARQUE'!B:B,MICRO!E:E,'LISTA DE EMBARQUE'!G:G),"")</f>
        <v>1</v>
      </c>
      <c r="V131" s="12">
        <f>IFERROR(VLOOKUP(Tabela1[[#This Row],[COD.MDE]],'LISTA DE EMBARQUE'!B:L,11,0),"")</f>
        <v>3</v>
      </c>
      <c r="W131" s="13" t="str">
        <f>IFERROR(COUNTIF(#REF!,Tabela1[[#This Row],[Colunas5]]),"")</f>
        <v/>
      </c>
      <c r="X131" s="14">
        <f>Tabela1[[#This Row],[QIANTIDADE EXPEDIDA]]*Tabela1[[#This Row],[PESO UNI]]</f>
        <v>470.6</v>
      </c>
      <c r="Y131" s="14">
        <f t="shared" si="37"/>
        <v>0</v>
      </c>
      <c r="Z131" s="20">
        <f>Tabela1[[#This Row],[PESO TOTAL]]-Tabela1[[#This Row],[Peso Expedido]]</f>
        <v>0</v>
      </c>
      <c r="AA131" s="17">
        <v>1</v>
      </c>
      <c r="AB131" s="33"/>
      <c r="AC131" s="33">
        <v>1</v>
      </c>
      <c r="AD131" s="33">
        <v>1</v>
      </c>
      <c r="AE131" s="33">
        <v>1</v>
      </c>
      <c r="AF131" s="33">
        <v>1</v>
      </c>
      <c r="AG131" s="33">
        <v>1</v>
      </c>
      <c r="AH131" s="33">
        <v>1</v>
      </c>
      <c r="AI131" s="33" t="str">
        <f t="shared" si="39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9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9"/>
        <v>470.6</v>
      </c>
      <c r="AV131" s="37">
        <f t="shared" si="30"/>
        <v>470.6</v>
      </c>
      <c r="AW131" s="37"/>
    </row>
    <row r="132" spans="1:49" ht="15.75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34"/>
        <v>316.8</v>
      </c>
      <c r="S132" s="18">
        <f t="shared" si="35"/>
        <v>316.8</v>
      </c>
      <c r="T132" s="19">
        <f t="shared" si="36"/>
        <v>0</v>
      </c>
      <c r="U132" s="16">
        <f>IFERROR(SUMIF('LISTA DE EMBARQUE'!B:B,MICRO!E:E,'LISTA DE EMBARQUE'!G:G),"")</f>
        <v>0</v>
      </c>
      <c r="V132" s="12">
        <v>1</v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37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>
        <v>1</v>
      </c>
      <c r="AI132" s="33" t="s">
        <v>4412</v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9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0</v>
      </c>
      <c r="AU132" s="37">
        <f t="shared" si="29"/>
        <v>316.8</v>
      </c>
      <c r="AV132" s="37">
        <f t="shared" si="30"/>
        <v>316.8</v>
      </c>
      <c r="AW132" s="37"/>
    </row>
    <row r="133" spans="1:49" ht="15.75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34"/>
        <v>324</v>
      </c>
      <c r="S133" s="18">
        <f t="shared" si="35"/>
        <v>324</v>
      </c>
      <c r="T133" s="19">
        <f t="shared" si="36"/>
        <v>0</v>
      </c>
      <c r="U133" s="16">
        <f>IFERROR(SUMIF('LISTA DE EMBARQUE'!B:B,MICRO!E:E,'LISTA DE EMBARQUE'!G:G),"")</f>
        <v>0</v>
      </c>
      <c r="V133" s="12">
        <v>1</v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37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>
        <v>1</v>
      </c>
      <c r="AI133" s="33" t="s">
        <v>4412</v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5" si="4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0</v>
      </c>
      <c r="AU133" s="37">
        <f t="shared" si="29"/>
        <v>324</v>
      </c>
      <c r="AV133" s="37">
        <f t="shared" si="30"/>
        <v>324</v>
      </c>
      <c r="AW133" s="37"/>
    </row>
    <row r="134" spans="1:49" ht="15.75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34"/>
        <v>547.20000000000005</v>
      </c>
      <c r="S134" s="18">
        <f t="shared" si="35"/>
        <v>547.20000000000005</v>
      </c>
      <c r="T134" s="19">
        <f t="shared" si="36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37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 t="shared" si="39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4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9"/>
        <v>547.20000000000005</v>
      </c>
      <c r="AV134" s="37">
        <f t="shared" si="30"/>
        <v>547.20000000000005</v>
      </c>
      <c r="AW134" s="37"/>
    </row>
    <row r="135" spans="1:49" ht="15.75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4301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34"/>
        <v>98.8</v>
      </c>
      <c r="S135" s="18">
        <f t="shared" si="35"/>
        <v>98.8</v>
      </c>
      <c r="T135" s="19">
        <f t="shared" si="36"/>
        <v>0</v>
      </c>
      <c r="U135" s="16">
        <f>IFERROR(SUMIF('LISTA DE EMBARQUE'!B:B,MICRO!E:E,'LISTA DE EMBARQUE'!G:G),"")</f>
        <v>38</v>
      </c>
      <c r="V135" s="12">
        <f>IFERROR(VLOOKUP(Tabela1[[#This Row],[COD.MDE]],'LISTA DE EMBARQUE'!B:L,11,0),"")</f>
        <v>5</v>
      </c>
      <c r="W135" s="13" t="str">
        <f>IFERROR(COUNTIF(#REF!,Tabela1[[#This Row],[Colunas5]]),"")</f>
        <v/>
      </c>
      <c r="X135" s="14">
        <f>Tabela1[[#This Row],[QIANTIDADE EXPEDIDA]]*Tabela1[[#This Row],[PESO UNI]]</f>
        <v>98.8</v>
      </c>
      <c r="Y135" s="14">
        <f t="shared" si="37"/>
        <v>0</v>
      </c>
      <c r="Z135" s="20">
        <f>Tabela1[[#This Row],[PESO TOTAL]]-Tabela1[[#This Row],[Peso Expedido]]</f>
        <v>0</v>
      </c>
      <c r="AA135" s="17">
        <v>1</v>
      </c>
      <c r="AB135" s="33"/>
      <c r="AC135" s="33">
        <v>1</v>
      </c>
      <c r="AD135" s="33">
        <v>1</v>
      </c>
      <c r="AE135" s="33">
        <v>1</v>
      </c>
      <c r="AF135" s="33">
        <v>1</v>
      </c>
      <c r="AG135" s="33">
        <v>1</v>
      </c>
      <c r="AH135" s="33">
        <v>1</v>
      </c>
      <c r="AI135" s="33" t="str">
        <f t="shared" si="39"/>
        <v>ok</v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4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9"/>
        <v>98.8</v>
      </c>
      <c r="AV135" s="37">
        <f t="shared" si="30"/>
        <v>98.8</v>
      </c>
      <c r="AW135" s="37"/>
    </row>
    <row r="136" spans="1:49" ht="15.75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4301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34"/>
        <v>40</v>
      </c>
      <c r="S136" s="18">
        <f t="shared" si="35"/>
        <v>40</v>
      </c>
      <c r="T136" s="19">
        <f t="shared" si="36"/>
        <v>0</v>
      </c>
      <c r="U136" s="16">
        <f>IFERROR(SUMIF('LISTA DE EMBARQUE'!B:B,MICRO!E:E,'LISTA DE EMBARQUE'!G:G),"")</f>
        <v>18</v>
      </c>
      <c r="V136" s="12">
        <f>IFERROR(VLOOKUP(Tabela1[[#This Row],[COD.MDE]],'LISTA DE EMBARQUE'!B:L,11,0),"")</f>
        <v>5</v>
      </c>
      <c r="W136" s="13" t="str">
        <f>IFERROR(COUNTIF(#REF!,Tabela1[[#This Row],[Colunas5]]),"")</f>
        <v/>
      </c>
      <c r="X136" s="14">
        <f>Tabela1[[#This Row],[QIANTIDADE EXPEDIDA]]*Tabela1[[#This Row],[PESO UNI]]</f>
        <v>45</v>
      </c>
      <c r="Y136" s="14">
        <f t="shared" si="37"/>
        <v>2</v>
      </c>
      <c r="Z136" s="20">
        <v>0</v>
      </c>
      <c r="AA136" s="17">
        <v>1</v>
      </c>
      <c r="AB136" s="33"/>
      <c r="AC136" s="33">
        <v>1</v>
      </c>
      <c r="AD136" s="33">
        <v>1</v>
      </c>
      <c r="AE136" s="33">
        <v>1</v>
      </c>
      <c r="AF136" s="33">
        <v>1</v>
      </c>
      <c r="AG136" s="33">
        <v>1</v>
      </c>
      <c r="AH136" s="33">
        <v>1</v>
      </c>
      <c r="AI136" s="33" t="str">
        <f t="shared" si="39"/>
        <v>ok</v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4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9"/>
        <v>40</v>
      </c>
      <c r="AV136" s="37">
        <f t="shared" si="30"/>
        <v>40</v>
      </c>
      <c r="AW136" s="37"/>
    </row>
    <row r="137" spans="1:49" ht="15.75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34"/>
        <v>26.730000000000004</v>
      </c>
      <c r="S137" s="18">
        <f t="shared" si="35"/>
        <v>0</v>
      </c>
      <c r="T137" s="19">
        <f t="shared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37"/>
        <v>-54</v>
      </c>
      <c r="Z137" s="20">
        <f>Tabela1[[#This Row],[PESO TOTAL]]-Tabela1[[#This Row],[Peso Expedido]]</f>
        <v>59.400000000000006</v>
      </c>
      <c r="AA137" s="17">
        <v>0.9</v>
      </c>
      <c r="AB137" s="33"/>
      <c r="AC137" s="33">
        <v>0.9</v>
      </c>
      <c r="AD137" s="33"/>
      <c r="AE137" s="33"/>
      <c r="AF137" s="33"/>
      <c r="AG137" s="33"/>
      <c r="AH137" s="33"/>
      <c r="AI137" s="33" t="str">
        <f t="shared" si="39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4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9"/>
        <v>0</v>
      </c>
      <c r="AV137" s="37">
        <f t="shared" si="30"/>
        <v>0</v>
      </c>
      <c r="AW137" s="37"/>
    </row>
    <row r="138" spans="1:49" ht="15.75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34"/>
        <v>48.6</v>
      </c>
      <c r="S138" s="18">
        <f t="shared" si="35"/>
        <v>0</v>
      </c>
      <c r="T138" s="19">
        <f t="shared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37"/>
        <v>-54</v>
      </c>
      <c r="Z138" s="20">
        <f>Tabela1[[#This Row],[PESO TOTAL]]-Tabela1[[#This Row],[Peso Expedido]]</f>
        <v>108</v>
      </c>
      <c r="AA138" s="17">
        <v>0.9</v>
      </c>
      <c r="AB138" s="33"/>
      <c r="AC138" s="33">
        <v>0.9</v>
      </c>
      <c r="AD138" s="33"/>
      <c r="AE138" s="33"/>
      <c r="AF138" s="33"/>
      <c r="AG138" s="33"/>
      <c r="AH138" s="33"/>
      <c r="AI138" s="33" t="str">
        <f t="shared" si="39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4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9"/>
        <v>0</v>
      </c>
      <c r="AV138" s="37">
        <f t="shared" si="30"/>
        <v>0</v>
      </c>
      <c r="AW138" s="37"/>
    </row>
    <row r="139" spans="1:49" ht="15.75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34"/>
        <v>234</v>
      </c>
      <c r="S139" s="18">
        <f t="shared" si="35"/>
        <v>0</v>
      </c>
      <c r="T139" s="19">
        <f t="shared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37"/>
        <v>-208</v>
      </c>
      <c r="Z139" s="20">
        <f>Tabela1[[#This Row],[PESO TOTAL]]-Tabela1[[#This Row],[Peso Expedido]]</f>
        <v>520</v>
      </c>
      <c r="AA139" s="17">
        <v>0.9</v>
      </c>
      <c r="AB139" s="33"/>
      <c r="AC139" s="33">
        <v>0.9</v>
      </c>
      <c r="AD139" s="33"/>
      <c r="AE139" s="33"/>
      <c r="AF139" s="33"/>
      <c r="AG139" s="33"/>
      <c r="AH139" s="33"/>
      <c r="AI139" s="33" t="str">
        <f t="shared" si="39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4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9"/>
        <v>0</v>
      </c>
      <c r="AV139" s="37">
        <f t="shared" si="30"/>
        <v>0</v>
      </c>
      <c r="AW139" s="37"/>
    </row>
    <row r="140" spans="1:49" ht="15.75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34"/>
        <v>2.9699999999999998</v>
      </c>
      <c r="S140" s="18">
        <f t="shared" si="35"/>
        <v>0</v>
      </c>
      <c r="T140" s="19">
        <f t="shared" si="36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37"/>
        <v>-2</v>
      </c>
      <c r="Z140" s="20">
        <f>Tabela1[[#This Row],[PESO TOTAL]]-Tabela1[[#This Row],[Peso Expedido]]</f>
        <v>6.6</v>
      </c>
      <c r="AA140" s="17">
        <v>0.9</v>
      </c>
      <c r="AB140" s="33"/>
      <c r="AC140" s="33">
        <v>0.9</v>
      </c>
      <c r="AD140" s="33"/>
      <c r="AE140" s="33"/>
      <c r="AF140" s="33"/>
      <c r="AG140" s="33"/>
      <c r="AH140" s="33"/>
      <c r="AI140" s="33" t="str">
        <f t="shared" si="39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4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9"/>
        <v>0</v>
      </c>
      <c r="AV140" s="37">
        <f t="shared" si="30"/>
        <v>0</v>
      </c>
      <c r="AW140" s="37"/>
    </row>
    <row r="141" spans="1:49" ht="15.75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>IFERROR(H141*((AA142*0.25)+(AC142*0.25)+(AD141*0.225)+(AE141*0.225)+(AF141*0.05)),"")</f>
        <v>12.96</v>
      </c>
      <c r="S141" s="18">
        <f t="shared" si="35"/>
        <v>0</v>
      </c>
      <c r="T141" s="19">
        <f t="shared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37"/>
        <v>-2</v>
      </c>
      <c r="Z141" s="20">
        <f>Tabela1[[#This Row],[PESO TOTAL]]-Tabela1[[#This Row],[Peso Expedido]]</f>
        <v>28.8</v>
      </c>
      <c r="AA141" s="17">
        <v>0.9</v>
      </c>
      <c r="AB141" s="33"/>
      <c r="AC141" s="33">
        <v>0.9</v>
      </c>
      <c r="AD141" s="33"/>
      <c r="AE141" s="33"/>
      <c r="AF141" s="33"/>
      <c r="AG141" s="33"/>
      <c r="AH141" s="33"/>
      <c r="AI141" s="33" t="str">
        <f t="shared" si="39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4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9"/>
        <v>0</v>
      </c>
      <c r="AV141" s="37">
        <f t="shared" si="30"/>
        <v>0</v>
      </c>
      <c r="AW141" s="37"/>
    </row>
    <row r="142" spans="1:49" ht="15.75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 t="str">
        <f>IFERROR(H142*((#REF!*0.25)+(#REF!*0.25)+(AD142*0.225)+(AE142*0.225)+(AF142*0.05)),"")</f>
        <v/>
      </c>
      <c r="S142" s="18">
        <f t="shared" si="35"/>
        <v>0</v>
      </c>
      <c r="T142" s="19">
        <f t="shared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37"/>
        <v>-14</v>
      </c>
      <c r="Z142" s="20">
        <f>Tabela1[[#This Row],[PESO TOTAL]]-Tabela1[[#This Row],[Peso Expedido]]</f>
        <v>26.599999999999998</v>
      </c>
      <c r="AA142" s="17">
        <v>0.9</v>
      </c>
      <c r="AB142" s="33"/>
      <c r="AC142" s="33">
        <v>0.9</v>
      </c>
      <c r="AD142" s="33"/>
      <c r="AE142" s="33"/>
      <c r="AF142" s="33"/>
      <c r="AG142" s="33"/>
      <c r="AH142" s="33"/>
      <c r="AI142" s="33" t="str">
        <f t="shared" si="39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4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9"/>
        <v>0</v>
      </c>
      <c r="AV142" s="37">
        <f t="shared" si="30"/>
        <v>0</v>
      </c>
      <c r="AW142" s="37"/>
    </row>
    <row r="143" spans="1:49" ht="15.75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34"/>
        <v>10.71</v>
      </c>
      <c r="S143" s="18">
        <f t="shared" si="35"/>
        <v>0</v>
      </c>
      <c r="T143" s="19">
        <f t="shared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37"/>
        <v>-14</v>
      </c>
      <c r="Z143" s="20">
        <f>Tabela1[[#This Row],[PESO TOTAL]]-Tabela1[[#This Row],[Peso Expedido]]</f>
        <v>23.8</v>
      </c>
      <c r="AA143" s="17">
        <v>0.9</v>
      </c>
      <c r="AB143" s="33"/>
      <c r="AC143" s="33">
        <v>0.9</v>
      </c>
      <c r="AD143" s="33"/>
      <c r="AE143" s="33"/>
      <c r="AF143" s="33"/>
      <c r="AG143" s="33"/>
      <c r="AH143" s="33"/>
      <c r="AI143" s="33" t="str">
        <f t="shared" si="39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4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9"/>
        <v>0</v>
      </c>
      <c r="AV143" s="37">
        <f t="shared" si="30"/>
        <v>0</v>
      </c>
      <c r="AW143" s="37"/>
    </row>
    <row r="144" spans="1:49" ht="15.75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34"/>
        <v>25.740000000000002</v>
      </c>
      <c r="S144" s="18">
        <f t="shared" si="35"/>
        <v>0</v>
      </c>
      <c r="T144" s="19">
        <f t="shared" si="36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37"/>
        <v>-4</v>
      </c>
      <c r="Z144" s="20">
        <f>Tabela1[[#This Row],[PESO TOTAL]]-Tabela1[[#This Row],[Peso Expedido]]</f>
        <v>57.2</v>
      </c>
      <c r="AA144" s="17">
        <v>0.9</v>
      </c>
      <c r="AB144" s="33"/>
      <c r="AC144" s="33">
        <v>0.9</v>
      </c>
      <c r="AD144" s="33"/>
      <c r="AE144" s="33"/>
      <c r="AF144" s="33"/>
      <c r="AG144" s="33"/>
      <c r="AH144" s="33"/>
      <c r="AI144" s="33" t="str">
        <f t="shared" si="39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4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9"/>
        <v>0</v>
      </c>
      <c r="AV144" s="37">
        <f t="shared" si="30"/>
        <v>0</v>
      </c>
      <c r="AW144" s="37"/>
    </row>
    <row r="145" spans="1:49" ht="15.75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34"/>
        <v>12.33</v>
      </c>
      <c r="S145" s="18">
        <f t="shared" si="35"/>
        <v>0</v>
      </c>
      <c r="T145" s="19">
        <f t="shared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37"/>
        <v>-2</v>
      </c>
      <c r="Z145" s="20">
        <f>Tabela1[[#This Row],[PESO TOTAL]]-Tabela1[[#This Row],[Peso Expedido]]</f>
        <v>27.4</v>
      </c>
      <c r="AA145" s="17">
        <v>0.9</v>
      </c>
      <c r="AB145" s="33"/>
      <c r="AC145" s="33">
        <v>0.9</v>
      </c>
      <c r="AD145" s="33"/>
      <c r="AE145" s="33"/>
      <c r="AF145" s="33"/>
      <c r="AG145" s="33"/>
      <c r="AH145" s="33"/>
      <c r="AI145" s="33" t="str">
        <f t="shared" si="39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4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9"/>
        <v>0</v>
      </c>
      <c r="AV145" s="37">
        <f t="shared" si="30"/>
        <v>0</v>
      </c>
      <c r="AW145" s="37"/>
    </row>
    <row r="146" spans="1:49" ht="15.75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34"/>
        <v>0.9900000000000001</v>
      </c>
      <c r="S146" s="18">
        <f t="shared" si="35"/>
        <v>0</v>
      </c>
      <c r="T146" s="19">
        <f t="shared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37"/>
        <v>-2</v>
      </c>
      <c r="Z146" s="20">
        <f>Tabela1[[#This Row],[PESO TOTAL]]-Tabela1[[#This Row],[Peso Expedido]]</f>
        <v>2.2000000000000002</v>
      </c>
      <c r="AA146" s="17">
        <v>0.9</v>
      </c>
      <c r="AB146" s="33"/>
      <c r="AC146" s="33">
        <v>0.9</v>
      </c>
      <c r="AD146" s="33"/>
      <c r="AE146" s="33"/>
      <c r="AF146" s="33"/>
      <c r="AG146" s="33"/>
      <c r="AH146" s="33"/>
      <c r="AI146" s="33" t="str">
        <f t="shared" si="39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4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9"/>
        <v>0</v>
      </c>
      <c r="AV146" s="37">
        <f t="shared" si="30"/>
        <v>0</v>
      </c>
      <c r="AW146" s="37"/>
    </row>
    <row r="147" spans="1:49" ht="15.75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34"/>
        <v>1.26</v>
      </c>
      <c r="S147" s="18">
        <f t="shared" si="35"/>
        <v>0</v>
      </c>
      <c r="T147" s="19">
        <f t="shared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37"/>
        <v>-2</v>
      </c>
      <c r="Z147" s="20">
        <f>Tabela1[[#This Row],[PESO TOTAL]]-Tabela1[[#This Row],[Peso Expedido]]</f>
        <v>2.8</v>
      </c>
      <c r="AA147" s="17">
        <v>0.9</v>
      </c>
      <c r="AB147" s="33"/>
      <c r="AC147" s="33">
        <v>0.9</v>
      </c>
      <c r="AD147" s="33"/>
      <c r="AE147" s="33"/>
      <c r="AF147" s="33"/>
      <c r="AG147" s="33"/>
      <c r="AH147" s="33"/>
      <c r="AI147" s="33" t="str">
        <f t="shared" si="39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4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9"/>
        <v>0</v>
      </c>
      <c r="AV147" s="37">
        <f t="shared" si="30"/>
        <v>0</v>
      </c>
      <c r="AW147" s="37"/>
    </row>
    <row r="148" spans="1:49" ht="15.75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>IFERROR(H148*((AA149*0.25)+(AC149*0.25)+(AD148*0.225)+(AE148*0.225)+(AF148*0.05)),"")</f>
        <v>16.38</v>
      </c>
      <c r="S148" s="18">
        <f t="shared" si="35"/>
        <v>0</v>
      </c>
      <c r="T148" s="19">
        <f t="shared" si="36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37"/>
        <v>-2</v>
      </c>
      <c r="Z148" s="20">
        <f>Tabela1[[#This Row],[PESO TOTAL]]-Tabela1[[#This Row],[Peso Expedido]]</f>
        <v>36.4</v>
      </c>
      <c r="AA148" s="17">
        <v>0.9</v>
      </c>
      <c r="AB148" s="33"/>
      <c r="AC148" s="33">
        <v>0.9</v>
      </c>
      <c r="AD148" s="33"/>
      <c r="AE148" s="33"/>
      <c r="AF148" s="33"/>
      <c r="AG148" s="33"/>
      <c r="AH148" s="33"/>
      <c r="AI148" s="33" t="str">
        <f t="shared" si="39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4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9"/>
        <v>0</v>
      </c>
      <c r="AV148" s="37">
        <f t="shared" si="30"/>
        <v>0</v>
      </c>
      <c r="AW148" s="37"/>
    </row>
    <row r="149" spans="1:49" ht="15.75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 t="str">
        <f>IFERROR(H149*((#REF!*0.25)+(#REF!*0.25)+(AD149*0.225)+(AE149*0.225)+(AF149*0.05)),"")</f>
        <v/>
      </c>
      <c r="S149" s="18">
        <f t="shared" si="35"/>
        <v>0</v>
      </c>
      <c r="T149" s="19">
        <f t="shared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37"/>
        <v>-2</v>
      </c>
      <c r="Z149" s="20">
        <f>Tabela1[[#This Row],[PESO TOTAL]]-Tabela1[[#This Row],[Peso Expedido]]</f>
        <v>4</v>
      </c>
      <c r="AA149" s="17">
        <v>0.9</v>
      </c>
      <c r="AB149" s="33"/>
      <c r="AC149" s="33">
        <v>0.9</v>
      </c>
      <c r="AD149" s="33"/>
      <c r="AE149" s="33"/>
      <c r="AF149" s="33"/>
      <c r="AG149" s="33"/>
      <c r="AH149" s="33"/>
      <c r="AI149" s="33" t="str">
        <f t="shared" si="39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4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9"/>
        <v>0</v>
      </c>
      <c r="AV149" s="37">
        <f t="shared" si="30"/>
        <v>0</v>
      </c>
      <c r="AW149" s="37"/>
    </row>
    <row r="150" spans="1:49" ht="15.75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4"/>
        <v>1.4400000000000002</v>
      </c>
      <c r="S150" s="18">
        <f t="shared" si="35"/>
        <v>0</v>
      </c>
      <c r="T150" s="19">
        <f t="shared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37"/>
        <v>-2</v>
      </c>
      <c r="Z150" s="20">
        <f>Tabela1[[#This Row],[PESO TOTAL]]-Tabela1[[#This Row],[Peso Expedido]]</f>
        <v>3.2</v>
      </c>
      <c r="AA150" s="17">
        <v>0.9</v>
      </c>
      <c r="AB150" s="33"/>
      <c r="AC150" s="33">
        <v>0.9</v>
      </c>
      <c r="AD150" s="33"/>
      <c r="AE150" s="33"/>
      <c r="AF150" s="33"/>
      <c r="AG150" s="33"/>
      <c r="AH150" s="33"/>
      <c r="AI150" s="33" t="str">
        <f t="shared" si="39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4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9"/>
        <v>0</v>
      </c>
      <c r="AV150" s="37">
        <f t="shared" si="30"/>
        <v>0</v>
      </c>
      <c r="AW150" s="37"/>
    </row>
    <row r="151" spans="1:49" ht="15.75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4301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4"/>
        <v>240.4</v>
      </c>
      <c r="S151" s="18">
        <f t="shared" si="35"/>
        <v>240.4</v>
      </c>
      <c r="T151" s="19">
        <f t="shared" si="36"/>
        <v>0</v>
      </c>
      <c r="U151" s="16">
        <f>IFERROR(SUMIF('LISTA DE EMBARQUE'!B:B,MICRO!E:E,'LISTA DE EMBARQUE'!G:G),"")</f>
        <v>4</v>
      </c>
      <c r="V151" s="12">
        <f>IFERROR(VLOOKUP(Tabela1[[#This Row],[COD.MDE]],'LISTA DE EMBARQUE'!B:L,11,0),"")</f>
        <v>3</v>
      </c>
      <c r="W151" s="13" t="str">
        <f>IFERROR(COUNTIF(#REF!,Tabela1[[#This Row],[Colunas5]]),"")</f>
        <v/>
      </c>
      <c r="X151" s="14">
        <f>Tabela1[[#This Row],[QIANTIDADE EXPEDIDA]]*Tabela1[[#This Row],[PESO UNI]]</f>
        <v>240.4</v>
      </c>
      <c r="Y151" s="14">
        <f t="shared" si="37"/>
        <v>0</v>
      </c>
      <c r="Z151" s="20">
        <f>Tabela1[[#This Row],[PESO TOTAL]]-Tabela1[[#This Row],[Peso Expedido]]</f>
        <v>0</v>
      </c>
      <c r="AA151" s="17">
        <v>1</v>
      </c>
      <c r="AB151" s="33"/>
      <c r="AC151" s="33">
        <v>1</v>
      </c>
      <c r="AD151" s="33">
        <v>1</v>
      </c>
      <c r="AE151" s="33">
        <v>1</v>
      </c>
      <c r="AF151" s="33">
        <v>1</v>
      </c>
      <c r="AG151" s="33">
        <v>1</v>
      </c>
      <c r="AH151" s="33">
        <v>1</v>
      </c>
      <c r="AI151" s="33" t="str">
        <f t="shared" si="39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4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9"/>
        <v>240.4</v>
      </c>
      <c r="AV151" s="37">
        <f t="shared" si="30"/>
        <v>240.4</v>
      </c>
      <c r="AW151" s="37"/>
    </row>
    <row r="152" spans="1:49" ht="15.75" customHeight="1" x14ac:dyDescent="0.25">
      <c r="A152" s="6" t="s">
        <v>3732</v>
      </c>
      <c r="B152" s="21" t="s">
        <v>3733</v>
      </c>
      <c r="C152" s="7">
        <v>1</v>
      </c>
      <c r="D152" s="39" t="s">
        <v>3734</v>
      </c>
      <c r="E152" s="7">
        <v>3849</v>
      </c>
      <c r="F152" s="7">
        <v>31</v>
      </c>
      <c r="G152" s="23">
        <v>374.4</v>
      </c>
      <c r="H152" s="34">
        <f>Tabela1[[#This Row],[PESO UNI]]*Tabela1[[#This Row],[QTE]]</f>
        <v>374.4</v>
      </c>
      <c r="I152" s="7" t="s">
        <v>4868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-1</v>
      </c>
      <c r="R152" s="18">
        <f t="shared" si="34"/>
        <v>374.4</v>
      </c>
      <c r="S152" s="18">
        <f t="shared" si="35"/>
        <v>374.4</v>
      </c>
      <c r="T152" s="19">
        <f t="shared" si="36"/>
        <v>0</v>
      </c>
      <c r="U152" s="16">
        <f>IFERROR(SUMIF('LISTA DE EMBARQUE'!B:B,MICRO!E:E,'LISTA DE EMBARQUE'!G:G),"")</f>
        <v>1</v>
      </c>
      <c r="V152" s="12">
        <f>IFERROR(VLOOKUP(Tabela1[[#This Row],[COD.MDE]],'LISTA DE EMBARQUE'!B:L,11,0),"")</f>
        <v>5</v>
      </c>
      <c r="W152" s="13" t="str">
        <f>IFERROR(COUNTIF(#REF!,Tabela1[[#This Row],[Colunas5]]),"")</f>
        <v/>
      </c>
      <c r="X152" s="14">
        <f>Tabela1[[#This Row],[QIANTIDADE EXPEDIDA]]*Tabela1[[#This Row],[PESO UNI]]</f>
        <v>374.4</v>
      </c>
      <c r="Y152" s="14">
        <f t="shared" si="37"/>
        <v>0</v>
      </c>
      <c r="Z152" s="20">
        <f>Tabela1[[#This Row],[PESO TOTAL]]-Tabela1[[#This Row],[Peso Expedido]]</f>
        <v>0</v>
      </c>
      <c r="AA152" s="17">
        <v>1</v>
      </c>
      <c r="AB152" s="33"/>
      <c r="AC152" s="33">
        <v>1</v>
      </c>
      <c r="AD152" s="33">
        <v>1</v>
      </c>
      <c r="AE152" s="33">
        <v>1</v>
      </c>
      <c r="AF152" s="33">
        <v>1</v>
      </c>
      <c r="AG152" s="33">
        <v>1</v>
      </c>
      <c r="AH152" s="33">
        <v>1</v>
      </c>
      <c r="AI152" s="33" t="str">
        <f t="shared" si="39"/>
        <v>ok</v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4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9"/>
        <v>374.4</v>
      </c>
      <c r="AV152" s="37">
        <f t="shared" si="30"/>
        <v>374.4</v>
      </c>
      <c r="AW152" s="37"/>
    </row>
    <row r="153" spans="1:49" ht="15.75" customHeight="1" x14ac:dyDescent="0.25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>Tabela1[[#This Row],[QTDE/ Fabricação]]-Tabela1[[#This Row],[QTE]]</f>
        <v>-1</v>
      </c>
      <c r="R153" s="18">
        <f t="shared" ref="R153:R216" si="41">IFERROR(H153*((AA153*0.25)+(AC153*0.25)+(AD153*0.225)+(AE153*0.225)+(AF153*0.05)),"")</f>
        <v>1360</v>
      </c>
      <c r="S153" s="18">
        <f t="shared" ref="S153:S180" si="42">IFERROR(H153*AG153,"")</f>
        <v>1360</v>
      </c>
      <c r="T153" s="19">
        <f t="shared" ref="T153:T216" si="43">IFERROR(S153-H153,"")</f>
        <v>0</v>
      </c>
      <c r="U153" s="204">
        <v>1</v>
      </c>
      <c r="V153" s="12">
        <f>IFERROR(VLOOKUP(Tabela1[[#This Row],[COD.MDE]],'LISTA DE EMBARQUE'!B:L,11,0),"")</f>
        <v>2</v>
      </c>
      <c r="W153" s="13"/>
      <c r="X153" s="14">
        <f>IFERROR(Tabela1[[#This Row],[QIANTIDADE EXPEDIDA]]*Tabela1[[#This Row],[PESO UNI]],"")</f>
        <v>1360</v>
      </c>
      <c r="Y153" s="14">
        <f t="shared" ref="Y153:Y179" si="44">U153-C153</f>
        <v>0</v>
      </c>
      <c r="Z153" s="20">
        <f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si="3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si="41"/>
        <v>1360</v>
      </c>
      <c r="S154" s="18">
        <f t="shared" si="42"/>
        <v>1360</v>
      </c>
      <c r="T154" s="19">
        <f t="shared" si="43"/>
        <v>0</v>
      </c>
      <c r="U154" s="204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44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33"/>
        <v>ok</v>
      </c>
      <c r="AJ154" s="5"/>
      <c r="AK154" t="str">
        <f>Tabela1[[#This Row],[Coluna1]]&amp;Tabela1[[#This Row],[PEDIDO]]</f>
        <v>P-188</v>
      </c>
      <c r="AL154"/>
      <c r="AM154"/>
      <c r="AN154"/>
      <c r="AO154" t="str">
        <f t="shared" si="40"/>
        <v>T-072951-1/1073-TC-007</v>
      </c>
      <c r="AP154" t="str">
        <f>Tabela1[[#This Row],[TAG]]&amp;Tabela1[[#This Row],[PEDIDO]]&amp;Tabela1[[#This Row],[PRODUTO]]</f>
        <v>1073-TC-007P-188RMF</v>
      </c>
      <c r="AQ154" s="22" t="str">
        <f>Tabela1[[#This Row],[PRODUTO]]&amp;Tabela1[[#This Row],[TAG]]</f>
        <v>RMF1073-TC-007</v>
      </c>
      <c r="AR154" s="24" t="str">
        <f>Tabela1[[#This Row],[PEDIDO]]&amp;Tabela1[[#This Row],[PRODUTO]]</f>
        <v>P-188RMF</v>
      </c>
      <c r="AS154" s="37">
        <f>IF(AF154="",0,IF(ISTEXT(AF154),H154*VALUE(SUBSTITUTE(AF154,"%",""))/100,H154*AF154))-Tabela1[[#This Row],[PRONTO ACABADO2]]</f>
        <v>0</v>
      </c>
      <c r="AT154" s="37">
        <f>IF(AG154="",0,IF(ISTEXT(AG154),H154*VALUE(SUBSTITUTE(AG154,"%",""))/100,H154*AG154))-Tabela1[[#This Row],[PESO EXPEDIDO2]]</f>
        <v>0</v>
      </c>
      <c r="AU154" s="37">
        <f t="shared" si="29"/>
        <v>1360</v>
      </c>
      <c r="AV154" s="37">
        <f t="shared" si="30"/>
        <v>1360</v>
      </c>
      <c r="AW154" s="37"/>
    </row>
    <row r="155" spans="1:49" ht="15.75" customHeight="1" x14ac:dyDescent="0.25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41"/>
        <v>1335.1</v>
      </c>
      <c r="S155" s="18">
        <f t="shared" si="42"/>
        <v>1335.1</v>
      </c>
      <c r="T155" s="19">
        <f t="shared" si="43"/>
        <v>0</v>
      </c>
      <c r="U155" s="204">
        <v>1</v>
      </c>
      <c r="V155" s="12" t="str">
        <f>IFERROR(VLOOKUP(Tabela1[[#This Row],[COD.MDE]],'LISTA DE EMBARQUE'!B:L,11,0),"")</f>
        <v/>
      </c>
      <c r="W155" s="13"/>
      <c r="X155" s="14">
        <f>IFERROR(Tabela1[[#This Row],[QIANTIDADE EXPEDIDA]]*Tabela1[[#This Row],[PESO UNI]],"")</f>
        <v>1335.1</v>
      </c>
      <c r="Y155" s="14">
        <f t="shared" si="44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si="45">IF(Z155&lt;=0,"ok","")</f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40"/>
        <v>T-072952-1/1073-TC-006</v>
      </c>
      <c r="AP155" t="str">
        <f>Tabela1[[#This Row],[TAG]]&amp;Tabela1[[#This Row],[PEDIDO]]&amp;Tabela1[[#This Row],[PRODUTO]]</f>
        <v>1073-TC-006P-188RMF</v>
      </c>
      <c r="AQ155" s="22" t="str">
        <f>Tabela1[[#This Row],[PRODUTO]]&amp;Tabela1[[#This Row],[TAG]]</f>
        <v>RMF1073-TC-006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9"/>
        <v>1335.1</v>
      </c>
      <c r="AV155" s="37">
        <f t="shared" si="30"/>
        <v>1335.1</v>
      </c>
      <c r="AW155" s="37"/>
    </row>
    <row r="156" spans="1:49" ht="15.75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41"/>
        <v>1335.1</v>
      </c>
      <c r="S156" s="18">
        <f t="shared" si="42"/>
        <v>1335.1</v>
      </c>
      <c r="T156" s="19">
        <f t="shared" si="43"/>
        <v>0</v>
      </c>
      <c r="U156" s="204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44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si="45"/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40"/>
        <v>T-072952-1/1073-TC-007</v>
      </c>
      <c r="AP156" t="str">
        <f>Tabela1[[#This Row],[TAG]]&amp;Tabela1[[#This Row],[PEDIDO]]&amp;Tabela1[[#This Row],[PRODUTO]]</f>
        <v>1073-TC-007P-188RMF</v>
      </c>
      <c r="AQ156" s="22" t="str">
        <f>Tabela1[[#This Row],[PRODUTO]]&amp;Tabela1[[#This Row],[TAG]]</f>
        <v>RMF1073-TC-007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9"/>
        <v>1335.1</v>
      </c>
      <c r="AV156" s="37">
        <f t="shared" si="30"/>
        <v>1335.1</v>
      </c>
      <c r="AW156" s="37"/>
    </row>
    <row r="157" spans="1:49" ht="15.75" customHeight="1" x14ac:dyDescent="0.25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>Tabela1[[#This Row],[QTDE/ Fabricação]]-Tabela1[[#This Row],[QTE]]</f>
        <v>-2</v>
      </c>
      <c r="R157" s="18">
        <f t="shared" si="41"/>
        <v>25.2</v>
      </c>
      <c r="S157" s="18">
        <f t="shared" si="42"/>
        <v>25.2</v>
      </c>
      <c r="T157" s="19">
        <f t="shared" si="43"/>
        <v>0</v>
      </c>
      <c r="U157" s="204">
        <v>2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25.2</v>
      </c>
      <c r="Y157" s="14">
        <f t="shared" si="44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45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40"/>
        <v>T-072974-1/1073-TC-006</v>
      </c>
      <c r="AP157" t="str">
        <f>Tabela1[[#This Row],[TAG]]&amp;Tabela1[[#This Row],[PEDIDO]]&amp;Tabela1[[#This Row],[PRODUTO]]</f>
        <v>1073-TC-006P-188RMF</v>
      </c>
      <c r="AQ157" s="22" t="str">
        <f>Tabela1[[#This Row],[PRODUTO]]&amp;Tabela1[[#This Row],[TAG]]</f>
        <v>RMF1073-TC-006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9"/>
        <v>25.2</v>
      </c>
      <c r="AV157" s="37">
        <f t="shared" si="30"/>
        <v>25.2</v>
      </c>
      <c r="AW157" s="37"/>
    </row>
    <row r="158" spans="1:49" ht="15.75" customHeight="1" x14ac:dyDescent="0.25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-4</v>
      </c>
      <c r="R158" s="18">
        <f t="shared" si="41"/>
        <v>50.4</v>
      </c>
      <c r="S158" s="18">
        <f t="shared" si="42"/>
        <v>50.4</v>
      </c>
      <c r="T158" s="19">
        <f t="shared" si="43"/>
        <v>0</v>
      </c>
      <c r="U158" s="204">
        <v>4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50.4</v>
      </c>
      <c r="Y158" s="14">
        <f t="shared" si="44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45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4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9"/>
        <v>50.4</v>
      </c>
      <c r="AV158" s="37">
        <f t="shared" si="30"/>
        <v>50.4</v>
      </c>
      <c r="AW158" s="37"/>
    </row>
    <row r="159" spans="1:49" ht="15.75" customHeight="1" x14ac:dyDescent="0.25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41"/>
        <v>228.4</v>
      </c>
      <c r="S159" s="18">
        <f t="shared" si="42"/>
        <v>228.4</v>
      </c>
      <c r="T159" s="19">
        <f t="shared" si="43"/>
        <v>0</v>
      </c>
      <c r="U159" s="204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228.4</v>
      </c>
      <c r="Y159" s="14">
        <f t="shared" si="44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45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4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9"/>
        <v>228.4</v>
      </c>
      <c r="AV159" s="37">
        <f t="shared" si="30"/>
        <v>228.4</v>
      </c>
      <c r="AW159" s="37"/>
    </row>
    <row r="160" spans="1:49" ht="15.75" customHeight="1" x14ac:dyDescent="0.25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-24</v>
      </c>
      <c r="R160" s="18">
        <f t="shared" si="41"/>
        <v>19.200000000000003</v>
      </c>
      <c r="S160" s="18">
        <f t="shared" si="42"/>
        <v>19.200000000000003</v>
      </c>
      <c r="T160" s="19">
        <f t="shared" si="43"/>
        <v>0</v>
      </c>
      <c r="U160" s="16">
        <v>24</v>
      </c>
      <c r="V160" s="12" t="str">
        <f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>IFERROR(Tabela1[[#This Row],[QIANTIDADE EXPEDIDA]]*Tabela1[[#This Row],[PESO UNI]],"")</f>
        <v>19.200000000000003</v>
      </c>
      <c r="Y160" s="14">
        <f t="shared" si="44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4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9"/>
        <v>19.200000000000003</v>
      </c>
      <c r="AV160" s="37">
        <f t="shared" si="30"/>
        <v>19.200000000000003</v>
      </c>
      <c r="AW160" s="37"/>
    </row>
    <row r="161" spans="1:49" ht="15.75" customHeight="1" x14ac:dyDescent="0.25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-1</v>
      </c>
      <c r="R161" s="18">
        <f t="shared" si="41"/>
        <v>128.80000000000001</v>
      </c>
      <c r="S161" s="18">
        <f t="shared" si="42"/>
        <v>128.80000000000001</v>
      </c>
      <c r="T161" s="19">
        <f t="shared" si="43"/>
        <v>0</v>
      </c>
      <c r="U161" s="16">
        <v>1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128.80000000000001</v>
      </c>
      <c r="Y161" s="14">
        <f t="shared" si="44"/>
        <v>0</v>
      </c>
      <c r="Z161" s="20">
        <f>Tabela1[[#This Row],[PESO TOTAL]]-Tabela1[[#This Row],[Peso Expedido]]</f>
        <v>0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4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9"/>
        <v>128.80000000000001</v>
      </c>
      <c r="AV161" s="37">
        <f t="shared" si="30"/>
        <v>128.80000000000001</v>
      </c>
      <c r="AW161" s="37"/>
    </row>
    <row r="162" spans="1:49" ht="15.75" customHeight="1" x14ac:dyDescent="0.25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-2</v>
      </c>
      <c r="R162" s="18">
        <f t="shared" si="41"/>
        <v>25.2</v>
      </c>
      <c r="S162" s="18">
        <f t="shared" si="42"/>
        <v>25.2</v>
      </c>
      <c r="T162" s="19">
        <f t="shared" si="43"/>
        <v>0</v>
      </c>
      <c r="U162" s="204">
        <v>2</v>
      </c>
      <c r="V162" s="12" t="str">
        <f>IFERROR(VLOOKUP(Tabela1[[#This Row],[COD.MDE]],'LISTA DE EMBARQUE'!B:L,11,0),"")</f>
        <v/>
      </c>
      <c r="W162" s="13"/>
      <c r="X162" s="14">
        <f>IFERROR(Tabela1[[#This Row],[QIANTIDADE EXPEDIDA]]*Tabela1[[#This Row],[PESO UNI]],"")</f>
        <v>25.2</v>
      </c>
      <c r="Y162" s="14">
        <f t="shared" si="44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>IF(Z162&lt;=0,"ok","")</f>
        <v>ok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40"/>
        <v>T-072974-1/1073-TC-007</v>
      </c>
      <c r="AP162" t="str">
        <f>Tabela1[[#This Row],[TAG]]&amp;Tabela1[[#This Row],[PEDIDO]]&amp;Tabela1[[#This Row],[PRODUTO]]</f>
        <v>1073-TC-007P-188RMF</v>
      </c>
      <c r="AQ162" s="22" t="str">
        <f>Tabela1[[#This Row],[PRODUTO]]&amp;Tabela1[[#This Row],[TAG]]</f>
        <v>RMF1073-TC-007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9"/>
        <v>25.2</v>
      </c>
      <c r="AV162" s="37">
        <f t="shared" si="30"/>
        <v>25.2</v>
      </c>
      <c r="AW162" s="37"/>
    </row>
    <row r="163" spans="1:49" ht="15.75" customHeight="1" x14ac:dyDescent="0.25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-4</v>
      </c>
      <c r="R163" s="18">
        <f t="shared" si="41"/>
        <v>50.4</v>
      </c>
      <c r="S163" s="18">
        <f t="shared" si="42"/>
        <v>50.4</v>
      </c>
      <c r="T163" s="19">
        <f t="shared" si="43"/>
        <v>0</v>
      </c>
      <c r="U163" s="204">
        <v>4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50.4</v>
      </c>
      <c r="Y163" s="14">
        <f t="shared" si="44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4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9"/>
        <v>50.4</v>
      </c>
      <c r="AV163" s="37">
        <f t="shared" si="30"/>
        <v>50.4</v>
      </c>
      <c r="AW163" s="37"/>
    </row>
    <row r="164" spans="1:49" ht="15.75" customHeight="1" x14ac:dyDescent="0.25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41"/>
        <v>228.4</v>
      </c>
      <c r="S164" s="18">
        <f t="shared" si="42"/>
        <v>228.4</v>
      </c>
      <c r="T164" s="19">
        <f t="shared" si="43"/>
        <v>0</v>
      </c>
      <c r="U164" s="204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228.4</v>
      </c>
      <c r="Y164" s="14">
        <f t="shared" si="44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4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ref="AU164:AU227" si="46">IF(AH164="",0,IF(ISTEXT(AH164),H164*VALUE(SUBSTITUTE(AH164,"%",""))/100,H164*AH164))</f>
        <v>228.4</v>
      </c>
      <c r="AV164" s="37">
        <f t="shared" ref="AV164:AV227" si="47">IF(AG164="",0,IF(ISTEXT(AG164),H164*VALUE(SUBSTITUTE(AG164,"%",""))/100,H164*AG164))</f>
        <v>228.4</v>
      </c>
      <c r="AW164" s="37"/>
    </row>
    <row r="165" spans="1:49" ht="15.75" customHeight="1" x14ac:dyDescent="0.25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-1</v>
      </c>
      <c r="R165" s="18">
        <f t="shared" si="41"/>
        <v>128.80000000000001</v>
      </c>
      <c r="S165" s="18">
        <f t="shared" si="42"/>
        <v>128.80000000000001</v>
      </c>
      <c r="T165" s="19">
        <f t="shared" si="43"/>
        <v>0</v>
      </c>
      <c r="U165" s="16">
        <v>1</v>
      </c>
      <c r="V165" s="12" t="str">
        <f>IFERROR(VLOOKUP(Tabela1[[#This Row],[COD.MDE]],'LISTA DE EMBARQUE'!B:L,11,0),"")</f>
        <v/>
      </c>
      <c r="W165" s="13" t="str">
        <f>IFERROR(VLOOKUP(Tabela1[[#This Row],[COD.MDE]],'LISTA DE EMBARQUE'!B:M,12,0),"")</f>
        <v/>
      </c>
      <c r="X165" s="14">
        <f>IFERROR(Tabela1[[#This Row],[QIANTIDADE EXPEDIDA]]*Tabela1[[#This Row],[PESO UNI]],"")</f>
        <v>128.80000000000001</v>
      </c>
      <c r="Y165" s="14">
        <f t="shared" si="44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4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si="46"/>
        <v>128.80000000000001</v>
      </c>
      <c r="AV165" s="37">
        <f t="shared" si="47"/>
        <v>128.80000000000001</v>
      </c>
      <c r="AW165" s="37"/>
    </row>
    <row r="166" spans="1:49" ht="15.75" customHeight="1" x14ac:dyDescent="0.25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-24</v>
      </c>
      <c r="R166" s="18">
        <f t="shared" si="41"/>
        <v>19.200000000000003</v>
      </c>
      <c r="S166" s="18">
        <f t="shared" si="42"/>
        <v>19.200000000000003</v>
      </c>
      <c r="T166" s="19">
        <f t="shared" si="43"/>
        <v>0</v>
      </c>
      <c r="U166" s="16">
        <v>24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19.200000000000003</v>
      </c>
      <c r="Y166" s="14">
        <f t="shared" si="44"/>
        <v>0</v>
      </c>
      <c r="Z166" s="20">
        <f>Tabela1[[#This Row],[PESO TOTAL]]-Tabela1[[#This Row],[Peso Expedido]]</f>
        <v>0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4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46"/>
        <v>19.200000000000003</v>
      </c>
      <c r="AV166" s="37">
        <f t="shared" si="47"/>
        <v>19.200000000000003</v>
      </c>
      <c r="AW166" s="37"/>
    </row>
    <row r="167" spans="1:49" ht="15.75" customHeight="1" x14ac:dyDescent="0.25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>Tabela1[[#This Row],[QTDE/ Fabricação]]-Tabela1[[#This Row],[QTE]]</f>
        <v>-1</v>
      </c>
      <c r="R167" s="18">
        <f t="shared" si="41"/>
        <v>1137.2</v>
      </c>
      <c r="S167" s="18">
        <f t="shared" si="42"/>
        <v>1137.2</v>
      </c>
      <c r="T167" s="19">
        <f t="shared" si="43"/>
        <v>0</v>
      </c>
      <c r="U167" s="204">
        <v>1</v>
      </c>
      <c r="V167" s="12">
        <f>IFERROR(VLOOKUP(Tabela1[[#This Row],[COD.MDE]],'LISTA DE EMBARQUE'!B:L,11,0),"")</f>
        <v>2</v>
      </c>
      <c r="W167" s="13"/>
      <c r="X167" s="14">
        <f>IFERROR(Tabela1[[#This Row],[QIANTIDADE EXPEDIDA]]*Tabela1[[#This Row],[PESO UNI]],"")</f>
        <v>1137.2</v>
      </c>
      <c r="Y167" s="14">
        <f t="shared" si="44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si="45"/>
        <v>ok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40"/>
        <v>T-072953-1/1073-TC-006</v>
      </c>
      <c r="AP167" t="str">
        <f>Tabela1[[#This Row],[TAG]]&amp;Tabela1[[#This Row],[PEDIDO]]&amp;Tabela1[[#This Row],[PRODUTO]]</f>
        <v>1073-TC-006P-188RMF</v>
      </c>
      <c r="AQ167" s="22" t="str">
        <f>Tabela1[[#This Row],[PRODUTO]]&amp;Tabela1[[#This Row],[TAG]]</f>
        <v>RMF1073-TC-006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46"/>
        <v>1137.2</v>
      </c>
      <c r="AV167" s="37">
        <f t="shared" si="47"/>
        <v>1137.2</v>
      </c>
      <c r="AW167" s="37"/>
    </row>
    <row r="168" spans="1:49" ht="15.75" customHeight="1" x14ac:dyDescent="0.25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41"/>
        <v>142.19999999999999</v>
      </c>
      <c r="S168" s="18">
        <f t="shared" si="42"/>
        <v>142.19999999999999</v>
      </c>
      <c r="T168" s="19">
        <f t="shared" si="43"/>
        <v>0</v>
      </c>
      <c r="U168" s="204">
        <v>1</v>
      </c>
      <c r="V168" s="12">
        <v>13</v>
      </c>
      <c r="W168" s="13"/>
      <c r="X168" s="14">
        <f>IFERROR(Tabela1[[#This Row],[QIANTIDADE EXPEDIDA]]*Tabela1[[#This Row],[PESO UNI]],"")</f>
        <v>142.19999999999999</v>
      </c>
      <c r="Y168" s="14">
        <f t="shared" si="44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45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4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46"/>
        <v>142.19999999999999</v>
      </c>
      <c r="AV168" s="37">
        <f t="shared" si="47"/>
        <v>142.19999999999999</v>
      </c>
      <c r="AW168" s="37"/>
    </row>
    <row r="169" spans="1:49" ht="15.75" customHeight="1" x14ac:dyDescent="0.25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41"/>
        <v>295.39999999999998</v>
      </c>
      <c r="S169" s="18">
        <f t="shared" si="42"/>
        <v>295.39999999999998</v>
      </c>
      <c r="T169" s="19">
        <f t="shared" si="43"/>
        <v>0</v>
      </c>
      <c r="U169" s="204">
        <v>1</v>
      </c>
      <c r="V169" s="12">
        <v>13</v>
      </c>
      <c r="W169" s="13"/>
      <c r="X169" s="14">
        <f>IFERROR(Tabela1[[#This Row],[QIANTIDADE EXPEDIDA]]*Tabela1[[#This Row],[PESO UNI]],"")</f>
        <v>295.39999999999998</v>
      </c>
      <c r="Y169" s="14">
        <f t="shared" si="44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45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4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46"/>
        <v>295.39999999999998</v>
      </c>
      <c r="AV169" s="37">
        <f t="shared" si="47"/>
        <v>295.39999999999998</v>
      </c>
      <c r="AW169" s="37"/>
    </row>
    <row r="170" spans="1:49" ht="15.75" customHeight="1" x14ac:dyDescent="0.25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41"/>
        <v>1137.2</v>
      </c>
      <c r="S170" s="18">
        <f t="shared" si="42"/>
        <v>1137.2</v>
      </c>
      <c r="T170" s="19">
        <f t="shared" si="43"/>
        <v>0</v>
      </c>
      <c r="U170" s="204">
        <v>1</v>
      </c>
      <c r="V170" s="12">
        <v>13</v>
      </c>
      <c r="W170" s="13"/>
      <c r="X170" s="14">
        <f>IFERROR(Tabela1[[#This Row],[QIANTIDADE EXPEDIDA]]*Tabela1[[#This Row],[PESO UNI]],"")</f>
        <v>1137.2</v>
      </c>
      <c r="Y170" s="14">
        <f t="shared" si="44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45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40"/>
        <v>T-072953-1/1073-TC-007</v>
      </c>
      <c r="AP170" t="str">
        <f>Tabela1[[#This Row],[TAG]]&amp;Tabela1[[#This Row],[PEDIDO]]&amp;Tabela1[[#This Row],[PRODUTO]]</f>
        <v>1073-TC-007P-188RMF</v>
      </c>
      <c r="AQ170" s="22" t="str">
        <f>Tabela1[[#This Row],[PRODUTO]]&amp;Tabela1[[#This Row],[TAG]]</f>
        <v>RMF1073-TC-007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46"/>
        <v>1137.2</v>
      </c>
      <c r="AV170" s="37">
        <f t="shared" si="47"/>
        <v>1137.2</v>
      </c>
      <c r="AW170" s="37"/>
    </row>
    <row r="171" spans="1:49" ht="15.75" customHeight="1" x14ac:dyDescent="0.25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41"/>
        <v>142.19999999999999</v>
      </c>
      <c r="S171" s="18">
        <f t="shared" si="42"/>
        <v>142.19999999999999</v>
      </c>
      <c r="T171" s="19">
        <f t="shared" si="43"/>
        <v>0</v>
      </c>
      <c r="U171" s="204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>IFERROR(Tabela1[[#This Row],[QIANTIDADE EXPEDIDA]]*Tabela1[[#This Row],[PESO UNI]],"")</f>
        <v>142.19999999999999</v>
      </c>
      <c r="Y171" s="14">
        <f t="shared" si="44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45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4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46"/>
        <v>142.19999999999999</v>
      </c>
      <c r="AV171" s="37">
        <f t="shared" si="47"/>
        <v>142.19999999999999</v>
      </c>
      <c r="AW171" s="37"/>
    </row>
    <row r="172" spans="1:49" ht="15.75" customHeight="1" x14ac:dyDescent="0.25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41"/>
        <v>295.39999999999998</v>
      </c>
      <c r="S172" s="18">
        <f t="shared" si="42"/>
        <v>295.39999999999998</v>
      </c>
      <c r="T172" s="19">
        <f t="shared" si="43"/>
        <v>0</v>
      </c>
      <c r="U172" s="204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295.39999999999998</v>
      </c>
      <c r="Y172" s="14">
        <f t="shared" si="44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45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4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46"/>
        <v>295.39999999999998</v>
      </c>
      <c r="AV172" s="37">
        <f t="shared" si="47"/>
        <v>295.39999999999998</v>
      </c>
      <c r="AW172" s="37"/>
    </row>
    <row r="173" spans="1:49" ht="15.75" customHeight="1" x14ac:dyDescent="0.25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41"/>
        <v>950.5</v>
      </c>
      <c r="S173" s="18">
        <f t="shared" si="42"/>
        <v>950.5</v>
      </c>
      <c r="T173" s="19">
        <f t="shared" si="43"/>
        <v>0</v>
      </c>
      <c r="U173" s="204">
        <v>1</v>
      </c>
      <c r="V173" s="12" t="str">
        <f>IFERROR(VLOOKUP(Tabela1[[#This Row],[COD.MDE]],'LISTA DE EMBARQUE'!B:L,11,0),"")</f>
        <v/>
      </c>
      <c r="W173" s="13"/>
      <c r="X173" s="14">
        <f>IFERROR(Tabela1[[#This Row],[QIANTIDADE EXPEDIDA]]*Tabela1[[#This Row],[PESO UNI]],"")</f>
        <v>950.5</v>
      </c>
      <c r="Y173" s="14">
        <f t="shared" si="44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45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40"/>
        <v>T-072975-1/1073-TC-006</v>
      </c>
      <c r="AP173" t="str">
        <f>Tabela1[[#This Row],[TAG]]&amp;Tabela1[[#This Row],[PEDIDO]]&amp;Tabela1[[#This Row],[PRODUTO]]</f>
        <v>1073-TC-006P-188RMF</v>
      </c>
      <c r="AQ173" s="22" t="str">
        <f>Tabela1[[#This Row],[PRODUTO]]&amp;Tabela1[[#This Row],[TAG]]</f>
        <v>RMF1073-TC-006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46"/>
        <v>950.5</v>
      </c>
      <c r="AV173" s="37">
        <f t="shared" si="47"/>
        <v>950.5</v>
      </c>
      <c r="AW173" s="37"/>
    </row>
    <row r="174" spans="1:49" ht="15.75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41"/>
        <v>950.5</v>
      </c>
      <c r="S174" s="18">
        <f t="shared" si="42"/>
        <v>950.5</v>
      </c>
      <c r="T174" s="19">
        <f t="shared" si="43"/>
        <v>0</v>
      </c>
      <c r="U174" s="204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44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45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40"/>
        <v>T-072975-1/1073-TC-007</v>
      </c>
      <c r="AP174" t="str">
        <f>Tabela1[[#This Row],[TAG]]&amp;Tabela1[[#This Row],[PEDIDO]]&amp;Tabela1[[#This Row],[PRODUTO]]</f>
        <v>1073-TC-007P-188RMF</v>
      </c>
      <c r="AQ174" s="22" t="str">
        <f>Tabela1[[#This Row],[PRODUTO]]&amp;Tabela1[[#This Row],[TAG]]</f>
        <v>RMF1073-TC-007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46"/>
        <v>950.5</v>
      </c>
      <c r="AV174" s="37">
        <f t="shared" si="47"/>
        <v>950.5</v>
      </c>
      <c r="AW174" s="37"/>
    </row>
    <row r="175" spans="1:49" ht="15.75" customHeight="1" x14ac:dyDescent="0.25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41"/>
        <v>675.7</v>
      </c>
      <c r="S175" s="18">
        <f t="shared" si="42"/>
        <v>675.7</v>
      </c>
      <c r="T175" s="19">
        <f t="shared" si="43"/>
        <v>0</v>
      </c>
      <c r="U175" s="204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675.7</v>
      </c>
      <c r="Y175" s="14">
        <f t="shared" si="44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45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40"/>
        <v>T-072976-1/1073-TC-006</v>
      </c>
      <c r="AP175" t="str">
        <f>Tabela1[[#This Row],[TAG]]&amp;Tabela1[[#This Row],[PEDIDO]]&amp;Tabela1[[#This Row],[PRODUTO]]</f>
        <v>1073-TC-006P-188RMF</v>
      </c>
      <c r="AQ175" s="22" t="str">
        <f>Tabela1[[#This Row],[PRODUTO]]&amp;Tabela1[[#This Row],[TAG]]</f>
        <v>RMF1073-TC-006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46"/>
        <v>675.7</v>
      </c>
      <c r="AV175" s="37">
        <f t="shared" si="47"/>
        <v>675.7</v>
      </c>
      <c r="AW175" s="37"/>
    </row>
    <row r="176" spans="1:49" ht="15.75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41"/>
        <v>675.7</v>
      </c>
      <c r="S176" s="18">
        <f t="shared" si="42"/>
        <v>675.7</v>
      </c>
      <c r="T176" s="19">
        <f t="shared" si="43"/>
        <v>0</v>
      </c>
      <c r="U176" s="204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44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45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40"/>
        <v>T-072976-1/1073-TC-007</v>
      </c>
      <c r="AP176" t="str">
        <f>Tabela1[[#This Row],[TAG]]&amp;Tabela1[[#This Row],[PEDIDO]]&amp;Tabela1[[#This Row],[PRODUTO]]</f>
        <v>1073-TC-007P-188RMF</v>
      </c>
      <c r="AQ176" s="22" t="str">
        <f>Tabela1[[#This Row],[PRODUTO]]&amp;Tabela1[[#This Row],[TAG]]</f>
        <v>RMF1073-TC-007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46"/>
        <v>675.7</v>
      </c>
      <c r="AV176" s="37">
        <f t="shared" si="47"/>
        <v>675.7</v>
      </c>
      <c r="AW176" s="37"/>
    </row>
    <row r="177" spans="1:49" ht="15.75" customHeight="1" x14ac:dyDescent="0.25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>Tabela1[[#This Row],[QTDE/ Fabricação]]-Tabela1[[#This Row],[QTE]]</f>
        <v>-2</v>
      </c>
      <c r="R177" s="18">
        <f t="shared" si="41"/>
        <v>1.04</v>
      </c>
      <c r="S177" s="18">
        <f t="shared" si="42"/>
        <v>1.04</v>
      </c>
      <c r="T177" s="19">
        <f t="shared" si="43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>IFERROR(Tabela1[[#This Row],[QIANTIDADE EXPEDIDA]]*Tabela1[[#This Row],[PESO UNI]],"")</f>
        <v>1.04</v>
      </c>
      <c r="Y177" s="14">
        <f t="shared" si="44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45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40"/>
        <v>T-072917-1/1073-TC-006/007</v>
      </c>
      <c r="AP177" t="str">
        <f>Tabela1[[#This Row],[TAG]]&amp;Tabela1[[#This Row],[PEDIDO]]&amp;Tabela1[[#This Row],[PRODUTO]]</f>
        <v>1073-TC-006/007P-188RMF</v>
      </c>
      <c r="AQ177" s="22" t="str">
        <f>Tabela1[[#This Row],[PRODUTO]]&amp;Tabela1[[#This Row],[TAG]]</f>
        <v>RMF1073-TC-006/007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46"/>
        <v>1.04</v>
      </c>
      <c r="AV177" s="37">
        <f t="shared" si="47"/>
        <v>1.04</v>
      </c>
      <c r="AW177" s="37"/>
    </row>
    <row r="178" spans="1:49" ht="15.75" customHeight="1" x14ac:dyDescent="0.25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41"/>
        <v>1.32</v>
      </c>
      <c r="S178" s="18">
        <f t="shared" si="42"/>
        <v>1.32</v>
      </c>
      <c r="T178" s="19">
        <f t="shared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1.32</v>
      </c>
      <c r="Y178" s="14">
        <f t="shared" si="44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45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4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46"/>
        <v>1.32</v>
      </c>
      <c r="AV178" s="37">
        <f t="shared" si="47"/>
        <v>1.32</v>
      </c>
      <c r="AW178" s="37"/>
    </row>
    <row r="179" spans="1:49" ht="15.75" customHeight="1" x14ac:dyDescent="0.25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-4</v>
      </c>
      <c r="R179" s="18">
        <f t="shared" si="41"/>
        <v>2.04</v>
      </c>
      <c r="S179" s="18">
        <f t="shared" si="42"/>
        <v>2.04</v>
      </c>
      <c r="T179" s="19">
        <f t="shared" si="43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2.04</v>
      </c>
      <c r="Y179" s="14">
        <f t="shared" si="44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45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4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46"/>
        <v>2.04</v>
      </c>
      <c r="AV179" s="37">
        <f t="shared" si="47"/>
        <v>2.04</v>
      </c>
      <c r="AW179" s="37"/>
    </row>
    <row r="180" spans="1:49" ht="15.75" customHeight="1" x14ac:dyDescent="0.25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-8</v>
      </c>
      <c r="R180" s="18">
        <f t="shared" si="41"/>
        <v>0.4</v>
      </c>
      <c r="S180" s="18">
        <f t="shared" si="42"/>
        <v>0.4</v>
      </c>
      <c r="T180" s="19">
        <f t="shared" si="43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0.4</v>
      </c>
      <c r="Y180" s="14">
        <f t="shared" ref="Y180:Y243" si="48">U180-C180</f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45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4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46"/>
        <v>0.4</v>
      </c>
      <c r="AV180" s="37">
        <f t="shared" si="47"/>
        <v>0.4</v>
      </c>
      <c r="AW180" s="37"/>
    </row>
    <row r="181" spans="1:49" ht="15.75" customHeight="1" x14ac:dyDescent="0.25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41"/>
        <v>2.56</v>
      </c>
      <c r="S181" s="18">
        <f t="shared" ref="S181:S244" si="49">IFERROR(H181*AG181,"")</f>
        <v>2.56</v>
      </c>
      <c r="T181" s="19">
        <f t="shared" si="43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2.56</v>
      </c>
      <c r="Y181" s="14">
        <f t="shared" si="48"/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45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40"/>
        <v>T-072918-1/1073-TC-006/007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46"/>
        <v>2.56</v>
      </c>
      <c r="AV181" s="37">
        <f t="shared" si="47"/>
        <v>2.56</v>
      </c>
      <c r="AW181" s="37"/>
    </row>
    <row r="182" spans="1:49" ht="15.75" customHeight="1" x14ac:dyDescent="0.25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41"/>
        <v>3.12</v>
      </c>
      <c r="S182" s="18">
        <f t="shared" si="49"/>
        <v>3.12</v>
      </c>
      <c r="T182" s="19">
        <f t="shared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3.12</v>
      </c>
      <c r="Y182" s="14">
        <f t="shared" si="48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45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40"/>
        <v>T-072919-1/1073-TC-006/007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46"/>
        <v>3.12</v>
      </c>
      <c r="AV182" s="37">
        <f t="shared" si="47"/>
        <v>3.12</v>
      </c>
      <c r="AW182" s="37"/>
    </row>
    <row r="183" spans="1:49" ht="15.75" customHeight="1" x14ac:dyDescent="0.25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-2</v>
      </c>
      <c r="R183" s="18">
        <f t="shared" si="41"/>
        <v>1.06</v>
      </c>
      <c r="S183" s="18">
        <f t="shared" si="49"/>
        <v>1.06</v>
      </c>
      <c r="T183" s="19">
        <f t="shared" si="43"/>
        <v>0</v>
      </c>
      <c r="U183" s="16">
        <v>2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1.06</v>
      </c>
      <c r="Y183" s="14">
        <f t="shared" si="48"/>
        <v>0</v>
      </c>
      <c r="Z183" s="20">
        <f>Tabela1[[#This Row],[PESO TOTAL]]-Tabela1[[#This Row],[Peso Expedido]]</f>
        <v>0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>
        <v>1</v>
      </c>
      <c r="AI183" s="33" t="str">
        <f t="shared" si="45"/>
        <v>ok</v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40"/>
        <v xml:space="preserve"> T-072923-1/1073-TC-006/007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46"/>
        <v>1.06</v>
      </c>
      <c r="AV183" s="37">
        <f t="shared" si="47"/>
        <v>1.06</v>
      </c>
      <c r="AW183" s="37"/>
    </row>
    <row r="184" spans="1:49" ht="15.75" customHeight="1" x14ac:dyDescent="0.25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41"/>
        <v>1.48</v>
      </c>
      <c r="S184" s="18">
        <f t="shared" si="49"/>
        <v>1.48</v>
      </c>
      <c r="T184" s="19">
        <f t="shared" si="43"/>
        <v>0</v>
      </c>
      <c r="U184" s="16">
        <v>2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1.48</v>
      </c>
      <c r="Y184" s="14">
        <f t="shared" si="48"/>
        <v>0</v>
      </c>
      <c r="Z184" s="20">
        <f>Tabela1[[#This Row],[PESO TOTAL]]-Tabela1[[#This Row],[Peso Expedido]]</f>
        <v>0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>
        <v>1</v>
      </c>
      <c r="AI184" s="33" t="str">
        <f t="shared" si="45"/>
        <v>ok</v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4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46"/>
        <v>1.48</v>
      </c>
      <c r="AV184" s="37">
        <f t="shared" si="47"/>
        <v>1.48</v>
      </c>
      <c r="AW184" s="37"/>
    </row>
    <row r="185" spans="1:49" ht="15.75" customHeight="1" x14ac:dyDescent="0.25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41"/>
        <v>1.02</v>
      </c>
      <c r="S185" s="18">
        <f t="shared" si="49"/>
        <v>1.02</v>
      </c>
      <c r="T185" s="19">
        <f t="shared" si="43"/>
        <v>0</v>
      </c>
      <c r="U185" s="16">
        <v>2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1.02</v>
      </c>
      <c r="Y185" s="14">
        <f t="shared" si="48"/>
        <v>0</v>
      </c>
      <c r="Z185" s="20">
        <f>Tabela1[[#This Row],[PESO TOTAL]]-Tabela1[[#This Row],[Peso Expedido]]</f>
        <v>0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>
        <v>1</v>
      </c>
      <c r="AI185" s="33" t="str">
        <f t="shared" si="45"/>
        <v>ok</v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4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46"/>
        <v>1.02</v>
      </c>
      <c r="AV185" s="37">
        <f t="shared" si="47"/>
        <v>1.02</v>
      </c>
      <c r="AW185" s="37"/>
    </row>
    <row r="186" spans="1:49" ht="15.75" customHeight="1" x14ac:dyDescent="0.25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-6</v>
      </c>
      <c r="R186" s="18">
        <f t="shared" si="41"/>
        <v>0.30000000000000004</v>
      </c>
      <c r="S186" s="18">
        <f t="shared" si="49"/>
        <v>0.30000000000000004</v>
      </c>
      <c r="T186" s="19">
        <f t="shared" si="43"/>
        <v>0</v>
      </c>
      <c r="U186" s="16">
        <v>6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0.30000000000000004</v>
      </c>
      <c r="Y186" s="14">
        <f t="shared" si="48"/>
        <v>0</v>
      </c>
      <c r="Z186" s="20">
        <f>Tabela1[[#This Row],[PESO TOTAL]]-Tabela1[[#This Row],[Peso Expedido]]</f>
        <v>0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>
        <v>1</v>
      </c>
      <c r="AI186" s="33" t="str">
        <f t="shared" si="45"/>
        <v>ok</v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4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46"/>
        <v>0.30000000000000004</v>
      </c>
      <c r="AV186" s="37">
        <f t="shared" si="47"/>
        <v>0.30000000000000004</v>
      </c>
      <c r="AW186" s="37"/>
    </row>
    <row r="187" spans="1:49" ht="15.75" customHeight="1" x14ac:dyDescent="0.25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-2</v>
      </c>
      <c r="R187" s="18">
        <f t="shared" si="41"/>
        <v>323.33999999999997</v>
      </c>
      <c r="S187" s="18">
        <f t="shared" si="49"/>
        <v>323.33999999999997</v>
      </c>
      <c r="T187" s="19">
        <f t="shared" si="43"/>
        <v>0</v>
      </c>
      <c r="U187" s="204">
        <v>2</v>
      </c>
      <c r="V187" s="12" t="str">
        <f>IFERROR(VLOOKUP(Tabela1[[#This Row],[COD.MDE]],'LISTA DE EMBARQUE'!B:L,11,0),"")</f>
        <v/>
      </c>
      <c r="W187" s="13"/>
      <c r="X187" s="14">
        <f>IFERROR(Tabela1[[#This Row],[QIANTIDADE EXPEDIDA]]*Tabela1[[#This Row],[PESO UNI]],"")</f>
        <v>323.33999999999997</v>
      </c>
      <c r="Y187" s="14">
        <f t="shared" si="48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45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40"/>
        <v>T-072954-1/1073-TC-006/007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46"/>
        <v>323.33999999999997</v>
      </c>
      <c r="AV187" s="37">
        <f t="shared" si="47"/>
        <v>323.33999999999997</v>
      </c>
      <c r="AW187" s="37"/>
    </row>
    <row r="188" spans="1:49" ht="15.75" customHeight="1" x14ac:dyDescent="0.25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41"/>
        <v>323.33999999999997</v>
      </c>
      <c r="S188" s="18">
        <f t="shared" si="49"/>
        <v>323.33999999999997</v>
      </c>
      <c r="T188" s="19">
        <f t="shared" si="43"/>
        <v>0</v>
      </c>
      <c r="U188" s="204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8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45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4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46"/>
        <v>323.33999999999997</v>
      </c>
      <c r="AV188" s="37">
        <f t="shared" si="47"/>
        <v>323.33999999999997</v>
      </c>
      <c r="AW188" s="37"/>
    </row>
    <row r="189" spans="1:49" ht="15.75" customHeight="1" x14ac:dyDescent="0.25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-8</v>
      </c>
      <c r="R189" s="18">
        <f t="shared" si="41"/>
        <v>189.44</v>
      </c>
      <c r="S189" s="18">
        <f t="shared" si="49"/>
        <v>189.44</v>
      </c>
      <c r="T189" s="19">
        <f t="shared" si="43"/>
        <v>0</v>
      </c>
      <c r="U189" s="204">
        <v>8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189.44</v>
      </c>
      <c r="Y189" s="14">
        <f t="shared" si="48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45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4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46"/>
        <v>189.44</v>
      </c>
      <c r="AV189" s="37">
        <f t="shared" si="47"/>
        <v>189.44</v>
      </c>
      <c r="AW189" s="37"/>
    </row>
    <row r="190" spans="1:49" ht="15.75" customHeight="1" x14ac:dyDescent="0.25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-2</v>
      </c>
      <c r="R190" s="18">
        <f t="shared" si="41"/>
        <v>51.88</v>
      </c>
      <c r="S190" s="18">
        <f t="shared" si="49"/>
        <v>51.88</v>
      </c>
      <c r="T190" s="19">
        <f t="shared" si="43"/>
        <v>0</v>
      </c>
      <c r="U190" s="204">
        <v>2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51.88</v>
      </c>
      <c r="Y190" s="14">
        <f t="shared" si="48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45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4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46"/>
        <v>51.88</v>
      </c>
      <c r="AV190" s="37">
        <f t="shared" si="47"/>
        <v>51.88</v>
      </c>
      <c r="AW190" s="37"/>
    </row>
    <row r="191" spans="1:49" ht="15.75" customHeight="1" x14ac:dyDescent="0.25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-4</v>
      </c>
      <c r="R191" s="18">
        <f t="shared" si="41"/>
        <v>133.64000000000001</v>
      </c>
      <c r="S191" s="18">
        <f t="shared" si="49"/>
        <v>133.64000000000001</v>
      </c>
      <c r="T191" s="19">
        <f t="shared" si="43"/>
        <v>0</v>
      </c>
      <c r="U191" s="204">
        <v>4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133.64000000000001</v>
      </c>
      <c r="Y191" s="14">
        <f t="shared" si="48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45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4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46"/>
        <v>133.64000000000001</v>
      </c>
      <c r="AV191" s="37">
        <f t="shared" si="47"/>
        <v>133.64000000000001</v>
      </c>
      <c r="AW191" s="37"/>
    </row>
    <row r="192" spans="1:49" ht="15.75" customHeight="1" x14ac:dyDescent="0.25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-2</v>
      </c>
      <c r="R192" s="18">
        <f t="shared" si="41"/>
        <v>51.88</v>
      </c>
      <c r="S192" s="18">
        <f t="shared" si="49"/>
        <v>51.88</v>
      </c>
      <c r="T192" s="19">
        <f t="shared" si="43"/>
        <v>0</v>
      </c>
      <c r="U192" s="204">
        <v>2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51.88</v>
      </c>
      <c r="Y192" s="14">
        <f t="shared" si="48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45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4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46"/>
        <v>51.88</v>
      </c>
      <c r="AV192" s="37">
        <f t="shared" si="47"/>
        <v>51.88</v>
      </c>
      <c r="AW192" s="37"/>
    </row>
    <row r="193" spans="1:49" ht="15.75" customHeight="1" x14ac:dyDescent="0.25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-4</v>
      </c>
      <c r="R193" s="18">
        <f t="shared" si="41"/>
        <v>195.76</v>
      </c>
      <c r="S193" s="18">
        <f t="shared" si="49"/>
        <v>195.76</v>
      </c>
      <c r="T193" s="19">
        <f t="shared" si="43"/>
        <v>0</v>
      </c>
      <c r="U193" s="204">
        <v>4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195.76</v>
      </c>
      <c r="Y193" s="14">
        <f t="shared" si="48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45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40"/>
        <v>T-072955-1/1073-TC-006/007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46"/>
        <v>195.76</v>
      </c>
      <c r="AV193" s="37">
        <f t="shared" si="47"/>
        <v>195.76</v>
      </c>
      <c r="AW193" s="37"/>
    </row>
    <row r="194" spans="1:49" ht="15.75" customHeight="1" x14ac:dyDescent="0.25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41"/>
        <v>327.64</v>
      </c>
      <c r="S194" s="18">
        <f t="shared" si="49"/>
        <v>327.64</v>
      </c>
      <c r="T194" s="19">
        <f t="shared" si="43"/>
        <v>0</v>
      </c>
      <c r="U194" s="204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327.64</v>
      </c>
      <c r="Y194" s="14">
        <f t="shared" si="48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45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4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46"/>
        <v>327.64</v>
      </c>
      <c r="AV194" s="37">
        <f t="shared" si="47"/>
        <v>327.64</v>
      </c>
      <c r="AW194" s="37"/>
    </row>
    <row r="195" spans="1:49" ht="15.75" customHeight="1" x14ac:dyDescent="0.25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41"/>
        <v>186.12</v>
      </c>
      <c r="S195" s="18">
        <f t="shared" si="49"/>
        <v>186.12</v>
      </c>
      <c r="T195" s="19">
        <f t="shared" si="43"/>
        <v>0</v>
      </c>
      <c r="U195" s="204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186.12</v>
      </c>
      <c r="Y195" s="14">
        <f t="shared" si="48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45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4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46"/>
        <v>186.12</v>
      </c>
      <c r="AV195" s="37">
        <f t="shared" si="47"/>
        <v>186.12</v>
      </c>
      <c r="AW195" s="37"/>
    </row>
    <row r="196" spans="1:49" ht="15.75" customHeight="1" x14ac:dyDescent="0.25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41"/>
        <v>199.48</v>
      </c>
      <c r="S196" s="18">
        <f t="shared" si="49"/>
        <v>199.48</v>
      </c>
      <c r="T196" s="19">
        <f t="shared" si="43"/>
        <v>0</v>
      </c>
      <c r="U196" s="16">
        <v>4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>IFERROR(Tabela1[[#This Row],[QIANTIDADE EXPEDIDA]]*Tabela1[[#This Row],[PESO UNI]],"")</f>
        <v>199.48</v>
      </c>
      <c r="Y196" s="14">
        <f t="shared" si="48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45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ref="AO196:AO259" si="50">A196&amp;"/"&amp;J196</f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46"/>
        <v>199.48</v>
      </c>
      <c r="AV196" s="37">
        <f t="shared" si="47"/>
        <v>199.48</v>
      </c>
      <c r="AW196" s="37"/>
    </row>
    <row r="197" spans="1:49" ht="15.75" customHeight="1" x14ac:dyDescent="0.25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-2</v>
      </c>
      <c r="R197" s="18">
        <f t="shared" si="41"/>
        <v>318.5</v>
      </c>
      <c r="S197" s="18">
        <f t="shared" si="49"/>
        <v>318.5</v>
      </c>
      <c r="T197" s="19">
        <f t="shared" si="43"/>
        <v>0</v>
      </c>
      <c r="U197" s="204">
        <v>2</v>
      </c>
      <c r="V197" s="12" t="str">
        <f>IFERROR(VLOOKUP(Tabela1[[#This Row],[COD.MDE]],'LISTA DE EMBARQUE'!B:L,11,0),"")</f>
        <v/>
      </c>
      <c r="W197" s="13"/>
      <c r="X197" s="14">
        <f>IFERROR(Tabela1[[#This Row],[QIANTIDADE EXPEDIDA]]*Tabela1[[#This Row],[PESO UNI]],"")</f>
        <v>318.5</v>
      </c>
      <c r="Y197" s="14">
        <f t="shared" si="48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45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si="50"/>
        <v>T-072956-1/1073-TC-006/007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46"/>
        <v>318.5</v>
      </c>
      <c r="AV197" s="37">
        <f t="shared" si="47"/>
        <v>318.5</v>
      </c>
      <c r="AW197" s="37"/>
    </row>
    <row r="198" spans="1:49" ht="15.75" customHeight="1" x14ac:dyDescent="0.25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41"/>
        <v>318.5</v>
      </c>
      <c r="S198" s="18">
        <f t="shared" si="49"/>
        <v>318.5</v>
      </c>
      <c r="T198" s="19">
        <f t="shared" si="43"/>
        <v>0</v>
      </c>
      <c r="U198" s="204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8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45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50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46"/>
        <v>318.5</v>
      </c>
      <c r="AV198" s="37">
        <f t="shared" si="47"/>
        <v>318.5</v>
      </c>
      <c r="AW198" s="37"/>
    </row>
    <row r="199" spans="1:49" ht="15.75" customHeight="1" x14ac:dyDescent="0.25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41"/>
        <v>66.819999999999993</v>
      </c>
      <c r="S199" s="18">
        <f t="shared" si="49"/>
        <v>66.819999999999993</v>
      </c>
      <c r="T199" s="19">
        <f t="shared" si="43"/>
        <v>0</v>
      </c>
      <c r="U199" s="204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66.819999999999993</v>
      </c>
      <c r="Y199" s="14">
        <f t="shared" si="48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45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50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46"/>
        <v>66.819999999999993</v>
      </c>
      <c r="AV199" s="37">
        <f t="shared" si="47"/>
        <v>66.819999999999993</v>
      </c>
      <c r="AW199" s="37"/>
    </row>
    <row r="200" spans="1:49" ht="15.75" customHeight="1" x14ac:dyDescent="0.25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41"/>
        <v>47.36</v>
      </c>
      <c r="S200" s="18">
        <f t="shared" si="49"/>
        <v>47.36</v>
      </c>
      <c r="T200" s="19">
        <f t="shared" si="43"/>
        <v>0</v>
      </c>
      <c r="U200" s="204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47.36</v>
      </c>
      <c r="Y200" s="14">
        <f t="shared" si="48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45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50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46"/>
        <v>47.36</v>
      </c>
      <c r="AV200" s="37">
        <f t="shared" si="47"/>
        <v>47.36</v>
      </c>
      <c r="AW200" s="37"/>
    </row>
    <row r="201" spans="1:49" ht="15.75" customHeight="1" x14ac:dyDescent="0.25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-6</v>
      </c>
      <c r="R201" s="18">
        <f t="shared" si="41"/>
        <v>142.07999999999998</v>
      </c>
      <c r="S201" s="18">
        <f t="shared" si="49"/>
        <v>142.07999999999998</v>
      </c>
      <c r="T201" s="19">
        <f t="shared" si="43"/>
        <v>0</v>
      </c>
      <c r="U201" s="204">
        <v>6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142.07999999999998</v>
      </c>
      <c r="Y201" s="14">
        <f t="shared" si="48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45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50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46"/>
        <v>142.07999999999998</v>
      </c>
      <c r="AV201" s="37">
        <f t="shared" si="47"/>
        <v>142.07999999999998</v>
      </c>
      <c r="AW201" s="37"/>
    </row>
    <row r="202" spans="1:49" ht="15.75" customHeight="1" x14ac:dyDescent="0.25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-4</v>
      </c>
      <c r="R202" s="18">
        <f t="shared" si="41"/>
        <v>103.76</v>
      </c>
      <c r="S202" s="18">
        <f t="shared" si="49"/>
        <v>103.76</v>
      </c>
      <c r="T202" s="19">
        <f t="shared" si="43"/>
        <v>0</v>
      </c>
      <c r="U202" s="204">
        <v>4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103.76</v>
      </c>
      <c r="Y202" s="14">
        <f t="shared" si="48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45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50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46"/>
        <v>103.76</v>
      </c>
      <c r="AV202" s="37">
        <f t="shared" si="47"/>
        <v>103.76</v>
      </c>
      <c r="AW202" s="37"/>
    </row>
    <row r="203" spans="1:49" ht="15.75" customHeight="1" x14ac:dyDescent="0.25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41"/>
        <v>308</v>
      </c>
      <c r="S203" s="18">
        <f t="shared" si="49"/>
        <v>308</v>
      </c>
      <c r="T203" s="19">
        <f t="shared" si="43"/>
        <v>0</v>
      </c>
      <c r="U203" s="204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308</v>
      </c>
      <c r="Y203" s="14">
        <f t="shared" si="48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45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50"/>
        <v>T-072957-1/1073-TC-006/007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46"/>
        <v>308</v>
      </c>
      <c r="AV203" s="37">
        <f t="shared" si="47"/>
        <v>308</v>
      </c>
      <c r="AW203" s="37"/>
    </row>
    <row r="204" spans="1:49" ht="15.75" customHeight="1" x14ac:dyDescent="0.25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41"/>
        <v>340</v>
      </c>
      <c r="S204" s="18">
        <f t="shared" si="49"/>
        <v>340</v>
      </c>
      <c r="T204" s="19">
        <f t="shared" si="43"/>
        <v>0</v>
      </c>
      <c r="U204" s="204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340</v>
      </c>
      <c r="Y204" s="14">
        <f t="shared" si="48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45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50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46"/>
        <v>340</v>
      </c>
      <c r="AV204" s="37">
        <f t="shared" si="47"/>
        <v>340</v>
      </c>
      <c r="AW204" s="37"/>
    </row>
    <row r="205" spans="1:49" ht="15.75" customHeight="1" x14ac:dyDescent="0.25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41"/>
        <v>200</v>
      </c>
      <c r="S205" s="18">
        <f t="shared" si="49"/>
        <v>200</v>
      </c>
      <c r="T205" s="19">
        <f t="shared" si="43"/>
        <v>0</v>
      </c>
      <c r="U205" s="16">
        <v>4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>IFERROR(Tabela1[[#This Row],[QIANTIDADE EXPEDIDA]]*Tabela1[[#This Row],[PESO UNI]],"")</f>
        <v>200</v>
      </c>
      <c r="Y205" s="14">
        <f t="shared" si="48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45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50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46"/>
        <v>200</v>
      </c>
      <c r="AV205" s="37">
        <f t="shared" si="47"/>
        <v>200</v>
      </c>
      <c r="AW205" s="37"/>
    </row>
    <row r="206" spans="1:49" ht="15.75" customHeight="1" x14ac:dyDescent="0.25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-2</v>
      </c>
      <c r="R206" s="18">
        <f t="shared" si="41"/>
        <v>163.36000000000001</v>
      </c>
      <c r="S206" s="18">
        <f t="shared" si="49"/>
        <v>163.36000000000001</v>
      </c>
      <c r="T206" s="19">
        <f t="shared" si="43"/>
        <v>0</v>
      </c>
      <c r="U206" s="204">
        <v>2</v>
      </c>
      <c r="V206" s="12" t="str">
        <f>IFERROR(VLOOKUP(Tabela1[[#This Row],[COD.MDE]],'LISTA DE EMBARQUE'!B:L,11,0),"")</f>
        <v/>
      </c>
      <c r="W206" s="13"/>
      <c r="X206" s="14">
        <f>IFERROR(Tabela1[[#This Row],[QIANTIDADE EXPEDIDA]]*Tabela1[[#This Row],[PESO UNI]],"")</f>
        <v>163.36000000000001</v>
      </c>
      <c r="Y206" s="14">
        <f t="shared" si="48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45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50"/>
        <v>T-072960-1/1073-TC-006/007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46"/>
        <v>163.36000000000001</v>
      </c>
      <c r="AV206" s="37">
        <f t="shared" si="47"/>
        <v>163.36000000000001</v>
      </c>
      <c r="AW206" s="37"/>
    </row>
    <row r="207" spans="1:49" ht="15.75" customHeight="1" x14ac:dyDescent="0.25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41"/>
        <v>166.34</v>
      </c>
      <c r="S207" s="18">
        <f t="shared" si="49"/>
        <v>166.34</v>
      </c>
      <c r="T207" s="19">
        <f t="shared" si="43"/>
        <v>0</v>
      </c>
      <c r="U207" s="204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166.34</v>
      </c>
      <c r="Y207" s="14">
        <f t="shared" si="48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45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50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46"/>
        <v>166.34</v>
      </c>
      <c r="AV207" s="37">
        <f t="shared" si="47"/>
        <v>166.34</v>
      </c>
      <c r="AW207" s="37"/>
    </row>
    <row r="208" spans="1:49" ht="15.75" customHeight="1" x14ac:dyDescent="0.25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41"/>
        <v>230.2</v>
      </c>
      <c r="S208" s="18">
        <f t="shared" si="49"/>
        <v>230.2</v>
      </c>
      <c r="T208" s="19">
        <f t="shared" si="43"/>
        <v>0</v>
      </c>
      <c r="U208" s="204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230.2</v>
      </c>
      <c r="Y208" s="14">
        <f t="shared" si="48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45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50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46"/>
        <v>230.2</v>
      </c>
      <c r="AV208" s="37">
        <f t="shared" si="47"/>
        <v>230.2</v>
      </c>
      <c r="AW208" s="37"/>
    </row>
    <row r="209" spans="1:49" ht="15.75" customHeight="1" x14ac:dyDescent="0.25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41"/>
        <v>88.64</v>
      </c>
      <c r="S209" s="18">
        <f t="shared" si="49"/>
        <v>88.64</v>
      </c>
      <c r="T209" s="19">
        <f t="shared" si="43"/>
        <v>0</v>
      </c>
      <c r="U209" s="204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88.64</v>
      </c>
      <c r="Y209" s="14">
        <f t="shared" si="48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45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50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46"/>
        <v>88.64</v>
      </c>
      <c r="AV209" s="37">
        <f t="shared" si="47"/>
        <v>88.64</v>
      </c>
      <c r="AW209" s="37"/>
    </row>
    <row r="210" spans="1:49" ht="15.75" customHeight="1" x14ac:dyDescent="0.25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41"/>
        <v>203.5</v>
      </c>
      <c r="S210" s="18">
        <f t="shared" si="49"/>
        <v>203.5</v>
      </c>
      <c r="T210" s="19">
        <f t="shared" si="43"/>
        <v>0</v>
      </c>
      <c r="U210" s="204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203.5</v>
      </c>
      <c r="Y210" s="14">
        <f t="shared" si="48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45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50"/>
        <v>T-072964-1/1073-TC-006/007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46"/>
        <v>203.5</v>
      </c>
      <c r="AV210" s="37">
        <f t="shared" si="47"/>
        <v>203.5</v>
      </c>
      <c r="AW210" s="37"/>
    </row>
    <row r="211" spans="1:49" ht="15.75" customHeight="1" x14ac:dyDescent="0.25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-4</v>
      </c>
      <c r="R211" s="18">
        <f t="shared" si="41"/>
        <v>125.56</v>
      </c>
      <c r="S211" s="18">
        <f t="shared" si="49"/>
        <v>125.56</v>
      </c>
      <c r="T211" s="19">
        <f t="shared" si="43"/>
        <v>0</v>
      </c>
      <c r="U211" s="204">
        <v>4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125.56</v>
      </c>
      <c r="Y211" s="14">
        <f t="shared" si="48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45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50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46"/>
        <v>125.56</v>
      </c>
      <c r="AV211" s="37">
        <f t="shared" si="47"/>
        <v>125.56</v>
      </c>
      <c r="AW211" s="37"/>
    </row>
    <row r="212" spans="1:49" ht="15.75" customHeight="1" x14ac:dyDescent="0.25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-2</v>
      </c>
      <c r="R212" s="18">
        <f t="shared" si="41"/>
        <v>124.24</v>
      </c>
      <c r="S212" s="18">
        <f t="shared" si="49"/>
        <v>124.24</v>
      </c>
      <c r="T212" s="19">
        <f t="shared" si="43"/>
        <v>0</v>
      </c>
      <c r="U212" s="204">
        <v>2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124.24</v>
      </c>
      <c r="Y212" s="14">
        <f t="shared" si="48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45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50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46"/>
        <v>124.24</v>
      </c>
      <c r="AV212" s="37">
        <f t="shared" si="47"/>
        <v>124.24</v>
      </c>
      <c r="AW212" s="37"/>
    </row>
    <row r="213" spans="1:49" ht="15.75" customHeight="1" x14ac:dyDescent="0.25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41"/>
        <v>81.64</v>
      </c>
      <c r="S213" s="18">
        <f t="shared" si="49"/>
        <v>81.64</v>
      </c>
      <c r="T213" s="19">
        <f t="shared" si="43"/>
        <v>0</v>
      </c>
      <c r="U213" s="204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81.64</v>
      </c>
      <c r="Y213" s="14">
        <f t="shared" si="48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45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50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46"/>
        <v>81.64</v>
      </c>
      <c r="AV213" s="37">
        <f t="shared" si="47"/>
        <v>81.64</v>
      </c>
      <c r="AW213" s="37"/>
    </row>
    <row r="214" spans="1:49" ht="15.75" customHeight="1" x14ac:dyDescent="0.25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41"/>
        <v>78.760000000000005</v>
      </c>
      <c r="S214" s="18">
        <f t="shared" si="49"/>
        <v>78.760000000000005</v>
      </c>
      <c r="T214" s="19">
        <f t="shared" si="43"/>
        <v>0</v>
      </c>
      <c r="U214" s="204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78.760000000000005</v>
      </c>
      <c r="Y214" s="14">
        <f t="shared" si="48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45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50"/>
        <v>T-072965-1/1073-TC-006/007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46"/>
        <v>78.760000000000005</v>
      </c>
      <c r="AV214" s="37">
        <f t="shared" si="47"/>
        <v>78.760000000000005</v>
      </c>
      <c r="AW214" s="37"/>
    </row>
    <row r="215" spans="1:49" ht="15.75" customHeight="1" x14ac:dyDescent="0.25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-4</v>
      </c>
      <c r="R215" s="18">
        <f t="shared" si="41"/>
        <v>159.12</v>
      </c>
      <c r="S215" s="18">
        <f t="shared" si="49"/>
        <v>159.12</v>
      </c>
      <c r="T215" s="19">
        <f t="shared" si="43"/>
        <v>0</v>
      </c>
      <c r="U215" s="204">
        <v>4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159.12</v>
      </c>
      <c r="Y215" s="14">
        <f t="shared" si="48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45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50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46"/>
        <v>159.12</v>
      </c>
      <c r="AV215" s="37">
        <f t="shared" si="47"/>
        <v>159.12</v>
      </c>
      <c r="AW215" s="37"/>
    </row>
    <row r="216" spans="1:49" ht="15.75" customHeight="1" x14ac:dyDescent="0.25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41"/>
        <v>539.91999999999996</v>
      </c>
      <c r="S216" s="18">
        <f t="shared" si="49"/>
        <v>539.91999999999996</v>
      </c>
      <c r="T216" s="19">
        <f t="shared" si="43"/>
        <v>0</v>
      </c>
      <c r="U216" s="204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539.91999999999996</v>
      </c>
      <c r="Y216" s="14">
        <f t="shared" si="48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45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50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46"/>
        <v>539.91999999999996</v>
      </c>
      <c r="AV216" s="37">
        <f t="shared" si="47"/>
        <v>539.91999999999996</v>
      </c>
      <c r="AW216" s="37"/>
    </row>
    <row r="217" spans="1:49" ht="15.75" customHeight="1" x14ac:dyDescent="0.25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ref="R217:R280" si="51">IFERROR(H217*((AA217*0.25)+(AC217*0.25)+(AD217*0.225)+(AE217*0.225)+(AF217*0.05)),"")</f>
        <v>189.88</v>
      </c>
      <c r="S217" s="18">
        <f t="shared" si="49"/>
        <v>189.88</v>
      </c>
      <c r="T217" s="19">
        <f t="shared" ref="T217:T280" si="52">IFERROR(S217-H217,"")</f>
        <v>0</v>
      </c>
      <c r="U217" s="204">
        <v>4</v>
      </c>
      <c r="V217" s="12">
        <v>13</v>
      </c>
      <c r="W217" s="13"/>
      <c r="X217" s="14">
        <f>IFERROR(Tabela1[[#This Row],[QIANTIDADE EXPEDIDA]]*Tabela1[[#This Row],[PESO UNI]],"")</f>
        <v>189.88</v>
      </c>
      <c r="Y217" s="14">
        <f t="shared" si="48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45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50"/>
        <v>T-072966-1/1073-TC-006/007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46"/>
        <v>189.88</v>
      </c>
      <c r="AV217" s="37">
        <f t="shared" si="47"/>
        <v>189.88</v>
      </c>
      <c r="AW217" s="37"/>
    </row>
    <row r="218" spans="1:49" ht="15.75" customHeight="1" x14ac:dyDescent="0.25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-2</v>
      </c>
      <c r="R218" s="18">
        <f t="shared" si="51"/>
        <v>101.64</v>
      </c>
      <c r="S218" s="18">
        <f t="shared" si="49"/>
        <v>101.64</v>
      </c>
      <c r="T218" s="19">
        <f t="shared" si="52"/>
        <v>0</v>
      </c>
      <c r="U218" s="204">
        <v>2</v>
      </c>
      <c r="V218" s="12">
        <v>13</v>
      </c>
      <c r="W218" s="13"/>
      <c r="X218" s="14">
        <f>IFERROR(Tabela1[[#This Row],[QIANTIDADE EXPEDIDA]]*Tabela1[[#This Row],[PESO UNI]],"")</f>
        <v>101.64</v>
      </c>
      <c r="Y218" s="14">
        <f t="shared" si="48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45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50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46"/>
        <v>101.64</v>
      </c>
      <c r="AV218" s="37">
        <f t="shared" si="47"/>
        <v>101.64</v>
      </c>
      <c r="AW218" s="37"/>
    </row>
    <row r="219" spans="1:49" ht="15.75" customHeight="1" x14ac:dyDescent="0.25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51"/>
        <v>111.62</v>
      </c>
      <c r="S219" s="18">
        <f t="shared" si="49"/>
        <v>111.62</v>
      </c>
      <c r="T219" s="19">
        <f t="shared" si="52"/>
        <v>0</v>
      </c>
      <c r="U219" s="204">
        <v>2</v>
      </c>
      <c r="V219" s="12">
        <v>13</v>
      </c>
      <c r="W219" s="13"/>
      <c r="X219" s="14">
        <f>IFERROR(Tabela1[[#This Row],[QIANTIDADE EXPEDIDA]]*Tabela1[[#This Row],[PESO UNI]],"")</f>
        <v>111.62</v>
      </c>
      <c r="Y219" s="14">
        <f t="shared" si="48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si="53">IF(Z219&lt;=0,"ok","")</f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50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46"/>
        <v>111.62</v>
      </c>
      <c r="AV219" s="37">
        <f t="shared" si="47"/>
        <v>111.62</v>
      </c>
      <c r="AW219" s="37"/>
    </row>
    <row r="220" spans="1:49" ht="15.75" customHeight="1" x14ac:dyDescent="0.25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51"/>
        <v>156.66</v>
      </c>
      <c r="S220" s="18">
        <f t="shared" si="49"/>
        <v>156.66</v>
      </c>
      <c r="T220" s="19">
        <f t="shared" si="52"/>
        <v>0</v>
      </c>
      <c r="U220" s="204">
        <v>2</v>
      </c>
      <c r="V220" s="12">
        <v>13</v>
      </c>
      <c r="W220" s="13"/>
      <c r="X220" s="14">
        <f>IFERROR(Tabela1[[#This Row],[QIANTIDADE EXPEDIDA]]*Tabela1[[#This Row],[PESO UNI]],"")</f>
        <v>156.66</v>
      </c>
      <c r="Y220" s="14">
        <f t="shared" si="48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si="53"/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50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46"/>
        <v>156.66</v>
      </c>
      <c r="AV220" s="37">
        <f t="shared" si="47"/>
        <v>156.66</v>
      </c>
      <c r="AW220" s="37"/>
    </row>
    <row r="221" spans="1:49" ht="15.75" customHeight="1" x14ac:dyDescent="0.25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51"/>
        <v>151.04</v>
      </c>
      <c r="S221" s="18">
        <f t="shared" si="49"/>
        <v>151.04</v>
      </c>
      <c r="T221" s="19">
        <f t="shared" si="52"/>
        <v>0</v>
      </c>
      <c r="U221" s="204">
        <v>2</v>
      </c>
      <c r="V221" s="12">
        <v>13</v>
      </c>
      <c r="W221" s="13"/>
      <c r="X221" s="14">
        <f>IFERROR(Tabela1[[#This Row],[QIANTIDADE EXPEDIDA]]*Tabela1[[#This Row],[PESO UNI]],"")</f>
        <v>151.04</v>
      </c>
      <c r="Y221" s="14">
        <f t="shared" si="48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53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50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46"/>
        <v>151.04</v>
      </c>
      <c r="AV221" s="37">
        <f t="shared" si="47"/>
        <v>151.04</v>
      </c>
      <c r="AW221" s="37"/>
    </row>
    <row r="222" spans="1:49" ht="15.75" customHeight="1" x14ac:dyDescent="0.25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51"/>
        <v>350.08</v>
      </c>
      <c r="S222" s="18">
        <f t="shared" si="49"/>
        <v>350.08</v>
      </c>
      <c r="T222" s="19">
        <f t="shared" si="52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>IFERROR(Tabela1[[#This Row],[QIANTIDADE EXPEDIDA]]*Tabela1[[#This Row],[PESO UNI]],"")</f>
        <v>350.08</v>
      </c>
      <c r="Y222" s="14">
        <f t="shared" si="48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53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50"/>
        <v>T-072963-1/1073-TC-006/007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46"/>
        <v>350.08</v>
      </c>
      <c r="AV222" s="37">
        <f t="shared" si="47"/>
        <v>350.08</v>
      </c>
      <c r="AW222" s="37"/>
    </row>
    <row r="223" spans="1:49" ht="15.75" customHeight="1" x14ac:dyDescent="0.25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51"/>
        <v>304.44</v>
      </c>
      <c r="S223" s="18">
        <f t="shared" si="49"/>
        <v>304.44</v>
      </c>
      <c r="T223" s="19">
        <f t="shared" si="52"/>
        <v>0</v>
      </c>
      <c r="U223" s="204">
        <v>2</v>
      </c>
      <c r="V223" s="12" t="str">
        <f>IFERROR(VLOOKUP(Tabela1[[#This Row],[COD.MDE]],'LISTA DE EMBARQUE'!B:L,11,0),"")</f>
        <v/>
      </c>
      <c r="W223" s="13"/>
      <c r="X223" s="14">
        <f>IFERROR(Tabela1[[#This Row],[QIANTIDADE EXPEDIDA]]*Tabela1[[#This Row],[PESO UNI]],"")</f>
        <v>304.44</v>
      </c>
      <c r="Y223" s="14">
        <f t="shared" si="48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53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50"/>
        <v>T-072959-1/1073-TC-006/007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46"/>
        <v>304.44</v>
      </c>
      <c r="AV223" s="37">
        <f t="shared" si="47"/>
        <v>304.44</v>
      </c>
      <c r="AW223" s="37"/>
    </row>
    <row r="224" spans="1:49" ht="15.75" customHeight="1" x14ac:dyDescent="0.25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51"/>
        <v>304.44</v>
      </c>
      <c r="S224" s="18">
        <f t="shared" si="49"/>
        <v>304.44</v>
      </c>
      <c r="T224" s="19">
        <f t="shared" si="52"/>
        <v>0</v>
      </c>
      <c r="U224" s="204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8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53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50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46"/>
        <v>304.44</v>
      </c>
      <c r="AV224" s="37">
        <f t="shared" si="47"/>
        <v>304.44</v>
      </c>
      <c r="AW224" s="37"/>
    </row>
    <row r="225" spans="1:49" ht="15.75" customHeight="1" x14ac:dyDescent="0.25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-10</v>
      </c>
      <c r="R225" s="18">
        <f t="shared" si="51"/>
        <v>279</v>
      </c>
      <c r="S225" s="18">
        <f t="shared" si="49"/>
        <v>279</v>
      </c>
      <c r="T225" s="19">
        <f t="shared" si="52"/>
        <v>0</v>
      </c>
      <c r="U225" s="204">
        <v>10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279</v>
      </c>
      <c r="Y225" s="14">
        <f t="shared" si="48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53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50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46"/>
        <v>279</v>
      </c>
      <c r="AV225" s="37">
        <f t="shared" si="47"/>
        <v>279</v>
      </c>
      <c r="AW225" s="37"/>
    </row>
    <row r="226" spans="1:49" ht="15.75" customHeight="1" x14ac:dyDescent="0.25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-2</v>
      </c>
      <c r="R226" s="18">
        <f t="shared" si="51"/>
        <v>50.04</v>
      </c>
      <c r="S226" s="18">
        <f t="shared" si="49"/>
        <v>50.04</v>
      </c>
      <c r="T226" s="19">
        <f t="shared" si="52"/>
        <v>0</v>
      </c>
      <c r="U226" s="204">
        <v>2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50.04</v>
      </c>
      <c r="Y226" s="14">
        <f t="shared" si="48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53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50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46"/>
        <v>50.04</v>
      </c>
      <c r="AV226" s="37">
        <f t="shared" si="47"/>
        <v>50.04</v>
      </c>
      <c r="AW226" s="37"/>
    </row>
    <row r="227" spans="1:49" ht="15.75" customHeight="1" x14ac:dyDescent="0.25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51"/>
        <v>47.36</v>
      </c>
      <c r="S227" s="18">
        <f t="shared" si="49"/>
        <v>47.36</v>
      </c>
      <c r="T227" s="19">
        <f t="shared" si="52"/>
        <v>0</v>
      </c>
      <c r="U227" s="204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47.36</v>
      </c>
      <c r="Y227" s="14">
        <f t="shared" si="48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53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50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46"/>
        <v>47.36</v>
      </c>
      <c r="AV227" s="37">
        <f t="shared" si="47"/>
        <v>47.36</v>
      </c>
      <c r="AW227" s="37"/>
    </row>
    <row r="228" spans="1:49" ht="15.75" customHeight="1" x14ac:dyDescent="0.25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51"/>
        <v>245.96</v>
      </c>
      <c r="S228" s="18">
        <f t="shared" si="49"/>
        <v>245.96</v>
      </c>
      <c r="T228" s="19">
        <f t="shared" si="52"/>
        <v>0</v>
      </c>
      <c r="U228" s="204">
        <v>2</v>
      </c>
      <c r="V228" s="12">
        <v>13</v>
      </c>
      <c r="W228" s="13"/>
      <c r="X228" s="14">
        <f>IFERROR(Tabela1[[#This Row],[QIANTIDADE EXPEDIDA]]*Tabela1[[#This Row],[PESO UNI]],"")</f>
        <v>245.96</v>
      </c>
      <c r="Y228" s="14">
        <f t="shared" si="48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53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50"/>
        <v>T-072962-1/1073-TC-006/007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ref="AU228:AU291" si="54">IF(AH228="",0,IF(ISTEXT(AH228),H228*VALUE(SUBSTITUTE(AH228,"%",""))/100,H228*AH228))</f>
        <v>245.96</v>
      </c>
      <c r="AV228" s="37">
        <f t="shared" ref="AV228:AV291" si="55">IF(AG228="",0,IF(ISTEXT(AG228),H228*VALUE(SUBSTITUTE(AG228,"%",""))/100,H228*AG228))</f>
        <v>245.96</v>
      </c>
      <c r="AW228" s="37"/>
    </row>
    <row r="229" spans="1:49" ht="15.75" customHeight="1" x14ac:dyDescent="0.25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51"/>
        <v>245.96</v>
      </c>
      <c r="S229" s="18">
        <f t="shared" si="49"/>
        <v>245.96</v>
      </c>
      <c r="T229" s="19">
        <f t="shared" si="52"/>
        <v>0</v>
      </c>
      <c r="U229" s="204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8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53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50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si="54"/>
        <v>245.96</v>
      </c>
      <c r="AV229" s="37">
        <f t="shared" si="55"/>
        <v>245.96</v>
      </c>
      <c r="AW229" s="37"/>
    </row>
    <row r="230" spans="1:49" ht="15.75" customHeight="1" x14ac:dyDescent="0.25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51"/>
        <v>68.8</v>
      </c>
      <c r="S230" s="18">
        <f t="shared" si="49"/>
        <v>68.8</v>
      </c>
      <c r="T230" s="19">
        <f t="shared" si="52"/>
        <v>0</v>
      </c>
      <c r="U230" s="204">
        <v>2</v>
      </c>
      <c r="V230" s="12">
        <v>13</v>
      </c>
      <c r="W230" s="13"/>
      <c r="X230" s="14">
        <f>IFERROR(Tabela1[[#This Row],[QIANTIDADE EXPEDIDA]]*Tabela1[[#This Row],[PESO UNI]],"")</f>
        <v>68.8</v>
      </c>
      <c r="Y230" s="14">
        <f t="shared" si="48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53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50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54"/>
        <v>68.8</v>
      </c>
      <c r="AV230" s="37">
        <f t="shared" si="55"/>
        <v>68.8</v>
      </c>
      <c r="AW230" s="37"/>
    </row>
    <row r="231" spans="1:49" ht="15.75" customHeight="1" x14ac:dyDescent="0.25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51"/>
        <v>68.739999999999995</v>
      </c>
      <c r="S231" s="18">
        <f t="shared" si="49"/>
        <v>68.739999999999995</v>
      </c>
      <c r="T231" s="19">
        <f t="shared" si="52"/>
        <v>0</v>
      </c>
      <c r="U231" s="204">
        <v>2</v>
      </c>
      <c r="V231" s="12">
        <v>13</v>
      </c>
      <c r="W231" s="13"/>
      <c r="X231" s="14">
        <f>IFERROR(Tabela1[[#This Row],[QIANTIDADE EXPEDIDA]]*Tabela1[[#This Row],[PESO UNI]],"")</f>
        <v>68.739999999999995</v>
      </c>
      <c r="Y231" s="14">
        <f t="shared" si="48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53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50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54"/>
        <v>68.739999999999995</v>
      </c>
      <c r="AV231" s="37">
        <f t="shared" si="55"/>
        <v>68.739999999999995</v>
      </c>
      <c r="AW231" s="37"/>
    </row>
    <row r="232" spans="1:49" ht="15.75" customHeight="1" x14ac:dyDescent="0.25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51"/>
        <v>68.739999999999995</v>
      </c>
      <c r="S232" s="18">
        <f t="shared" si="49"/>
        <v>68.739999999999995</v>
      </c>
      <c r="T232" s="19">
        <f t="shared" si="52"/>
        <v>0</v>
      </c>
      <c r="U232" s="204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8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53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50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54"/>
        <v>68.739999999999995</v>
      </c>
      <c r="AV232" s="37">
        <f t="shared" si="55"/>
        <v>68.739999999999995</v>
      </c>
      <c r="AW232" s="37"/>
    </row>
    <row r="233" spans="1:49" ht="15.75" customHeight="1" x14ac:dyDescent="0.25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51"/>
        <v>54.02</v>
      </c>
      <c r="S233" s="18">
        <f t="shared" si="49"/>
        <v>54.02</v>
      </c>
      <c r="T233" s="19">
        <f t="shared" si="52"/>
        <v>0</v>
      </c>
      <c r="U233" s="204">
        <v>2</v>
      </c>
      <c r="V233" s="12">
        <v>13</v>
      </c>
      <c r="W233" s="13"/>
      <c r="X233" s="14">
        <f>IFERROR(Tabela1[[#This Row],[QIANTIDADE EXPEDIDA]]*Tabela1[[#This Row],[PESO UNI]],"")</f>
        <v>54.02</v>
      </c>
      <c r="Y233" s="14">
        <f t="shared" si="48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53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50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54"/>
        <v>54.02</v>
      </c>
      <c r="AV233" s="37">
        <f t="shared" si="55"/>
        <v>54.02</v>
      </c>
      <c r="AW233" s="37"/>
    </row>
    <row r="234" spans="1:49" ht="15.75" customHeight="1" x14ac:dyDescent="0.25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51"/>
        <v>54.02</v>
      </c>
      <c r="S234" s="18">
        <f t="shared" si="49"/>
        <v>54.02</v>
      </c>
      <c r="T234" s="19">
        <f t="shared" si="52"/>
        <v>0</v>
      </c>
      <c r="U234" s="204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8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53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50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54"/>
        <v>54.02</v>
      </c>
      <c r="AV234" s="37">
        <f t="shared" si="55"/>
        <v>54.02</v>
      </c>
      <c r="AW234" s="37"/>
    </row>
    <row r="235" spans="1:49" ht="15.75" customHeight="1" x14ac:dyDescent="0.25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-4</v>
      </c>
      <c r="R235" s="18">
        <f t="shared" si="51"/>
        <v>95</v>
      </c>
      <c r="S235" s="18">
        <f t="shared" si="49"/>
        <v>95</v>
      </c>
      <c r="T235" s="19">
        <f t="shared" si="52"/>
        <v>0</v>
      </c>
      <c r="U235" s="204">
        <v>4</v>
      </c>
      <c r="V235" s="12">
        <v>13</v>
      </c>
      <c r="W235" s="13"/>
      <c r="X235" s="14">
        <f>IFERROR(Tabela1[[#This Row],[QIANTIDADE EXPEDIDA]]*Tabela1[[#This Row],[PESO UNI]],"")</f>
        <v>95</v>
      </c>
      <c r="Y235" s="14">
        <f t="shared" si="48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53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50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54"/>
        <v>95</v>
      </c>
      <c r="AV235" s="37">
        <f t="shared" si="55"/>
        <v>95</v>
      </c>
      <c r="AW235" s="37"/>
    </row>
    <row r="236" spans="1:49" ht="15.75" customHeight="1" x14ac:dyDescent="0.25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-2</v>
      </c>
      <c r="R236" s="18">
        <f t="shared" si="51"/>
        <v>258.18</v>
      </c>
      <c r="S236" s="18">
        <f t="shared" si="49"/>
        <v>258.18</v>
      </c>
      <c r="T236" s="19">
        <f t="shared" si="52"/>
        <v>0</v>
      </c>
      <c r="U236" s="204">
        <v>2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258.18</v>
      </c>
      <c r="Y236" s="14">
        <f t="shared" si="48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53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50"/>
        <v>T-072967-1/1073-TC-006/007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54"/>
        <v>258.18</v>
      </c>
      <c r="AV236" s="37">
        <f t="shared" si="55"/>
        <v>258.18</v>
      </c>
      <c r="AW236" s="37"/>
    </row>
    <row r="237" spans="1:49" ht="15.75" customHeight="1" x14ac:dyDescent="0.25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51"/>
        <v>258.18</v>
      </c>
      <c r="S237" s="18">
        <f t="shared" si="49"/>
        <v>258.18</v>
      </c>
      <c r="T237" s="19">
        <f t="shared" si="52"/>
        <v>0</v>
      </c>
      <c r="U237" s="204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8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53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50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54"/>
        <v>258.18</v>
      </c>
      <c r="AV237" s="37">
        <f t="shared" si="55"/>
        <v>258.18</v>
      </c>
      <c r="AW237" s="37"/>
    </row>
    <row r="238" spans="1:49" ht="15.75" customHeight="1" x14ac:dyDescent="0.25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-12</v>
      </c>
      <c r="R238" s="18">
        <f t="shared" si="51"/>
        <v>284.15999999999997</v>
      </c>
      <c r="S238" s="18">
        <f t="shared" si="49"/>
        <v>284.15999999999997</v>
      </c>
      <c r="T238" s="19">
        <f t="shared" si="52"/>
        <v>0</v>
      </c>
      <c r="U238" s="204">
        <v>12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284.15999999999997</v>
      </c>
      <c r="Y238" s="14">
        <f t="shared" si="48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53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50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54"/>
        <v>284.15999999999997</v>
      </c>
      <c r="AV238" s="37">
        <f t="shared" si="55"/>
        <v>284.15999999999997</v>
      </c>
      <c r="AW238" s="37"/>
    </row>
    <row r="239" spans="1:49" ht="15.75" customHeight="1" x14ac:dyDescent="0.25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-4</v>
      </c>
      <c r="R239" s="18">
        <f t="shared" si="51"/>
        <v>285.76</v>
      </c>
      <c r="S239" s="18">
        <f t="shared" si="49"/>
        <v>285.76</v>
      </c>
      <c r="T239" s="19">
        <f t="shared" si="52"/>
        <v>0</v>
      </c>
      <c r="U239" s="204">
        <v>4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285.76</v>
      </c>
      <c r="Y239" s="14">
        <f t="shared" si="48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53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50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54"/>
        <v>285.76</v>
      </c>
      <c r="AV239" s="37">
        <f t="shared" si="55"/>
        <v>285.76</v>
      </c>
      <c r="AW239" s="37"/>
    </row>
    <row r="240" spans="1:49" ht="15.75" customHeight="1" x14ac:dyDescent="0.25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51"/>
        <v>285.76</v>
      </c>
      <c r="S240" s="18">
        <f t="shared" si="49"/>
        <v>285.76</v>
      </c>
      <c r="T240" s="19">
        <f t="shared" si="52"/>
        <v>0</v>
      </c>
      <c r="U240" s="204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8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53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50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54"/>
        <v>285.76</v>
      </c>
      <c r="AV240" s="37">
        <f t="shared" si="55"/>
        <v>285.76</v>
      </c>
      <c r="AW240" s="37"/>
    </row>
    <row r="241" spans="1:49" ht="15.75" customHeight="1" x14ac:dyDescent="0.25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-2</v>
      </c>
      <c r="R241" s="18">
        <f t="shared" si="51"/>
        <v>257.72000000000003</v>
      </c>
      <c r="S241" s="18">
        <f t="shared" si="49"/>
        <v>257.72000000000003</v>
      </c>
      <c r="T241" s="19">
        <f t="shared" si="52"/>
        <v>0</v>
      </c>
      <c r="U241" s="204">
        <v>2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257.72000000000003</v>
      </c>
      <c r="Y241" s="14">
        <f t="shared" si="48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53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50"/>
        <v>T-072958-1/1073-TC-006/007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54"/>
        <v>257.72000000000003</v>
      </c>
      <c r="AV241" s="37">
        <f t="shared" si="55"/>
        <v>257.72000000000003</v>
      </c>
      <c r="AW241" s="37"/>
    </row>
    <row r="242" spans="1:49" ht="15.75" customHeight="1" x14ac:dyDescent="0.25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51"/>
        <v>257.72000000000003</v>
      </c>
      <c r="S242" s="18">
        <f t="shared" si="49"/>
        <v>257.72000000000003</v>
      </c>
      <c r="T242" s="19">
        <f t="shared" si="52"/>
        <v>0</v>
      </c>
      <c r="U242" s="204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8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53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50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54"/>
        <v>257.72000000000003</v>
      </c>
      <c r="AV242" s="37">
        <f t="shared" si="55"/>
        <v>257.72000000000003</v>
      </c>
      <c r="AW242" s="37"/>
    </row>
    <row r="243" spans="1:49" ht="15.75" customHeight="1" x14ac:dyDescent="0.25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-12</v>
      </c>
      <c r="R243" s="18">
        <f t="shared" si="51"/>
        <v>284.15999999999997</v>
      </c>
      <c r="S243" s="18">
        <f t="shared" si="49"/>
        <v>284.15999999999997</v>
      </c>
      <c r="T243" s="19">
        <f t="shared" si="52"/>
        <v>0</v>
      </c>
      <c r="U243" s="204">
        <v>12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284.15999999999997</v>
      </c>
      <c r="Y243" s="14">
        <f t="shared" si="48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53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50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54"/>
        <v>284.15999999999997</v>
      </c>
      <c r="AV243" s="37">
        <f t="shared" si="55"/>
        <v>284.15999999999997</v>
      </c>
      <c r="AW243" s="37"/>
    </row>
    <row r="244" spans="1:49" ht="15.75" customHeight="1" x14ac:dyDescent="0.25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-8</v>
      </c>
      <c r="R244" s="18">
        <f t="shared" si="51"/>
        <v>571.52</v>
      </c>
      <c r="S244" s="18">
        <f t="shared" si="49"/>
        <v>571.52</v>
      </c>
      <c r="T244" s="19">
        <f t="shared" si="52"/>
        <v>0</v>
      </c>
      <c r="U244" s="204">
        <v>8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571.52</v>
      </c>
      <c r="Y244" s="14">
        <f t="shared" ref="Y244:Y307" si="56">U244-C244</f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53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50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54"/>
        <v>571.52</v>
      </c>
      <c r="AV244" s="37">
        <f t="shared" si="55"/>
        <v>571.52</v>
      </c>
      <c r="AW244" s="37"/>
    </row>
    <row r="245" spans="1:49" ht="15.75" customHeight="1" x14ac:dyDescent="0.25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>Tabela1[[#This Row],[QTDE/ Fabricação]]-Tabela1[[#This Row],[QTE]]</f>
        <v>-1</v>
      </c>
      <c r="R245" s="18">
        <f t="shared" si="51"/>
        <v>383.4</v>
      </c>
      <c r="S245" s="18">
        <f t="shared" ref="S245:S308" si="57">IFERROR(H245*AG245,"")</f>
        <v>383.4</v>
      </c>
      <c r="T245" s="19">
        <f t="shared" si="52"/>
        <v>0</v>
      </c>
      <c r="U245" s="204">
        <v>1</v>
      </c>
      <c r="V245" s="12">
        <f>IFERROR(VLOOKUP(Tabela1[[#This Row],[COD.MDE]],'LISTA DE EMBARQUE'!B:L,11,0),"")</f>
        <v>0</v>
      </c>
      <c r="W245" s="13"/>
      <c r="X245" s="14">
        <f>IFERROR(Tabela1[[#This Row],[QIANTIDADE EXPEDIDA]]*Tabela1[[#This Row],[PESO UNI]],"")</f>
        <v>383.4</v>
      </c>
      <c r="Y245" s="14">
        <f t="shared" si="56"/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53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50"/>
        <v>T-072978-1/1073-TC-006</v>
      </c>
      <c r="AP245" t="str">
        <f>Tabela1[[#This Row],[TAG]]&amp;Tabela1[[#This Row],[PEDIDO]]&amp;Tabela1[[#This Row],[PRODUTO]]</f>
        <v>1073-TC-006P-188RMF</v>
      </c>
      <c r="AQ245" s="22" t="str">
        <f>Tabela1[[#This Row],[PRODUTO]]&amp;Tabela1[[#This Row],[TAG]]</f>
        <v>RMF1073-TC-006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54"/>
        <v>383.4</v>
      </c>
      <c r="AV245" s="37">
        <f t="shared" si="55"/>
        <v>383.4</v>
      </c>
      <c r="AW245" s="37"/>
    </row>
    <row r="246" spans="1:49" ht="15.75" customHeight="1" x14ac:dyDescent="0.25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-4</v>
      </c>
      <c r="R246" s="18">
        <f t="shared" si="51"/>
        <v>1.2</v>
      </c>
      <c r="S246" s="18">
        <f t="shared" si="57"/>
        <v>1.2</v>
      </c>
      <c r="T246" s="19">
        <f t="shared" si="52"/>
        <v>0</v>
      </c>
      <c r="U246" s="204">
        <v>4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1.2</v>
      </c>
      <c r="Y246" s="14">
        <f t="shared" si="56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53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50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54"/>
        <v>1.2</v>
      </c>
      <c r="AV246" s="37">
        <f t="shared" si="55"/>
        <v>1.2</v>
      </c>
      <c r="AW246" s="37"/>
    </row>
    <row r="247" spans="1:49" ht="15.75" customHeight="1" x14ac:dyDescent="0.25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-1</v>
      </c>
      <c r="R247" s="18">
        <f t="shared" si="51"/>
        <v>383.4</v>
      </c>
      <c r="S247" s="18">
        <f t="shared" si="57"/>
        <v>383.4</v>
      </c>
      <c r="T247" s="19">
        <f t="shared" si="52"/>
        <v>0</v>
      </c>
      <c r="U247" s="204">
        <v>1</v>
      </c>
      <c r="V247" s="12">
        <f>IFERROR(VLOOKUP(Tabela1[[#This Row],[COD.MDE]],'LISTA DE EMBARQUE'!B:L,11,0),"")</f>
        <v>0</v>
      </c>
      <c r="W247" s="13"/>
      <c r="X247" s="14">
        <f>IFERROR(Tabela1[[#This Row],[QIANTIDADE EXPEDIDA]]*Tabela1[[#This Row],[PESO UNI]],"")</f>
        <v>383.4</v>
      </c>
      <c r="Y247" s="14">
        <f t="shared" si="56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53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50"/>
        <v>T-072978-1/1073-TC-007</v>
      </c>
      <c r="AP247" t="str">
        <f>Tabela1[[#This Row],[TAG]]&amp;Tabela1[[#This Row],[PEDIDO]]&amp;Tabela1[[#This Row],[PRODUTO]]</f>
        <v>1073-TC-007P-188RMF</v>
      </c>
      <c r="AQ247" s="22" t="str">
        <f>Tabela1[[#This Row],[PRODUTO]]&amp;Tabela1[[#This Row],[TAG]]</f>
        <v>RMF1073-TC-007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54"/>
        <v>383.4</v>
      </c>
      <c r="AV247" s="37">
        <f t="shared" si="55"/>
        <v>383.4</v>
      </c>
      <c r="AW247" s="37"/>
    </row>
    <row r="248" spans="1:49" ht="15.75" customHeight="1" x14ac:dyDescent="0.25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-4</v>
      </c>
      <c r="R248" s="18">
        <f t="shared" si="51"/>
        <v>1.2</v>
      </c>
      <c r="S248" s="18">
        <f t="shared" si="57"/>
        <v>1.2</v>
      </c>
      <c r="T248" s="19">
        <f t="shared" si="52"/>
        <v>0</v>
      </c>
      <c r="U248" s="204">
        <v>4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1.2</v>
      </c>
      <c r="Y248" s="14">
        <f t="shared" si="56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53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50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54"/>
        <v>1.2</v>
      </c>
      <c r="AV248" s="37">
        <f t="shared" si="55"/>
        <v>1.2</v>
      </c>
      <c r="AW248" s="37"/>
    </row>
    <row r="249" spans="1:49" ht="15.75" customHeight="1" x14ac:dyDescent="0.25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>Tabela1[[#This Row],[QTDE/ Fabricação]]-Tabela1[[#This Row],[QTE]]</f>
        <v>-1</v>
      </c>
      <c r="R249" s="18">
        <f t="shared" si="51"/>
        <v>638</v>
      </c>
      <c r="S249" s="18">
        <f t="shared" si="57"/>
        <v>638</v>
      </c>
      <c r="T249" s="19">
        <f t="shared" si="52"/>
        <v>0</v>
      </c>
      <c r="U249" s="16">
        <v>1</v>
      </c>
      <c r="V249" s="12">
        <f>IFERROR(VLOOKUP(Tabela1[[#This Row],[COD.MDE]],'LISTA DE EMBARQUE'!B:L,11,0),"")</f>
        <v>14</v>
      </c>
      <c r="W249" s="13">
        <f>IFERROR(VLOOKUP(Tabela1[[#This Row],[COD.MDE]],'LISTA DE EMBARQUE'!B:M,12,0),"")</f>
        <v>46261</v>
      </c>
      <c r="X249" s="14">
        <f>IFERROR(Tabela1[[#This Row],[QIANTIDADE EXPEDIDA]]*Tabela1[[#This Row],[PESO UNI]],"")</f>
        <v>638</v>
      </c>
      <c r="Y249" s="14">
        <f t="shared" si="56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53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50"/>
        <v>T-072979-1/1073-TC-006</v>
      </c>
      <c r="AP249" t="str">
        <f>Tabela1[[#This Row],[TAG]]&amp;Tabela1[[#This Row],[PEDIDO]]&amp;Tabela1[[#This Row],[PRODUTO]]</f>
        <v>1073-TC-006P-188RMF</v>
      </c>
      <c r="AQ249" s="22" t="str">
        <f>Tabela1[[#This Row],[PRODUTO]]&amp;Tabela1[[#This Row],[TAG]]</f>
        <v>RMF1073-TC-006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54"/>
        <v>638</v>
      </c>
      <c r="AV249" s="37">
        <f t="shared" si="55"/>
        <v>638</v>
      </c>
      <c r="AW249" s="37"/>
    </row>
    <row r="250" spans="1:49" ht="15.75" customHeight="1" x14ac:dyDescent="0.25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-4</v>
      </c>
      <c r="R250" s="18">
        <f t="shared" si="51"/>
        <v>18</v>
      </c>
      <c r="S250" s="18">
        <f t="shared" si="57"/>
        <v>18</v>
      </c>
      <c r="T250" s="19">
        <f t="shared" si="52"/>
        <v>0</v>
      </c>
      <c r="U250" s="16">
        <v>4</v>
      </c>
      <c r="V250" s="12">
        <f>IFERROR(VLOOKUP(Tabela1[[#This Row],[COD.MDE]],'LISTA DE EMBARQUE'!B:L,11,0),"")</f>
        <v>14</v>
      </c>
      <c r="W250" s="13">
        <f>IFERROR(VLOOKUP(Tabela1[[#This Row],[COD.MDE]],'LISTA DE EMBARQUE'!B:M,12,0),"")</f>
        <v>46261</v>
      </c>
      <c r="X250" s="14">
        <f>IFERROR(Tabela1[[#This Row],[QIANTIDADE EXPEDIDA]]*Tabela1[[#This Row],[PESO UNI]],"")</f>
        <v>18</v>
      </c>
      <c r="Y250" s="14">
        <f t="shared" si="56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53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50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54"/>
        <v>18</v>
      </c>
      <c r="AV250" s="37">
        <f t="shared" si="55"/>
        <v>18</v>
      </c>
      <c r="AW250" s="37"/>
    </row>
    <row r="251" spans="1:49" ht="15.75" customHeight="1" x14ac:dyDescent="0.25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51"/>
        <v>23.2</v>
      </c>
      <c r="S251" s="18">
        <f t="shared" si="57"/>
        <v>23.2</v>
      </c>
      <c r="T251" s="19">
        <f t="shared" si="52"/>
        <v>0</v>
      </c>
      <c r="U251" s="16">
        <v>4</v>
      </c>
      <c r="V251" s="12">
        <f>IFERROR(VLOOKUP(Tabela1[[#This Row],[COD.MDE]],'LISTA DE EMBARQUE'!B:L,11,0),"")</f>
        <v>14</v>
      </c>
      <c r="W251" s="13">
        <f>IFERROR(VLOOKUP(Tabela1[[#This Row],[COD.MDE]],'LISTA DE EMBARQUE'!B:M,12,0),"")</f>
        <v>46261</v>
      </c>
      <c r="X251" s="14">
        <f>IFERROR(Tabela1[[#This Row],[QIANTIDADE EXPEDIDA]]*Tabela1[[#This Row],[PESO UNI]],"")</f>
        <v>23.2</v>
      </c>
      <c r="Y251" s="14">
        <f t="shared" si="56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53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50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54"/>
        <v>23.2</v>
      </c>
      <c r="AV251" s="37">
        <f t="shared" si="55"/>
        <v>23.2</v>
      </c>
      <c r="AW251" s="37"/>
    </row>
    <row r="252" spans="1:49" ht="15.75" customHeight="1" x14ac:dyDescent="0.25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-8</v>
      </c>
      <c r="R252" s="18">
        <f t="shared" si="51"/>
        <v>0.8</v>
      </c>
      <c r="S252" s="18">
        <f t="shared" si="57"/>
        <v>0.8</v>
      </c>
      <c r="T252" s="19">
        <f t="shared" si="52"/>
        <v>0</v>
      </c>
      <c r="U252" s="16">
        <v>8</v>
      </c>
      <c r="V252" s="12">
        <f>IFERROR(VLOOKUP(Tabela1[[#This Row],[COD.MDE]],'LISTA DE EMBARQUE'!B:L,11,0),"")</f>
        <v>14</v>
      </c>
      <c r="W252" s="13">
        <f>IFERROR(VLOOKUP(Tabela1[[#This Row],[COD.MDE]],'LISTA DE EMBARQUE'!B:M,12,0),"")</f>
        <v>46261</v>
      </c>
      <c r="X252" s="14">
        <f>IFERROR(Tabela1[[#This Row],[QIANTIDADE EXPEDIDA]]*Tabela1[[#This Row],[PESO UNI]],"")</f>
        <v>0.8</v>
      </c>
      <c r="Y252" s="14">
        <f t="shared" si="56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53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50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54"/>
        <v>0.8</v>
      </c>
      <c r="AV252" s="37">
        <f t="shared" si="55"/>
        <v>0.8</v>
      </c>
      <c r="AW252" s="37"/>
    </row>
    <row r="253" spans="1:49" ht="15.75" customHeight="1" x14ac:dyDescent="0.25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51"/>
        <v>0.8</v>
      </c>
      <c r="S253" s="18">
        <f t="shared" si="57"/>
        <v>0.8</v>
      </c>
      <c r="T253" s="19">
        <f t="shared" si="52"/>
        <v>0</v>
      </c>
      <c r="U253" s="16">
        <v>8</v>
      </c>
      <c r="V253" s="12">
        <f>IFERROR(VLOOKUP(Tabela1[[#This Row],[COD.MDE]],'LISTA DE EMBARQUE'!B:L,11,0),"")</f>
        <v>14</v>
      </c>
      <c r="W253" s="13">
        <f>IFERROR(VLOOKUP(Tabela1[[#This Row],[COD.MDE]],'LISTA DE EMBARQUE'!B:M,12,0),"")</f>
        <v>46261</v>
      </c>
      <c r="X253" s="14">
        <f>IFERROR(Tabela1[[#This Row],[QIANTIDADE EXPEDIDA]]*Tabela1[[#This Row],[PESO UNI]],"")</f>
        <v>0.8</v>
      </c>
      <c r="Y253" s="14">
        <f t="shared" si="56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53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50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54"/>
        <v>0.8</v>
      </c>
      <c r="AV253" s="37">
        <f t="shared" si="55"/>
        <v>0.8</v>
      </c>
      <c r="AW253" s="37"/>
    </row>
    <row r="254" spans="1:49" ht="15.75" customHeight="1" x14ac:dyDescent="0.25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-4</v>
      </c>
      <c r="R254" s="18">
        <f t="shared" si="51"/>
        <v>0.4</v>
      </c>
      <c r="S254" s="18">
        <f t="shared" si="57"/>
        <v>0.4</v>
      </c>
      <c r="T254" s="19">
        <f t="shared" si="52"/>
        <v>0</v>
      </c>
      <c r="U254" s="16">
        <v>4</v>
      </c>
      <c r="V254" s="12">
        <f>IFERROR(VLOOKUP(Tabela1[[#This Row],[COD.MDE]],'LISTA DE EMBARQUE'!B:L,11,0),"")</f>
        <v>14</v>
      </c>
      <c r="W254" s="13">
        <f>IFERROR(VLOOKUP(Tabela1[[#This Row],[COD.MDE]],'LISTA DE EMBARQUE'!B:M,12,0),"")</f>
        <v>46261</v>
      </c>
      <c r="X254" s="14">
        <f>IFERROR(Tabela1[[#This Row],[QIANTIDADE EXPEDIDA]]*Tabela1[[#This Row],[PESO UNI]],"")</f>
        <v>0.4</v>
      </c>
      <c r="Y254" s="14">
        <f t="shared" si="56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53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50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54"/>
        <v>0.4</v>
      </c>
      <c r="AV254" s="37">
        <f t="shared" si="55"/>
        <v>0.4</v>
      </c>
      <c r="AW254" s="37"/>
    </row>
    <row r="255" spans="1:49" ht="15.75" customHeight="1" x14ac:dyDescent="0.25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51"/>
        <v>0.4</v>
      </c>
      <c r="S255" s="18">
        <f t="shared" si="57"/>
        <v>0.4</v>
      </c>
      <c r="T255" s="19">
        <f t="shared" si="52"/>
        <v>0</v>
      </c>
      <c r="U255" s="16">
        <v>4</v>
      </c>
      <c r="V255" s="12">
        <f>IFERROR(VLOOKUP(Tabela1[[#This Row],[COD.MDE]],'LISTA DE EMBARQUE'!B:L,11,0),"")</f>
        <v>14</v>
      </c>
      <c r="W255" s="13">
        <f>IFERROR(VLOOKUP(Tabela1[[#This Row],[COD.MDE]],'LISTA DE EMBARQUE'!B:M,12,0),"")</f>
        <v>46261</v>
      </c>
      <c r="X255" s="14">
        <f>IFERROR(Tabela1[[#This Row],[QIANTIDADE EXPEDIDA]]*Tabela1[[#This Row],[PESO UNI]],"")</f>
        <v>0.4</v>
      </c>
      <c r="Y255" s="14">
        <f t="shared" si="56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53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50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54"/>
        <v>0.4</v>
      </c>
      <c r="AV255" s="37">
        <f t="shared" si="55"/>
        <v>0.4</v>
      </c>
      <c r="AW255" s="37"/>
    </row>
    <row r="256" spans="1:49" ht="15.75" customHeight="1" x14ac:dyDescent="0.25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-1</v>
      </c>
      <c r="R256" s="18">
        <f t="shared" si="51"/>
        <v>638</v>
      </c>
      <c r="S256" s="18">
        <f t="shared" si="57"/>
        <v>638</v>
      </c>
      <c r="T256" s="19">
        <f t="shared" si="52"/>
        <v>0</v>
      </c>
      <c r="U256" s="16">
        <v>1</v>
      </c>
      <c r="V256" s="12">
        <f>IFERROR(VLOOKUP(Tabela1[[#This Row],[COD.MDE]],'LISTA DE EMBARQUE'!B:L,11,0),"")</f>
        <v>14</v>
      </c>
      <c r="W256" s="13">
        <f>IFERROR(VLOOKUP(Tabela1[[#This Row],[COD.MDE]],'LISTA DE EMBARQUE'!B:M,12,0),"")</f>
        <v>46261</v>
      </c>
      <c r="X256" s="14">
        <f>IFERROR(Tabela1[[#This Row],[QIANTIDADE EXPEDIDA]]*Tabela1[[#This Row],[PESO UNI]],"")</f>
        <v>638</v>
      </c>
      <c r="Y256" s="14">
        <f t="shared" si="56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53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50"/>
        <v>T-072979-1/1073-TC-007</v>
      </c>
      <c r="AP256" t="str">
        <f>Tabela1[[#This Row],[TAG]]&amp;Tabela1[[#This Row],[PEDIDO]]&amp;Tabela1[[#This Row],[PRODUTO]]</f>
        <v>1073-TC-007P-188RMF</v>
      </c>
      <c r="AQ256" s="22" t="str">
        <f>Tabela1[[#This Row],[PRODUTO]]&amp;Tabela1[[#This Row],[TAG]]</f>
        <v>RMF1073-TC-007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54"/>
        <v>638</v>
      </c>
      <c r="AV256" s="37">
        <f t="shared" si="55"/>
        <v>638</v>
      </c>
      <c r="AW256" s="37"/>
    </row>
    <row r="257" spans="1:49" ht="15.75" customHeight="1" x14ac:dyDescent="0.25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-4</v>
      </c>
      <c r="R257" s="18">
        <f t="shared" si="51"/>
        <v>18</v>
      </c>
      <c r="S257" s="18">
        <f t="shared" si="57"/>
        <v>18</v>
      </c>
      <c r="T257" s="19">
        <f t="shared" si="52"/>
        <v>0</v>
      </c>
      <c r="U257" s="16">
        <v>4</v>
      </c>
      <c r="V257" s="12">
        <f>IFERROR(VLOOKUP(Tabela1[[#This Row],[COD.MDE]],'LISTA DE EMBARQUE'!B:L,11,0),"")</f>
        <v>14</v>
      </c>
      <c r="W257" s="13">
        <f>IFERROR(VLOOKUP(Tabela1[[#This Row],[COD.MDE]],'LISTA DE EMBARQUE'!B:M,12,0),"")</f>
        <v>46261</v>
      </c>
      <c r="X257" s="14">
        <f>IFERROR(Tabela1[[#This Row],[QIANTIDADE EXPEDIDA]]*Tabela1[[#This Row],[PESO UNI]],"")</f>
        <v>18</v>
      </c>
      <c r="Y257" s="14">
        <f t="shared" si="56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53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50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54"/>
        <v>18</v>
      </c>
      <c r="AV257" s="37">
        <f t="shared" si="55"/>
        <v>18</v>
      </c>
      <c r="AW257" s="37"/>
    </row>
    <row r="258" spans="1:49" ht="15.75" customHeight="1" x14ac:dyDescent="0.25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51"/>
        <v>23.2</v>
      </c>
      <c r="S258" s="18">
        <f t="shared" si="57"/>
        <v>23.2</v>
      </c>
      <c r="T258" s="19">
        <f t="shared" si="52"/>
        <v>0</v>
      </c>
      <c r="U258" s="16">
        <v>4</v>
      </c>
      <c r="V258" s="12">
        <f>IFERROR(VLOOKUP(Tabela1[[#This Row],[COD.MDE]],'LISTA DE EMBARQUE'!B:L,11,0),"")</f>
        <v>14</v>
      </c>
      <c r="W258" s="13">
        <f>IFERROR(VLOOKUP(Tabela1[[#This Row],[COD.MDE]],'LISTA DE EMBARQUE'!B:M,12,0),"")</f>
        <v>46261</v>
      </c>
      <c r="X258" s="14">
        <f>IFERROR(Tabela1[[#This Row],[QIANTIDADE EXPEDIDA]]*Tabela1[[#This Row],[PESO UNI]],"")</f>
        <v>23.2</v>
      </c>
      <c r="Y258" s="14">
        <f t="shared" si="56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53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50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54"/>
        <v>23.2</v>
      </c>
      <c r="AV258" s="37">
        <f t="shared" si="55"/>
        <v>23.2</v>
      </c>
      <c r="AW258" s="37"/>
    </row>
    <row r="259" spans="1:49" ht="15.75" customHeight="1" x14ac:dyDescent="0.25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-8</v>
      </c>
      <c r="R259" s="18">
        <f t="shared" si="51"/>
        <v>0.8</v>
      </c>
      <c r="S259" s="18">
        <f t="shared" si="57"/>
        <v>0.8</v>
      </c>
      <c r="T259" s="19">
        <f t="shared" si="52"/>
        <v>0</v>
      </c>
      <c r="U259" s="16">
        <v>8</v>
      </c>
      <c r="V259" s="12">
        <f>IFERROR(VLOOKUP(Tabela1[[#This Row],[COD.MDE]],'LISTA DE EMBARQUE'!B:L,11,0),"")</f>
        <v>14</v>
      </c>
      <c r="W259" s="13">
        <f>IFERROR(VLOOKUP(Tabela1[[#This Row],[COD.MDE]],'LISTA DE EMBARQUE'!B:M,12,0),"")</f>
        <v>46261</v>
      </c>
      <c r="X259" s="14">
        <f>IFERROR(Tabela1[[#This Row],[QIANTIDADE EXPEDIDA]]*Tabela1[[#This Row],[PESO UNI]],"")</f>
        <v>0.8</v>
      </c>
      <c r="Y259" s="14">
        <f t="shared" si="56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53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50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54"/>
        <v>0.8</v>
      </c>
      <c r="AV259" s="37">
        <f t="shared" si="55"/>
        <v>0.8</v>
      </c>
      <c r="AW259" s="37"/>
    </row>
    <row r="260" spans="1:49" ht="15.75" customHeight="1" x14ac:dyDescent="0.25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51"/>
        <v>0.8</v>
      </c>
      <c r="S260" s="18">
        <f t="shared" si="57"/>
        <v>0.8</v>
      </c>
      <c r="T260" s="19">
        <f t="shared" si="52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56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53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ref="AO260:AO323" si="58">A260&amp;"/"&amp;J260</f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54"/>
        <v>0.8</v>
      </c>
      <c r="AV260" s="37">
        <f t="shared" si="55"/>
        <v>0.8</v>
      </c>
      <c r="AW260" s="37"/>
    </row>
    <row r="261" spans="1:49" ht="15.75" customHeight="1" x14ac:dyDescent="0.25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-4</v>
      </c>
      <c r="R261" s="18">
        <f t="shared" si="51"/>
        <v>0.4</v>
      </c>
      <c r="S261" s="18">
        <f t="shared" si="57"/>
        <v>0.4</v>
      </c>
      <c r="T261" s="19">
        <f t="shared" si="52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0.4</v>
      </c>
      <c r="Y261" s="14">
        <f t="shared" si="56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53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si="58"/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54"/>
        <v>0.4</v>
      </c>
      <c r="AV261" s="37">
        <f t="shared" si="55"/>
        <v>0.4</v>
      </c>
      <c r="AW261" s="37"/>
    </row>
    <row r="262" spans="1:49" ht="15.75" customHeight="1" x14ac:dyDescent="0.25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51"/>
        <v>0.4</v>
      </c>
      <c r="S262" s="18">
        <f t="shared" si="57"/>
        <v>0.4</v>
      </c>
      <c r="T262" s="19">
        <f t="shared" si="52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56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53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8"/>
        <v>T-072979-1/1073-TC-006</v>
      </c>
      <c r="AP262" t="str">
        <f>Tabela1[[#This Row],[TAG]]&amp;Tabela1[[#This Row],[PEDIDO]]&amp;Tabela1[[#This Row],[PRODUTO]]</f>
        <v>1073-TC-006P-188RMF</v>
      </c>
      <c r="AQ262" s="22" t="str">
        <f>Tabela1[[#This Row],[PRODUTO]]&amp;Tabela1[[#This Row],[TAG]]</f>
        <v>RMF1073-TC-006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54"/>
        <v>0.4</v>
      </c>
      <c r="AV262" s="37">
        <f t="shared" si="55"/>
        <v>0.4</v>
      </c>
      <c r="AW262" s="37"/>
    </row>
    <row r="263" spans="1:49" ht="15.75" customHeight="1" x14ac:dyDescent="0.25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>Tabela1[[#This Row],[QTDE/ Fabricação]]-Tabela1[[#This Row],[QTE]]</f>
        <v>-1</v>
      </c>
      <c r="R263" s="18">
        <f t="shared" si="51"/>
        <v>300.39999999999998</v>
      </c>
      <c r="S263" s="18">
        <f t="shared" si="57"/>
        <v>300.39999999999998</v>
      </c>
      <c r="T263" s="19">
        <f t="shared" si="52"/>
        <v>0</v>
      </c>
      <c r="U263" s="204">
        <v>1</v>
      </c>
      <c r="V263" s="12" t="str">
        <f>IFERROR(VLOOKUP(Tabela1[[#This Row],[COD.MDE]],'LISTA DE EMBARQUE'!B:L,11,0),"")</f>
        <v/>
      </c>
      <c r="W263" s="13"/>
      <c r="X263" s="14">
        <f>IFERROR(Tabela1[[#This Row],[QIANTIDADE EXPEDIDA]]*Tabela1[[#This Row],[PESO UNI]],"")</f>
        <v>300.39999999999998</v>
      </c>
      <c r="Y263" s="14">
        <f t="shared" si="56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53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8"/>
        <v>T-072981-1/1073-TC-006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54"/>
        <v>300.39999999999998</v>
      </c>
      <c r="AV263" s="37">
        <f t="shared" si="55"/>
        <v>300.39999999999998</v>
      </c>
      <c r="AW263" s="37"/>
    </row>
    <row r="264" spans="1:49" ht="15.75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51"/>
        <v>300.39999999999998</v>
      </c>
      <c r="S264" s="18">
        <f t="shared" si="57"/>
        <v>300.39999999999998</v>
      </c>
      <c r="T264" s="19">
        <f t="shared" si="52"/>
        <v>0</v>
      </c>
      <c r="U264" s="204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56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53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8"/>
        <v>T-072981-1/1073-TC-007</v>
      </c>
      <c r="AP264" t="str">
        <f>Tabela1[[#This Row],[TAG]]&amp;Tabela1[[#This Row],[PEDIDO]]&amp;Tabela1[[#This Row],[PRODUTO]]</f>
        <v>1073-TC-007P-188RMF</v>
      </c>
      <c r="AQ264" s="22" t="str">
        <f>Tabela1[[#This Row],[PRODUTO]]&amp;Tabela1[[#This Row],[TAG]]</f>
        <v>RMF1073-TC-007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54"/>
        <v>300.39999999999998</v>
      </c>
      <c r="AV264" s="37">
        <f t="shared" si="55"/>
        <v>300.39999999999998</v>
      </c>
      <c r="AW264" s="37"/>
    </row>
    <row r="265" spans="1:49" ht="15.75" customHeight="1" x14ac:dyDescent="0.25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51"/>
        <v>273.2</v>
      </c>
      <c r="S265" s="18">
        <f t="shared" si="57"/>
        <v>273.2</v>
      </c>
      <c r="T265" s="19">
        <f t="shared" si="52"/>
        <v>0</v>
      </c>
      <c r="U265" s="204">
        <v>1</v>
      </c>
      <c r="V265" s="12">
        <v>13</v>
      </c>
      <c r="W265" s="13"/>
      <c r="X265" s="14">
        <f>IFERROR(Tabela1[[#This Row],[QIANTIDADE EXPEDIDA]]*Tabela1[[#This Row],[PESO UNI]],"")</f>
        <v>273.2</v>
      </c>
      <c r="Y265" s="14">
        <f t="shared" si="56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53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8"/>
        <v>T-072982-1/1073-TC-006</v>
      </c>
      <c r="AP265" t="str">
        <f>Tabela1[[#This Row],[TAG]]&amp;Tabela1[[#This Row],[PEDIDO]]&amp;Tabela1[[#This Row],[PRODUTO]]</f>
        <v>1073-TC-006P-188RMF</v>
      </c>
      <c r="AQ265" s="22" t="str">
        <f>Tabela1[[#This Row],[PRODUTO]]&amp;Tabela1[[#This Row],[TAG]]</f>
        <v>RMF1073-TC-006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54"/>
        <v>273.2</v>
      </c>
      <c r="AV265" s="37">
        <f t="shared" si="55"/>
        <v>273.2</v>
      </c>
      <c r="AW265" s="37"/>
    </row>
    <row r="266" spans="1:49" ht="15.75" customHeight="1" x14ac:dyDescent="0.25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51"/>
        <v>97.8</v>
      </c>
      <c r="S266" s="18">
        <f t="shared" si="57"/>
        <v>97.8</v>
      </c>
      <c r="T266" s="19">
        <f t="shared" si="52"/>
        <v>0</v>
      </c>
      <c r="U266" s="204">
        <v>1</v>
      </c>
      <c r="V266" s="12">
        <v>13</v>
      </c>
      <c r="W266" s="13"/>
      <c r="X266" s="14">
        <f>IFERROR(Tabela1[[#This Row],[QIANTIDADE EXPEDIDA]]*Tabela1[[#This Row],[PESO UNI]],"")</f>
        <v>97.8</v>
      </c>
      <c r="Y266" s="14">
        <f t="shared" si="56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53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8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54"/>
        <v>97.8</v>
      </c>
      <c r="AV266" s="37">
        <f t="shared" si="55"/>
        <v>97.8</v>
      </c>
      <c r="AW266" s="37"/>
    </row>
    <row r="267" spans="1:49" ht="15.75" customHeight="1" x14ac:dyDescent="0.25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51"/>
        <v>273.2</v>
      </c>
      <c r="S267" s="18">
        <f t="shared" si="57"/>
        <v>273.2</v>
      </c>
      <c r="T267" s="19">
        <f t="shared" si="52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>IFERROR(Tabela1[[#This Row],[QIANTIDADE EXPEDIDA]]*Tabela1[[#This Row],[PESO UNI]],"")</f>
        <v>273.2</v>
      </c>
      <c r="Y267" s="14">
        <f t="shared" si="56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53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8"/>
        <v>T-072982-1/1073-TC-007</v>
      </c>
      <c r="AP267" t="str">
        <f>Tabela1[[#This Row],[TAG]]&amp;Tabela1[[#This Row],[PEDIDO]]&amp;Tabela1[[#This Row],[PRODUTO]]</f>
        <v>1073-TC-007P-188RMF</v>
      </c>
      <c r="AQ267" s="22" t="str">
        <f>Tabela1[[#This Row],[PRODUTO]]&amp;Tabela1[[#This Row],[TAG]]</f>
        <v>RMF1073-TC-007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54"/>
        <v>273.2</v>
      </c>
      <c r="AV267" s="37">
        <f t="shared" si="55"/>
        <v>273.2</v>
      </c>
      <c r="AW267" s="37"/>
    </row>
    <row r="268" spans="1:49" ht="15.75" customHeight="1" x14ac:dyDescent="0.25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51"/>
        <v>97.8</v>
      </c>
      <c r="S268" s="18">
        <f t="shared" si="57"/>
        <v>97.8</v>
      </c>
      <c r="T268" s="19">
        <f t="shared" si="52"/>
        <v>0</v>
      </c>
      <c r="U268" s="204">
        <v>1</v>
      </c>
      <c r="V268" s="12">
        <v>13</v>
      </c>
      <c r="W268" s="13"/>
      <c r="X268" s="14">
        <f>IFERROR(Tabela1[[#This Row],[QIANTIDADE EXPEDIDA]]*Tabela1[[#This Row],[PESO UNI]],"")</f>
        <v>97.8</v>
      </c>
      <c r="Y268" s="14">
        <f t="shared" si="56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53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8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54"/>
        <v>97.8</v>
      </c>
      <c r="AV268" s="37">
        <f t="shared" si="55"/>
        <v>97.8</v>
      </c>
      <c r="AW268" s="37"/>
    </row>
    <row r="269" spans="1:49" ht="15.75" customHeight="1" x14ac:dyDescent="0.25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51"/>
        <v>20.350000000000001</v>
      </c>
      <c r="S269" s="18">
        <f t="shared" si="57"/>
        <v>20.350000000000001</v>
      </c>
      <c r="T269" s="19">
        <f t="shared" si="52"/>
        <v>0</v>
      </c>
      <c r="U269" s="204">
        <v>1</v>
      </c>
      <c r="V269" s="12">
        <v>13</v>
      </c>
      <c r="W269" s="13"/>
      <c r="X269" s="14">
        <f>IFERROR(Tabela1[[#This Row],[QIANTIDADE EXPEDIDA]]*Tabela1[[#This Row],[PESO UNI]],"")</f>
        <v>20.350000000000001</v>
      </c>
      <c r="Y269" s="14">
        <f t="shared" si="56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53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8"/>
        <v>T-072983-1/1073-TC-006</v>
      </c>
      <c r="AP269" t="str">
        <f>Tabela1[[#This Row],[TAG]]&amp;Tabela1[[#This Row],[PEDIDO]]&amp;Tabela1[[#This Row],[PRODUTO]]</f>
        <v>1073-TC-006P-188RMF</v>
      </c>
      <c r="AQ269" s="22" t="str">
        <f>Tabela1[[#This Row],[PRODUTO]]&amp;Tabela1[[#This Row],[TAG]]</f>
        <v>RMF1073-TC-006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54"/>
        <v>20.350000000000001</v>
      </c>
      <c r="AV269" s="37">
        <f t="shared" si="55"/>
        <v>20.350000000000001</v>
      </c>
      <c r="AW269" s="37"/>
    </row>
    <row r="270" spans="1:49" ht="15.75" customHeight="1" x14ac:dyDescent="0.25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51"/>
        <v>1</v>
      </c>
      <c r="S270" s="18">
        <f t="shared" si="57"/>
        <v>1</v>
      </c>
      <c r="T270" s="19">
        <f t="shared" si="52"/>
        <v>0</v>
      </c>
      <c r="U270" s="204">
        <v>1</v>
      </c>
      <c r="V270" s="12">
        <v>13</v>
      </c>
      <c r="W270" s="13"/>
      <c r="X270" s="14">
        <f>IFERROR(Tabela1[[#This Row],[QIANTIDADE EXPEDIDA]]*Tabela1[[#This Row],[PESO UNI]],"")</f>
        <v>1</v>
      </c>
      <c r="Y270" s="14">
        <f t="shared" si="56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53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8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54"/>
        <v>1</v>
      </c>
      <c r="AV270" s="37">
        <f t="shared" si="55"/>
        <v>1</v>
      </c>
      <c r="AW270" s="37"/>
    </row>
    <row r="271" spans="1:49" ht="15.75" customHeight="1" x14ac:dyDescent="0.25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51"/>
        <v>20.350000000000001</v>
      </c>
      <c r="S271" s="18">
        <f t="shared" si="57"/>
        <v>20.350000000000001</v>
      </c>
      <c r="T271" s="19">
        <f t="shared" si="52"/>
        <v>0</v>
      </c>
      <c r="U271" s="204">
        <v>1</v>
      </c>
      <c r="V271" s="12">
        <v>13</v>
      </c>
      <c r="W271" s="13"/>
      <c r="X271" s="14">
        <f>IFERROR(Tabela1[[#This Row],[QIANTIDADE EXPEDIDA]]*Tabela1[[#This Row],[PESO UNI]],"")</f>
        <v>20.350000000000001</v>
      </c>
      <c r="Y271" s="14">
        <f t="shared" si="56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53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8"/>
        <v>T-072983-1/1073-TC-007</v>
      </c>
      <c r="AP271" t="str">
        <f>Tabela1[[#This Row],[TAG]]&amp;Tabela1[[#This Row],[PEDIDO]]&amp;Tabela1[[#This Row],[PRODUTO]]</f>
        <v>1073-TC-007P-188RMF</v>
      </c>
      <c r="AQ271" s="22" t="str">
        <f>Tabela1[[#This Row],[PRODUTO]]&amp;Tabela1[[#This Row],[TAG]]</f>
        <v>RMF1073-TC-007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54"/>
        <v>20.350000000000001</v>
      </c>
      <c r="AV271" s="37">
        <f t="shared" si="55"/>
        <v>20.350000000000001</v>
      </c>
      <c r="AW271" s="37"/>
    </row>
    <row r="272" spans="1:49" ht="15.75" customHeight="1" x14ac:dyDescent="0.25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51"/>
        <v>1</v>
      </c>
      <c r="S272" s="18">
        <f t="shared" si="57"/>
        <v>1</v>
      </c>
      <c r="T272" s="19">
        <f t="shared" si="52"/>
        <v>0</v>
      </c>
      <c r="U272" s="204">
        <v>1</v>
      </c>
      <c r="V272" s="12">
        <v>13</v>
      </c>
      <c r="W272" s="13"/>
      <c r="X272" s="14">
        <f>IFERROR(Tabela1[[#This Row],[QIANTIDADE EXPEDIDA]]*Tabela1[[#This Row],[PESO UNI]],"")</f>
        <v>1</v>
      </c>
      <c r="Y272" s="14">
        <f t="shared" si="56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53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8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54"/>
        <v>1</v>
      </c>
      <c r="AV272" s="37">
        <f t="shared" si="55"/>
        <v>1</v>
      </c>
      <c r="AW272" s="37"/>
    </row>
    <row r="273" spans="1:49" ht="15.75" customHeight="1" x14ac:dyDescent="0.25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-30</v>
      </c>
      <c r="R273" s="18">
        <f t="shared" si="51"/>
        <v>266.09999999999997</v>
      </c>
      <c r="S273" s="18">
        <f t="shared" si="57"/>
        <v>266.09999999999997</v>
      </c>
      <c r="T273" s="19">
        <f t="shared" si="52"/>
        <v>0</v>
      </c>
      <c r="U273" s="204">
        <v>30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266.09999999999997</v>
      </c>
      <c r="Y273" s="14">
        <f t="shared" si="56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53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8"/>
        <v>T-072968-1/1073-TC-006/007</v>
      </c>
      <c r="AP273" t="str">
        <f>Tabela1[[#This Row],[TAG]]&amp;Tabela1[[#This Row],[PEDIDO]]&amp;Tabela1[[#This Row],[PRODUTO]]</f>
        <v>1073-TC-006/007P-188RMF</v>
      </c>
      <c r="AQ273" s="22" t="str">
        <f>Tabela1[[#This Row],[PRODUTO]]&amp;Tabela1[[#This Row],[TAG]]</f>
        <v>RMF1073-TC-006/007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54"/>
        <v>266.09999999999997</v>
      </c>
      <c r="AV273" s="37">
        <f t="shared" si="55"/>
        <v>266.09999999999997</v>
      </c>
      <c r="AW273" s="37"/>
    </row>
    <row r="274" spans="1:49" ht="15.75" customHeight="1" x14ac:dyDescent="0.25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51"/>
        <v>266.09999999999997</v>
      </c>
      <c r="S274" s="18">
        <f t="shared" si="57"/>
        <v>266.09999999999997</v>
      </c>
      <c r="T274" s="19">
        <f t="shared" si="52"/>
        <v>0</v>
      </c>
      <c r="U274" s="204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56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53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8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54"/>
        <v>266.09999999999997</v>
      </c>
      <c r="AV274" s="37">
        <f t="shared" si="55"/>
        <v>266.09999999999997</v>
      </c>
      <c r="AW274" s="37"/>
    </row>
    <row r="275" spans="1:49" ht="15.75" customHeight="1" x14ac:dyDescent="0.25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-40</v>
      </c>
      <c r="R275" s="18">
        <f t="shared" si="51"/>
        <v>172.39999999999998</v>
      </c>
      <c r="S275" s="18">
        <f t="shared" si="57"/>
        <v>172.39999999999998</v>
      </c>
      <c r="T275" s="19">
        <f t="shared" si="52"/>
        <v>0</v>
      </c>
      <c r="U275" s="204">
        <v>40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172.39999999999998</v>
      </c>
      <c r="Y275" s="14">
        <f t="shared" si="56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53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8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54"/>
        <v>172.39999999999998</v>
      </c>
      <c r="AV275" s="37">
        <f t="shared" si="55"/>
        <v>172.39999999999998</v>
      </c>
      <c r="AW275" s="37"/>
    </row>
    <row r="276" spans="1:49" ht="15.75" customHeight="1" x14ac:dyDescent="0.25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-10</v>
      </c>
      <c r="R276" s="18">
        <f t="shared" si="51"/>
        <v>836</v>
      </c>
      <c r="S276" s="18">
        <f t="shared" si="57"/>
        <v>836</v>
      </c>
      <c r="T276" s="19">
        <f t="shared" si="52"/>
        <v>0</v>
      </c>
      <c r="U276" s="204">
        <v>10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836</v>
      </c>
      <c r="Y276" s="14">
        <f t="shared" si="56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53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8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54"/>
        <v>836</v>
      </c>
      <c r="AV276" s="37">
        <f t="shared" si="55"/>
        <v>836</v>
      </c>
      <c r="AW276" s="37"/>
    </row>
    <row r="277" spans="1:49" ht="15.75" customHeight="1" x14ac:dyDescent="0.25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51"/>
        <v>836</v>
      </c>
      <c r="S277" s="18">
        <f t="shared" si="57"/>
        <v>836</v>
      </c>
      <c r="T277" s="19">
        <f t="shared" si="52"/>
        <v>0</v>
      </c>
      <c r="U277" s="204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56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53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8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54"/>
        <v>836</v>
      </c>
      <c r="AV277" s="37">
        <f t="shared" si="55"/>
        <v>836</v>
      </c>
      <c r="AW277" s="37"/>
    </row>
    <row r="278" spans="1:49" ht="15.75" customHeight="1" x14ac:dyDescent="0.25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-22</v>
      </c>
      <c r="R278" s="18">
        <f t="shared" si="51"/>
        <v>62.7</v>
      </c>
      <c r="S278" s="18">
        <f t="shared" si="57"/>
        <v>62.7</v>
      </c>
      <c r="T278" s="19">
        <f t="shared" si="52"/>
        <v>0</v>
      </c>
      <c r="U278" s="204">
        <v>22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62.7</v>
      </c>
      <c r="Y278" s="14">
        <f t="shared" si="56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53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8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54"/>
        <v>62.7</v>
      </c>
      <c r="AV278" s="37">
        <f t="shared" si="55"/>
        <v>62.7</v>
      </c>
      <c r="AW278" s="37"/>
    </row>
    <row r="279" spans="1:49" ht="15.75" customHeight="1" x14ac:dyDescent="0.25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</v>
      </c>
      <c r="R279" s="18">
        <f t="shared" si="51"/>
        <v>46</v>
      </c>
      <c r="S279" s="18">
        <f t="shared" si="57"/>
        <v>46</v>
      </c>
      <c r="T279" s="19">
        <f t="shared" si="52"/>
        <v>0</v>
      </c>
      <c r="U279" s="204">
        <v>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46</v>
      </c>
      <c r="Y279" s="14">
        <f t="shared" si="56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53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8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54"/>
        <v>46</v>
      </c>
      <c r="AV279" s="37">
        <f t="shared" si="55"/>
        <v>46</v>
      </c>
      <c r="AW279" s="37"/>
    </row>
    <row r="280" spans="1:49" ht="15.75" customHeight="1" x14ac:dyDescent="0.25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-60</v>
      </c>
      <c r="R280" s="18">
        <f t="shared" si="51"/>
        <v>38.4</v>
      </c>
      <c r="S280" s="18">
        <f t="shared" si="57"/>
        <v>38.4</v>
      </c>
      <c r="T280" s="19">
        <f t="shared" si="52"/>
        <v>0</v>
      </c>
      <c r="U280" s="204">
        <v>60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38.4</v>
      </c>
      <c r="Y280" s="14">
        <f t="shared" si="56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53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8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54"/>
        <v>38.4</v>
      </c>
      <c r="AV280" s="37">
        <f t="shared" si="55"/>
        <v>38.4</v>
      </c>
      <c r="AW280" s="37"/>
    </row>
    <row r="281" spans="1:49" ht="15.75" customHeight="1" x14ac:dyDescent="0.25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>Tabela1[[#This Row],[QTDE/ Fabricação]]-Tabela1[[#This Row],[QTE]]</f>
        <v>-1</v>
      </c>
      <c r="R281" s="18">
        <f t="shared" ref="R281:R344" si="59">IFERROR(H281*((AA281*0.25)+(AC281*0.25)+(AD281*0.225)+(AE281*0.225)+(AF281*0.05)),"")</f>
        <v>466.3</v>
      </c>
      <c r="S281" s="18">
        <f t="shared" si="57"/>
        <v>466.3</v>
      </c>
      <c r="T281" s="19">
        <f t="shared" ref="T281:T344" si="60">IFERROR(S281-H281,"")</f>
        <v>0</v>
      </c>
      <c r="U281" s="204">
        <v>1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466.3</v>
      </c>
      <c r="Y281" s="14">
        <f t="shared" si="56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53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8"/>
        <v>T-072984-1/1073-TC-006</v>
      </c>
      <c r="AP281" t="str">
        <f>Tabela1[[#This Row],[TAG]]&amp;Tabela1[[#This Row],[PEDIDO]]&amp;Tabela1[[#This Row],[PRODUTO]]</f>
        <v>1073-TC-006P-188RMF</v>
      </c>
      <c r="AQ281" s="22" t="str">
        <f>Tabela1[[#This Row],[PRODUTO]]&amp;Tabela1[[#This Row],[TAG]]</f>
        <v>RMF1073-TC-006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54"/>
        <v>466.3</v>
      </c>
      <c r="AV281" s="37">
        <f t="shared" si="55"/>
        <v>466.3</v>
      </c>
      <c r="AW281" s="37"/>
    </row>
    <row r="282" spans="1:49" ht="15.75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si="59"/>
        <v>466.3</v>
      </c>
      <c r="S282" s="18">
        <f t="shared" si="57"/>
        <v>466.3</v>
      </c>
      <c r="T282" s="19">
        <f t="shared" si="60"/>
        <v>0</v>
      </c>
      <c r="U282" s="204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56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53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8"/>
        <v>T-072984-1/1073-TC-007</v>
      </c>
      <c r="AP282" t="str">
        <f>Tabela1[[#This Row],[TAG]]&amp;Tabela1[[#This Row],[PEDIDO]]&amp;Tabela1[[#This Row],[PRODUTO]]</f>
        <v>1073-TC-007P-188RMF</v>
      </c>
      <c r="AQ282" s="22" t="str">
        <f>Tabela1[[#This Row],[PRODUTO]]&amp;Tabela1[[#This Row],[TAG]]</f>
        <v>RMF1073-TC-007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54"/>
        <v>466.3</v>
      </c>
      <c r="AV282" s="37">
        <f t="shared" si="55"/>
        <v>466.3</v>
      </c>
      <c r="AW282" s="37"/>
    </row>
    <row r="283" spans="1:49" ht="15.75" customHeight="1" x14ac:dyDescent="0.25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9"/>
        <v>320.39999999999998</v>
      </c>
      <c r="S283" s="18">
        <f t="shared" si="57"/>
        <v>320.39999999999998</v>
      </c>
      <c r="T283" s="19">
        <f t="shared" si="60"/>
        <v>0</v>
      </c>
      <c r="U283" s="204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320.39999999999998</v>
      </c>
      <c r="Y283" s="14">
        <f t="shared" si="56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si="61">IF(Z283&lt;=0,"ok","")</f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8"/>
        <v>T-072985-1/1073-TC-006</v>
      </c>
      <c r="AP283" t="str">
        <f>Tabela1[[#This Row],[TAG]]&amp;Tabela1[[#This Row],[PEDIDO]]&amp;Tabela1[[#This Row],[PRODUTO]]</f>
        <v>1073-TC-006P-188RMF</v>
      </c>
      <c r="AQ283" s="22" t="str">
        <f>Tabela1[[#This Row],[PRODUTO]]&amp;Tabela1[[#This Row],[TAG]]</f>
        <v>RMF1073-TC-006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54"/>
        <v>320.39999999999998</v>
      </c>
      <c r="AV283" s="37">
        <f t="shared" si="55"/>
        <v>320.39999999999998</v>
      </c>
      <c r="AW283" s="37"/>
    </row>
    <row r="284" spans="1:49" ht="15.75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9"/>
        <v>320.39999999999998</v>
      </c>
      <c r="S284" s="18">
        <f t="shared" si="57"/>
        <v>320.39999999999998</v>
      </c>
      <c r="T284" s="19">
        <f t="shared" si="60"/>
        <v>0</v>
      </c>
      <c r="U284" s="204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56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si="61"/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8"/>
        <v>T-072985-1/1073-TC-007</v>
      </c>
      <c r="AP284" t="str">
        <f>Tabela1[[#This Row],[TAG]]&amp;Tabela1[[#This Row],[PEDIDO]]&amp;Tabela1[[#This Row],[PRODUTO]]</f>
        <v>1073-TC-007P-188RMF</v>
      </c>
      <c r="AQ284" s="22" t="str">
        <f>Tabela1[[#This Row],[PRODUTO]]&amp;Tabela1[[#This Row],[TAG]]</f>
        <v>RMF1073-TC-007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54"/>
        <v>320.39999999999998</v>
      </c>
      <c r="AV284" s="37">
        <f t="shared" si="55"/>
        <v>320.39999999999998</v>
      </c>
      <c r="AW284" s="37"/>
    </row>
    <row r="285" spans="1:49" ht="15.75" customHeight="1" x14ac:dyDescent="0.25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9"/>
        <v>32.9</v>
      </c>
      <c r="S285" s="18">
        <f t="shared" si="57"/>
        <v>32.9</v>
      </c>
      <c r="T285" s="19">
        <f t="shared" si="60"/>
        <v>0</v>
      </c>
      <c r="U285" s="204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32.9</v>
      </c>
      <c r="Y285" s="14">
        <f t="shared" si="56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61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8"/>
        <v>T-072986-1/1073-TC-006</v>
      </c>
      <c r="AP285" t="str">
        <f>Tabela1[[#This Row],[TAG]]&amp;Tabela1[[#This Row],[PEDIDO]]&amp;Tabela1[[#This Row],[PRODUTO]]</f>
        <v>1073-TC-006P-188RMF</v>
      </c>
      <c r="AQ285" s="22" t="str">
        <f>Tabela1[[#This Row],[PRODUTO]]&amp;Tabela1[[#This Row],[TAG]]</f>
        <v>RMF1073-TC-006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54"/>
        <v>32.9</v>
      </c>
      <c r="AV285" s="37">
        <f t="shared" si="55"/>
        <v>32.9</v>
      </c>
      <c r="AW285" s="37"/>
    </row>
    <row r="286" spans="1:49" ht="15.75" customHeight="1" x14ac:dyDescent="0.25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9"/>
        <v>45.6</v>
      </c>
      <c r="S286" s="18">
        <f t="shared" si="57"/>
        <v>45.6</v>
      </c>
      <c r="T286" s="19">
        <f t="shared" si="60"/>
        <v>0</v>
      </c>
      <c r="U286" s="204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45.6</v>
      </c>
      <c r="Y286" s="14">
        <f t="shared" si="56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61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8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54"/>
        <v>45.6</v>
      </c>
      <c r="AV286" s="37">
        <f t="shared" si="55"/>
        <v>45.6</v>
      </c>
      <c r="AW286" s="37"/>
    </row>
    <row r="287" spans="1:49" ht="15.75" customHeight="1" x14ac:dyDescent="0.25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9"/>
        <v>22.2</v>
      </c>
      <c r="S287" s="18">
        <f t="shared" si="57"/>
        <v>22.2</v>
      </c>
      <c r="T287" s="19">
        <f t="shared" si="60"/>
        <v>0</v>
      </c>
      <c r="U287" s="204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22.2</v>
      </c>
      <c r="Y287" s="14">
        <f t="shared" si="56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61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8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54"/>
        <v>22.2</v>
      </c>
      <c r="AV287" s="37">
        <f t="shared" si="55"/>
        <v>22.2</v>
      </c>
      <c r="AW287" s="37"/>
    </row>
    <row r="288" spans="1:49" ht="15.75" customHeight="1" x14ac:dyDescent="0.25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9"/>
        <v>34</v>
      </c>
      <c r="S288" s="18">
        <f t="shared" si="57"/>
        <v>34</v>
      </c>
      <c r="T288" s="19">
        <f t="shared" si="60"/>
        <v>0</v>
      </c>
      <c r="U288" s="204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34</v>
      </c>
      <c r="Y288" s="14">
        <f t="shared" si="56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61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8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54"/>
        <v>34</v>
      </c>
      <c r="AV288" s="37">
        <f t="shared" si="55"/>
        <v>34</v>
      </c>
      <c r="AW288" s="37"/>
    </row>
    <row r="289" spans="1:49" ht="15.75" customHeight="1" x14ac:dyDescent="0.25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9"/>
        <v>10.199999999999999</v>
      </c>
      <c r="S289" s="18">
        <f t="shared" si="57"/>
        <v>10.199999999999999</v>
      </c>
      <c r="T289" s="19">
        <f t="shared" si="60"/>
        <v>0</v>
      </c>
      <c r="U289" s="204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10.199999999999999</v>
      </c>
      <c r="Y289" s="14">
        <f t="shared" si="56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61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8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54"/>
        <v>10.199999999999999</v>
      </c>
      <c r="AV289" s="37">
        <f t="shared" si="55"/>
        <v>10.199999999999999</v>
      </c>
      <c r="AW289" s="37"/>
    </row>
    <row r="290" spans="1:49" ht="15.75" customHeight="1" x14ac:dyDescent="0.25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9"/>
        <v>49.8</v>
      </c>
      <c r="S290" s="18">
        <f t="shared" si="57"/>
        <v>49.8</v>
      </c>
      <c r="T290" s="19">
        <f t="shared" si="60"/>
        <v>0</v>
      </c>
      <c r="U290" s="204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49.8</v>
      </c>
      <c r="Y290" s="14">
        <f t="shared" si="56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61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8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54"/>
        <v>49.8</v>
      </c>
      <c r="AV290" s="37">
        <f t="shared" si="55"/>
        <v>49.8</v>
      </c>
      <c r="AW290" s="37"/>
    </row>
    <row r="291" spans="1:49" ht="15.75" customHeight="1" x14ac:dyDescent="0.25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9"/>
        <v>24.3</v>
      </c>
      <c r="S291" s="18">
        <f t="shared" si="57"/>
        <v>24.3</v>
      </c>
      <c r="T291" s="19">
        <f t="shared" si="60"/>
        <v>0</v>
      </c>
      <c r="U291" s="204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24.3</v>
      </c>
      <c r="Y291" s="14">
        <f t="shared" si="56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61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8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54"/>
        <v>24.3</v>
      </c>
      <c r="AV291" s="37">
        <f t="shared" si="55"/>
        <v>24.3</v>
      </c>
      <c r="AW291" s="37"/>
    </row>
    <row r="292" spans="1:49" ht="15.75" customHeight="1" x14ac:dyDescent="0.25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-4</v>
      </c>
      <c r="R292" s="18">
        <f t="shared" si="59"/>
        <v>108.8</v>
      </c>
      <c r="S292" s="18">
        <f t="shared" si="57"/>
        <v>108.8</v>
      </c>
      <c r="T292" s="19">
        <f t="shared" si="60"/>
        <v>0</v>
      </c>
      <c r="U292" s="16">
        <v>4</v>
      </c>
      <c r="V292" s="12" t="str">
        <f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>IFERROR(Tabela1[[#This Row],[QIANTIDADE EXPEDIDA]]*Tabela1[[#This Row],[PESO UNI]],"")</f>
        <v>108.8</v>
      </c>
      <c r="Y292" s="14">
        <f t="shared" si="56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61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8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ref="AU292:AU355" si="62">IF(AH292="",0,IF(ISTEXT(AH292),H292*VALUE(SUBSTITUTE(AH292,"%",""))/100,H292*AH292))</f>
        <v>108.8</v>
      </c>
      <c r="AV292" s="37">
        <f t="shared" ref="AV292:AV355" si="63">IF(AG292="",0,IF(ISTEXT(AG292),H292*VALUE(SUBSTITUTE(AG292,"%",""))/100,H292*AG292))</f>
        <v>108.8</v>
      </c>
      <c r="AW292" s="37"/>
    </row>
    <row r="293" spans="1:49" ht="15.75" customHeight="1" x14ac:dyDescent="0.25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-1</v>
      </c>
      <c r="R293" s="18">
        <f t="shared" si="59"/>
        <v>32.9</v>
      </c>
      <c r="S293" s="18">
        <f t="shared" si="57"/>
        <v>32.9</v>
      </c>
      <c r="T293" s="19">
        <f t="shared" si="60"/>
        <v>0</v>
      </c>
      <c r="U293" s="204">
        <v>1</v>
      </c>
      <c r="V293" s="12" t="str">
        <f>IFERROR(VLOOKUP(Tabela1[[#This Row],[COD.MDE]],'LISTA DE EMBARQUE'!B:L,11,0),"")</f>
        <v/>
      </c>
      <c r="W293" s="13"/>
      <c r="X293" s="14">
        <f>IFERROR(Tabela1[[#This Row],[QIANTIDADE EXPEDIDA]]*Tabela1[[#This Row],[PESO UNI]],"")</f>
        <v>32.9</v>
      </c>
      <c r="Y293" s="14">
        <f t="shared" si="56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61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8"/>
        <v>T-072986-1/1073-TC-007</v>
      </c>
      <c r="AP293" t="str">
        <f>Tabela1[[#This Row],[TAG]]&amp;Tabela1[[#This Row],[PEDIDO]]&amp;Tabela1[[#This Row],[PRODUTO]]</f>
        <v>1073-TC-007P-188RMF</v>
      </c>
      <c r="AQ293" s="22" t="str">
        <f>Tabela1[[#This Row],[PRODUTO]]&amp;Tabela1[[#This Row],[TAG]]</f>
        <v>RMF1073-TC-007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si="62"/>
        <v>32.9</v>
      </c>
      <c r="AV293" s="37">
        <f t="shared" si="63"/>
        <v>32.9</v>
      </c>
      <c r="AW293" s="37"/>
    </row>
    <row r="294" spans="1:49" ht="15.75" customHeight="1" x14ac:dyDescent="0.25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9"/>
        <v>45.6</v>
      </c>
      <c r="S294" s="18">
        <f t="shared" si="57"/>
        <v>45.6</v>
      </c>
      <c r="T294" s="19">
        <f t="shared" si="60"/>
        <v>0</v>
      </c>
      <c r="U294" s="204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45.6</v>
      </c>
      <c r="Y294" s="14">
        <f t="shared" si="56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61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8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62"/>
        <v>45.6</v>
      </c>
      <c r="AV294" s="37">
        <f t="shared" si="63"/>
        <v>45.6</v>
      </c>
      <c r="AW294" s="37"/>
    </row>
    <row r="295" spans="1:49" ht="15.75" customHeight="1" x14ac:dyDescent="0.25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9"/>
        <v>22.2</v>
      </c>
      <c r="S295" s="18">
        <f t="shared" si="57"/>
        <v>22.2</v>
      </c>
      <c r="T295" s="19">
        <f t="shared" si="60"/>
        <v>0</v>
      </c>
      <c r="U295" s="204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22.2</v>
      </c>
      <c r="Y295" s="14">
        <f t="shared" si="56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61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8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62"/>
        <v>22.2</v>
      </c>
      <c r="AV295" s="37">
        <f t="shared" si="63"/>
        <v>22.2</v>
      </c>
      <c r="AW295" s="37"/>
    </row>
    <row r="296" spans="1:49" ht="15.75" customHeight="1" x14ac:dyDescent="0.25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9"/>
        <v>34</v>
      </c>
      <c r="S296" s="18">
        <f t="shared" si="57"/>
        <v>34</v>
      </c>
      <c r="T296" s="19">
        <f t="shared" si="60"/>
        <v>0</v>
      </c>
      <c r="U296" s="204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34</v>
      </c>
      <c r="Y296" s="14">
        <f t="shared" si="56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61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8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62"/>
        <v>34</v>
      </c>
      <c r="AV296" s="37">
        <f t="shared" si="63"/>
        <v>34</v>
      </c>
      <c r="AW296" s="37"/>
    </row>
    <row r="297" spans="1:49" ht="15.75" customHeight="1" x14ac:dyDescent="0.25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9"/>
        <v>10.199999999999999</v>
      </c>
      <c r="S297" s="18">
        <f t="shared" si="57"/>
        <v>10.199999999999999</v>
      </c>
      <c r="T297" s="19">
        <f t="shared" si="60"/>
        <v>0</v>
      </c>
      <c r="U297" s="204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10.199999999999999</v>
      </c>
      <c r="Y297" s="14">
        <f t="shared" si="56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61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8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62"/>
        <v>10.199999999999999</v>
      </c>
      <c r="AV297" s="37">
        <f t="shared" si="63"/>
        <v>10.199999999999999</v>
      </c>
      <c r="AW297" s="37"/>
    </row>
    <row r="298" spans="1:49" ht="15.75" customHeight="1" x14ac:dyDescent="0.25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9"/>
        <v>49.8</v>
      </c>
      <c r="S298" s="18">
        <f t="shared" si="57"/>
        <v>49.8</v>
      </c>
      <c r="T298" s="19">
        <f t="shared" si="60"/>
        <v>0</v>
      </c>
      <c r="U298" s="204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49.8</v>
      </c>
      <c r="Y298" s="14">
        <f t="shared" si="56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61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8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62"/>
        <v>49.8</v>
      </c>
      <c r="AV298" s="37">
        <f t="shared" si="63"/>
        <v>49.8</v>
      </c>
      <c r="AW298" s="37"/>
    </row>
    <row r="299" spans="1:49" ht="15.75" customHeight="1" x14ac:dyDescent="0.25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9"/>
        <v>24.3</v>
      </c>
      <c r="S299" s="18">
        <f t="shared" si="57"/>
        <v>24.3</v>
      </c>
      <c r="T299" s="19">
        <f t="shared" si="60"/>
        <v>0</v>
      </c>
      <c r="U299" s="204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24.3</v>
      </c>
      <c r="Y299" s="14">
        <f t="shared" si="56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61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8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62"/>
        <v>24.3</v>
      </c>
      <c r="AV299" s="37">
        <f t="shared" si="63"/>
        <v>24.3</v>
      </c>
      <c r="AW299" s="37"/>
    </row>
    <row r="300" spans="1:49" ht="15.75" customHeight="1" x14ac:dyDescent="0.25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-4</v>
      </c>
      <c r="R300" s="18">
        <f t="shared" si="59"/>
        <v>108.8</v>
      </c>
      <c r="S300" s="18">
        <f t="shared" si="57"/>
        <v>108.8</v>
      </c>
      <c r="T300" s="19">
        <f t="shared" si="60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>IFERROR(Tabela1[[#This Row],[QIANTIDADE EXPEDIDA]]*Tabela1[[#This Row],[PESO UNI]],"")</f>
        <v>108.8</v>
      </c>
      <c r="Y300" s="14">
        <f t="shared" si="56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61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8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62"/>
        <v>108.8</v>
      </c>
      <c r="AV300" s="37">
        <f t="shared" si="63"/>
        <v>108.8</v>
      </c>
      <c r="AW300" s="37"/>
    </row>
    <row r="301" spans="1:49" ht="15.75" customHeight="1" x14ac:dyDescent="0.25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>Tabela1[[#This Row],[QTDE/ Fabricação]]-Tabela1[[#This Row],[QTE]]</f>
        <v>-2</v>
      </c>
      <c r="R301" s="18">
        <f t="shared" si="59"/>
        <v>216.4</v>
      </c>
      <c r="S301" s="18">
        <f t="shared" si="57"/>
        <v>216.4</v>
      </c>
      <c r="T301" s="19">
        <f t="shared" si="60"/>
        <v>0</v>
      </c>
      <c r="U301" s="204">
        <v>2</v>
      </c>
      <c r="V301" s="12" t="str">
        <f>IFERROR(VLOOKUP(Tabela1[[#This Row],[COD.MDE]],'LISTA DE EMBARQUE'!B:L,11,0),"")</f>
        <v/>
      </c>
      <c r="W301" s="13"/>
      <c r="X301" s="14">
        <f>IFERROR(Tabela1[[#This Row],[QIANTIDADE EXPEDIDA]]*Tabela1[[#This Row],[PESO UNI]],"")</f>
        <v>216.4</v>
      </c>
      <c r="Y301" s="14">
        <f t="shared" si="56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61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8"/>
        <v>T-072975-1/1073-TC-006</v>
      </c>
      <c r="AP301" t="str">
        <f>Tabela1[[#This Row],[TAG]]&amp;Tabela1[[#This Row],[PEDIDO]]&amp;Tabela1[[#This Row],[PRODUTO]]</f>
        <v>1073-TC-006P-188RMF</v>
      </c>
      <c r="AQ301" s="22" t="str">
        <f>Tabela1[[#This Row],[PRODUTO]]&amp;Tabela1[[#This Row],[TAG]]</f>
        <v>RMF1073-TC-006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62"/>
        <v>216.4</v>
      </c>
      <c r="AV301" s="37">
        <f t="shared" si="63"/>
        <v>216.4</v>
      </c>
      <c r="AW301" s="37"/>
    </row>
    <row r="302" spans="1:49" ht="15.75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9"/>
        <v>216.4</v>
      </c>
      <c r="S302" s="18">
        <f t="shared" si="57"/>
        <v>216.4</v>
      </c>
      <c r="T302" s="19">
        <f t="shared" si="60"/>
        <v>0</v>
      </c>
      <c r="U302" s="204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56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61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8"/>
        <v>T-072975-1/1073-TC-007</v>
      </c>
      <c r="AP302" t="str">
        <f>Tabela1[[#This Row],[TAG]]&amp;Tabela1[[#This Row],[PEDIDO]]&amp;Tabela1[[#This Row],[PRODUTO]]</f>
        <v>1073-TC-007P-188RMF</v>
      </c>
      <c r="AQ302" s="22" t="str">
        <f>Tabela1[[#This Row],[PRODUTO]]&amp;Tabela1[[#This Row],[TAG]]</f>
        <v>RMF1073-TC-007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62"/>
        <v>216.4</v>
      </c>
      <c r="AV302" s="37">
        <f t="shared" si="63"/>
        <v>216.4</v>
      </c>
      <c r="AW302" s="37"/>
    </row>
    <row r="303" spans="1:49" ht="15.75" customHeight="1" x14ac:dyDescent="0.25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>Tabela1[[#This Row],[QTDE/ Fabricação]]-Tabela1[[#This Row],[QTE]]</f>
        <v>-76</v>
      </c>
      <c r="R303" s="18">
        <f t="shared" si="59"/>
        <v>106.39999999999999</v>
      </c>
      <c r="S303" s="18">
        <f t="shared" si="57"/>
        <v>106.39999999999999</v>
      </c>
      <c r="T303" s="19">
        <f t="shared" si="60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>IFERROR(Tabela1[[#This Row],[QIANTIDADE EXPEDIDA]]*Tabela1[[#This Row],[PESO UNI]],"")</f>
        <v>106.39999999999999</v>
      </c>
      <c r="Y303" s="14">
        <f t="shared" si="56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61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8"/>
        <v>T-072928-1/1073-TC-006</v>
      </c>
      <c r="AP303" t="str">
        <f>Tabela1[[#This Row],[TAG]]&amp;Tabela1[[#This Row],[PEDIDO]]&amp;Tabela1[[#This Row],[PRODUTO]]</f>
        <v>1073-TC-006P-188RMF</v>
      </c>
      <c r="AQ303" s="22" t="str">
        <f>Tabela1[[#This Row],[PRODUTO]]&amp;Tabela1[[#This Row],[TAG]]</f>
        <v>RMF1073-TC-006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62"/>
        <v>106.39999999999999</v>
      </c>
      <c r="AV303" s="37">
        <f t="shared" si="63"/>
        <v>106.39999999999999</v>
      </c>
      <c r="AW303" s="37"/>
    </row>
    <row r="304" spans="1:49" ht="15.75" customHeight="1" x14ac:dyDescent="0.25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-8</v>
      </c>
      <c r="R304" s="18">
        <f t="shared" si="59"/>
        <v>22.4</v>
      </c>
      <c r="S304" s="18">
        <f t="shared" si="57"/>
        <v>22.4</v>
      </c>
      <c r="T304" s="19">
        <f t="shared" si="60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22.4</v>
      </c>
      <c r="Y304" s="14">
        <f t="shared" si="56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61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8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62"/>
        <v>22.4</v>
      </c>
      <c r="AV304" s="37">
        <f t="shared" si="63"/>
        <v>22.4</v>
      </c>
      <c r="AW304" s="37"/>
    </row>
    <row r="305" spans="1:49" ht="15.75" customHeight="1" x14ac:dyDescent="0.25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-2</v>
      </c>
      <c r="R305" s="18">
        <f t="shared" si="59"/>
        <v>34.6</v>
      </c>
      <c r="S305" s="18">
        <f t="shared" si="57"/>
        <v>34.6</v>
      </c>
      <c r="T305" s="19">
        <f t="shared" si="60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34.6</v>
      </c>
      <c r="Y305" s="14">
        <f t="shared" si="56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61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8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62"/>
        <v>34.6</v>
      </c>
      <c r="AV305" s="37">
        <f t="shared" si="63"/>
        <v>34.6</v>
      </c>
      <c r="AW305" s="37"/>
    </row>
    <row r="306" spans="1:49" ht="15.75" customHeight="1" x14ac:dyDescent="0.25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-4</v>
      </c>
      <c r="R306" s="18">
        <f t="shared" si="59"/>
        <v>91.2</v>
      </c>
      <c r="S306" s="18">
        <f t="shared" si="57"/>
        <v>91.2</v>
      </c>
      <c r="T306" s="19">
        <f t="shared" si="60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91.2</v>
      </c>
      <c r="Y306" s="14">
        <f t="shared" si="56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61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8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01" t="str">
        <f>Tabela1[[#This Row],[PEDIDO]]&amp;Tabela1[[#This Row],[PRODUTO]]</f>
        <v>P-188RMF</v>
      </c>
      <c r="AS306" s="32">
        <f>IF(AF306="",0,IF(ISTEXT(AF306),H306*VALUE(SUBSTITUTE(AF306,"%",""))/100,H306*AF306))-Tabela1[[#This Row],[PRONTO ACABADO2]]</f>
        <v>0</v>
      </c>
      <c r="AT306" s="32">
        <f>IF(AG306="",0,IF(ISTEXT(AG306),H306*VALUE(SUBSTITUTE(AG306,"%",""))/100,H306*AG306))-Tabela1[[#This Row],[PESO EXPEDIDO2]]</f>
        <v>0</v>
      </c>
      <c r="AU306" s="32">
        <f t="shared" si="62"/>
        <v>91.2</v>
      </c>
      <c r="AV306" s="32">
        <f t="shared" si="63"/>
        <v>91.2</v>
      </c>
      <c r="AW306" s="32"/>
    </row>
    <row r="307" spans="1:49" ht="15.75" customHeight="1" x14ac:dyDescent="0.25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-2</v>
      </c>
      <c r="R307" s="18">
        <f t="shared" si="59"/>
        <v>34.200000000000003</v>
      </c>
      <c r="S307" s="18">
        <f t="shared" si="57"/>
        <v>34.200000000000003</v>
      </c>
      <c r="T307" s="19">
        <f t="shared" si="60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34.200000000000003</v>
      </c>
      <c r="Y307" s="14">
        <f t="shared" si="56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61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8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4" t="str">
        <f>Tabela1[[#This Row],[PEDIDO]]&amp;Tabela1[[#This Row],[PRODUTO]]</f>
        <v>P-188RMF</v>
      </c>
      <c r="AS307" s="37">
        <f>IF(AF307="",0,IF(ISTEXT(AF307),H307*VALUE(SUBSTITUTE(AF307,"%",""))/100,H307*AF307))-Tabela1[[#This Row],[PRONTO ACABADO2]]</f>
        <v>0</v>
      </c>
      <c r="AT307" s="37">
        <f>IF(AG307="",0,IF(ISTEXT(AG307),H307*VALUE(SUBSTITUTE(AG307,"%",""))/100,H307*AG307))-Tabela1[[#This Row],[PESO EXPEDIDO2]]</f>
        <v>0</v>
      </c>
      <c r="AU307" s="37">
        <f t="shared" si="62"/>
        <v>34.200000000000003</v>
      </c>
      <c r="AV307" s="37">
        <f t="shared" si="63"/>
        <v>34.200000000000003</v>
      </c>
      <c r="AW307" s="37"/>
    </row>
    <row r="308" spans="1:49" ht="15.75" customHeight="1" x14ac:dyDescent="0.25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-4</v>
      </c>
      <c r="R308" s="18">
        <f t="shared" si="59"/>
        <v>52.4</v>
      </c>
      <c r="S308" s="18">
        <f t="shared" si="57"/>
        <v>52.4</v>
      </c>
      <c r="T308" s="19">
        <f t="shared" si="60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52.4</v>
      </c>
      <c r="Y308" s="14">
        <f t="shared" ref="Y308:Y354" si="64">U308-C308</f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61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8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62"/>
        <v>52.4</v>
      </c>
      <c r="AV308" s="37">
        <f t="shared" si="63"/>
        <v>52.4</v>
      </c>
      <c r="AW308" s="37"/>
    </row>
    <row r="309" spans="1:49" ht="15.75" customHeight="1" x14ac:dyDescent="0.25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-76</v>
      </c>
      <c r="R309" s="18">
        <f t="shared" si="59"/>
        <v>106.39999999999999</v>
      </c>
      <c r="S309" s="18">
        <f t="shared" ref="S309:S372" si="65">IFERROR(H309*AG309,"")</f>
        <v>106.39999999999999</v>
      </c>
      <c r="T309" s="19">
        <f t="shared" si="60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106.39999999999999</v>
      </c>
      <c r="Y309" s="14">
        <f t="shared" si="64"/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61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8"/>
        <v>T-072928-1/1073-TC-007</v>
      </c>
      <c r="AP309" t="str">
        <f>Tabela1[[#This Row],[TAG]]&amp;Tabela1[[#This Row],[PEDIDO]]&amp;Tabela1[[#This Row],[PRODUTO]]</f>
        <v>1073-TC-007P-188RMF</v>
      </c>
      <c r="AQ309" s="22" t="str">
        <f>Tabela1[[#This Row],[PRODUTO]]&amp;Tabela1[[#This Row],[TAG]]</f>
        <v>RMF1073-TC-007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62"/>
        <v>106.39999999999999</v>
      </c>
      <c r="AV309" s="37">
        <f t="shared" si="63"/>
        <v>106.39999999999999</v>
      </c>
      <c r="AW309" s="37"/>
    </row>
    <row r="310" spans="1:49" ht="15.75" customHeight="1" x14ac:dyDescent="0.25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-8</v>
      </c>
      <c r="R310" s="18">
        <f t="shared" si="59"/>
        <v>19.2</v>
      </c>
      <c r="S310" s="18">
        <f t="shared" si="65"/>
        <v>19.2</v>
      </c>
      <c r="T310" s="19">
        <f t="shared" si="60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19.2</v>
      </c>
      <c r="Y310" s="14">
        <f t="shared" si="64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61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8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62"/>
        <v>19.2</v>
      </c>
      <c r="AV310" s="37">
        <f t="shared" si="63"/>
        <v>19.2</v>
      </c>
      <c r="AW310" s="37"/>
    </row>
    <row r="311" spans="1:49" ht="15.75" customHeight="1" x14ac:dyDescent="0.25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-2</v>
      </c>
      <c r="R311" s="18">
        <f t="shared" si="59"/>
        <v>34.6</v>
      </c>
      <c r="S311" s="18">
        <f t="shared" si="65"/>
        <v>34.6</v>
      </c>
      <c r="T311" s="19">
        <f t="shared" si="60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34.6</v>
      </c>
      <c r="Y311" s="14">
        <f t="shared" si="64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61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8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62"/>
        <v>34.6</v>
      </c>
      <c r="AV311" s="37">
        <f t="shared" si="63"/>
        <v>34.6</v>
      </c>
      <c r="AW311" s="37"/>
    </row>
    <row r="312" spans="1:49" ht="15.75" customHeight="1" x14ac:dyDescent="0.25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-4</v>
      </c>
      <c r="R312" s="18">
        <f t="shared" si="59"/>
        <v>91.2</v>
      </c>
      <c r="S312" s="18">
        <f t="shared" si="65"/>
        <v>91.2</v>
      </c>
      <c r="T312" s="19">
        <f t="shared" si="60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91.2</v>
      </c>
      <c r="Y312" s="14">
        <f t="shared" si="64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61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8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62"/>
        <v>91.2</v>
      </c>
      <c r="AV312" s="37">
        <f t="shared" si="63"/>
        <v>91.2</v>
      </c>
      <c r="AW312" s="37"/>
    </row>
    <row r="313" spans="1:49" ht="15.75" customHeight="1" x14ac:dyDescent="0.25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-2</v>
      </c>
      <c r="R313" s="18">
        <f t="shared" si="59"/>
        <v>34.200000000000003</v>
      </c>
      <c r="S313" s="18">
        <f t="shared" si="65"/>
        <v>34.200000000000003</v>
      </c>
      <c r="T313" s="19">
        <f t="shared" si="60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34.200000000000003</v>
      </c>
      <c r="Y313" s="14">
        <f t="shared" si="64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61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8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62"/>
        <v>34.200000000000003</v>
      </c>
      <c r="AV313" s="37">
        <f t="shared" si="63"/>
        <v>34.200000000000003</v>
      </c>
      <c r="AW313" s="37"/>
    </row>
    <row r="314" spans="1:49" ht="15.75" customHeight="1" x14ac:dyDescent="0.25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-4</v>
      </c>
      <c r="R314" s="18">
        <f t="shared" si="59"/>
        <v>52.4</v>
      </c>
      <c r="S314" s="18">
        <f t="shared" si="65"/>
        <v>52.4</v>
      </c>
      <c r="T314" s="19">
        <f t="shared" si="60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52.4</v>
      </c>
      <c r="Y314" s="14">
        <f t="shared" si="64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61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8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62"/>
        <v>52.4</v>
      </c>
      <c r="AV314" s="37">
        <f t="shared" si="63"/>
        <v>52.4</v>
      </c>
      <c r="AW314" s="37"/>
    </row>
    <row r="315" spans="1:49" ht="15.75" customHeight="1" x14ac:dyDescent="0.25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>Tabela1[[#This Row],[QTDE/ Fabricação]]-Tabela1[[#This Row],[QTE]]</f>
        <v>-1</v>
      </c>
      <c r="R315" s="18">
        <f t="shared" si="59"/>
        <v>96.4</v>
      </c>
      <c r="S315" s="18">
        <f t="shared" si="65"/>
        <v>96.4</v>
      </c>
      <c r="T315" s="19">
        <f t="shared" si="60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96.4</v>
      </c>
      <c r="Y315" s="14">
        <f t="shared" si="64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61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8"/>
        <v>T-072989-1/1073-TC-006</v>
      </c>
      <c r="AP315" t="str">
        <f>Tabela1[[#This Row],[TAG]]&amp;Tabela1[[#This Row],[PEDIDO]]&amp;Tabela1[[#This Row],[PRODUTO]]</f>
        <v>1073-TC-006P-188RMF</v>
      </c>
      <c r="AQ315" s="22" t="str">
        <f>Tabela1[[#This Row],[PRODUTO]]&amp;Tabela1[[#This Row],[TAG]]</f>
        <v>RMF1073-TC-006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62"/>
        <v>96.4</v>
      </c>
      <c r="AV315" s="37">
        <f t="shared" si="63"/>
        <v>96.4</v>
      </c>
      <c r="AW315" s="37"/>
    </row>
    <row r="316" spans="1:49" ht="15.75" customHeight="1" x14ac:dyDescent="0.25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9"/>
        <v>25.2</v>
      </c>
      <c r="S316" s="18">
        <f t="shared" si="65"/>
        <v>25.2</v>
      </c>
      <c r="T316" s="19">
        <f t="shared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25.2</v>
      </c>
      <c r="Y316" s="14">
        <f t="shared" si="64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61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8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62"/>
        <v>25.2</v>
      </c>
      <c r="AV316" s="37">
        <f t="shared" si="63"/>
        <v>25.2</v>
      </c>
      <c r="AW316" s="37"/>
    </row>
    <row r="317" spans="1:49" ht="15.75" customHeight="1" x14ac:dyDescent="0.25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-2</v>
      </c>
      <c r="R317" s="18">
        <f t="shared" si="59"/>
        <v>4</v>
      </c>
      <c r="S317" s="18">
        <f t="shared" si="65"/>
        <v>4</v>
      </c>
      <c r="T317" s="19">
        <f t="shared" si="60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4</v>
      </c>
      <c r="Y317" s="14">
        <f t="shared" si="64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61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8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62"/>
        <v>4</v>
      </c>
      <c r="AV317" s="37">
        <f t="shared" si="63"/>
        <v>4</v>
      </c>
      <c r="AW317" s="37"/>
    </row>
    <row r="318" spans="1:49" ht="15.75" customHeight="1" x14ac:dyDescent="0.25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-1</v>
      </c>
      <c r="R318" s="18">
        <f t="shared" si="59"/>
        <v>96.4</v>
      </c>
      <c r="S318" s="18">
        <f t="shared" si="65"/>
        <v>96.4</v>
      </c>
      <c r="T318" s="19">
        <f t="shared" si="60"/>
        <v>0</v>
      </c>
      <c r="U318" s="16">
        <v>1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96.4</v>
      </c>
      <c r="Y318" s="14">
        <f t="shared" si="64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61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8"/>
        <v>T-072989-1/1073-TC-007</v>
      </c>
      <c r="AP318" t="str">
        <f>Tabela1[[#This Row],[TAG]]&amp;Tabela1[[#This Row],[PEDIDO]]&amp;Tabela1[[#This Row],[PRODUTO]]</f>
        <v>1073-TC-007P-188RMF</v>
      </c>
      <c r="AQ318" s="22" t="str">
        <f>Tabela1[[#This Row],[PRODUTO]]&amp;Tabela1[[#This Row],[TAG]]</f>
        <v>RMF1073-TC-007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62"/>
        <v>96.4</v>
      </c>
      <c r="AV318" s="37">
        <f t="shared" si="63"/>
        <v>96.4</v>
      </c>
      <c r="AW318" s="37"/>
    </row>
    <row r="319" spans="1:49" ht="15.75" customHeight="1" x14ac:dyDescent="0.25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9"/>
        <v>25.2</v>
      </c>
      <c r="S319" s="18">
        <f t="shared" si="65"/>
        <v>25.2</v>
      </c>
      <c r="T319" s="19">
        <f t="shared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25.2</v>
      </c>
      <c r="Y319" s="14">
        <f t="shared" si="64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61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8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62"/>
        <v>25.2</v>
      </c>
      <c r="AV319" s="37">
        <f t="shared" si="63"/>
        <v>25.2</v>
      </c>
      <c r="AW319" s="37"/>
    </row>
    <row r="320" spans="1:49" ht="15.75" customHeight="1" x14ac:dyDescent="0.25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-2</v>
      </c>
      <c r="R320" s="18">
        <f t="shared" si="59"/>
        <v>4</v>
      </c>
      <c r="S320" s="18">
        <f t="shared" si="65"/>
        <v>4</v>
      </c>
      <c r="T320" s="19">
        <f t="shared" si="60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4</v>
      </c>
      <c r="Y320" s="14">
        <f t="shared" si="64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61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8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62"/>
        <v>4</v>
      </c>
      <c r="AV320" s="37">
        <f t="shared" si="63"/>
        <v>4</v>
      </c>
      <c r="AW320" s="37"/>
    </row>
    <row r="321" spans="1:49" ht="15.75" customHeight="1" x14ac:dyDescent="0.25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>Tabela1[[#This Row],[QTDE/ Fabricação]]-Tabela1[[#This Row],[QTE]]</f>
        <v>-1</v>
      </c>
      <c r="R321" s="18">
        <f t="shared" si="59"/>
        <v>97.6</v>
      </c>
      <c r="S321" s="18">
        <f t="shared" si="65"/>
        <v>97.6</v>
      </c>
      <c r="T321" s="19">
        <f t="shared" si="60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97.6</v>
      </c>
      <c r="Y321" s="14">
        <f t="shared" si="64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61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8"/>
        <v>T-072990-1/1073-TC-006</v>
      </c>
      <c r="AP321" t="str">
        <f>Tabela1[[#This Row],[TAG]]&amp;Tabela1[[#This Row],[PEDIDO]]&amp;Tabela1[[#This Row],[PRODUTO]]</f>
        <v>1073-TC-006P-188RMF</v>
      </c>
      <c r="AQ321" s="22" t="str">
        <f>Tabela1[[#This Row],[PRODUTO]]&amp;Tabela1[[#This Row],[TAG]]</f>
        <v>RMF1073-TC-006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62"/>
        <v>97.6</v>
      </c>
      <c r="AV321" s="37">
        <f t="shared" si="63"/>
        <v>97.6</v>
      </c>
      <c r="AW321" s="37"/>
    </row>
    <row r="322" spans="1:49" ht="15.75" customHeight="1" x14ac:dyDescent="0.25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9"/>
        <v>25.2</v>
      </c>
      <c r="S322" s="18">
        <f t="shared" si="65"/>
        <v>25.2</v>
      </c>
      <c r="T322" s="19">
        <f t="shared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25.2</v>
      </c>
      <c r="Y322" s="14">
        <f t="shared" si="64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61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8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62"/>
        <v>25.2</v>
      </c>
      <c r="AV322" s="37">
        <f t="shared" si="63"/>
        <v>25.2</v>
      </c>
      <c r="AW322" s="37"/>
    </row>
    <row r="323" spans="1:49" ht="15.75" customHeight="1" x14ac:dyDescent="0.25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-2</v>
      </c>
      <c r="R323" s="18">
        <f t="shared" si="59"/>
        <v>4</v>
      </c>
      <c r="S323" s="18">
        <f t="shared" si="65"/>
        <v>4</v>
      </c>
      <c r="T323" s="19">
        <f t="shared" si="60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4</v>
      </c>
      <c r="Y323" s="14">
        <f t="shared" si="64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61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8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62"/>
        <v>4</v>
      </c>
      <c r="AV323" s="37">
        <f t="shared" si="63"/>
        <v>4</v>
      </c>
      <c r="AW323" s="37"/>
    </row>
    <row r="324" spans="1:49" ht="15.75" customHeight="1" x14ac:dyDescent="0.25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-1</v>
      </c>
      <c r="R324" s="18">
        <f t="shared" si="59"/>
        <v>97.6</v>
      </c>
      <c r="S324" s="18">
        <f t="shared" si="65"/>
        <v>97.6</v>
      </c>
      <c r="T324" s="19">
        <f t="shared" si="60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97.6</v>
      </c>
      <c r="Y324" s="14">
        <f t="shared" si="64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61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ref="AO324:AO387" si="66">A324&amp;"/"&amp;J324</f>
        <v>T-072990-1/1073-TC-007</v>
      </c>
      <c r="AP324" t="str">
        <f>Tabela1[[#This Row],[TAG]]&amp;Tabela1[[#This Row],[PEDIDO]]&amp;Tabela1[[#This Row],[PRODUTO]]</f>
        <v>1073-TC-007P-188RMF</v>
      </c>
      <c r="AQ324" s="22" t="str">
        <f>Tabela1[[#This Row],[PRODUTO]]&amp;Tabela1[[#This Row],[TAG]]</f>
        <v>RMF1073-TC-007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62"/>
        <v>97.6</v>
      </c>
      <c r="AV324" s="37">
        <f t="shared" si="63"/>
        <v>97.6</v>
      </c>
      <c r="AW324" s="37"/>
    </row>
    <row r="325" spans="1:49" ht="15.75" customHeight="1" x14ac:dyDescent="0.25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9"/>
        <v>25.2</v>
      </c>
      <c r="S325" s="18">
        <f t="shared" si="65"/>
        <v>25.2</v>
      </c>
      <c r="T325" s="19">
        <f t="shared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25.2</v>
      </c>
      <c r="Y325" s="14">
        <f t="shared" si="64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61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si="66"/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62"/>
        <v>25.2</v>
      </c>
      <c r="AV325" s="37">
        <f t="shared" si="63"/>
        <v>25.2</v>
      </c>
      <c r="AW325" s="37"/>
    </row>
    <row r="326" spans="1:49" ht="15.75" customHeight="1" x14ac:dyDescent="0.25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-2</v>
      </c>
      <c r="R326" s="18">
        <f t="shared" si="59"/>
        <v>4</v>
      </c>
      <c r="S326" s="18">
        <f t="shared" si="65"/>
        <v>4</v>
      </c>
      <c r="T326" s="19">
        <f t="shared" si="60"/>
        <v>0</v>
      </c>
      <c r="U326" s="16">
        <v>2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4</v>
      </c>
      <c r="Y326" s="14">
        <f t="shared" si="64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61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66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62"/>
        <v>4</v>
      </c>
      <c r="AV326" s="37">
        <f t="shared" si="63"/>
        <v>4</v>
      </c>
      <c r="AW326" s="37"/>
    </row>
    <row r="327" spans="1:49" ht="15.75" customHeight="1" x14ac:dyDescent="0.25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-1</v>
      </c>
      <c r="R327" s="18">
        <f t="shared" si="59"/>
        <v>704.9</v>
      </c>
      <c r="S327" s="18">
        <f t="shared" si="65"/>
        <v>704.9</v>
      </c>
      <c r="T327" s="19">
        <f t="shared" si="60"/>
        <v>0</v>
      </c>
      <c r="U327" s="204">
        <v>1</v>
      </c>
      <c r="V327" s="12" t="str">
        <f>IFERROR(VLOOKUP(Tabela1[[#This Row],[COD.MDE]],'LISTA DE EMBARQUE'!B:L,11,0),"")</f>
        <v/>
      </c>
      <c r="W327" s="13"/>
      <c r="X327" s="14">
        <f>IFERROR(Tabela1[[#This Row],[QIANTIDADE EXPEDIDA]]*Tabela1[[#This Row],[PESO UNI]],"")</f>
        <v>704.9</v>
      </c>
      <c r="Y327" s="14">
        <f t="shared" si="64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61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66"/>
        <v>T-072991-1/1073-TC-006</v>
      </c>
      <c r="AP327" t="str">
        <f>Tabela1[[#This Row],[TAG]]&amp;Tabela1[[#This Row],[PEDIDO]]&amp;Tabela1[[#This Row],[PRODUTO]]</f>
        <v>1073-TC-006P-188RMF</v>
      </c>
      <c r="AQ327" s="22" t="str">
        <f>Tabela1[[#This Row],[PRODUTO]]&amp;Tabela1[[#This Row],[TAG]]</f>
        <v>RMF1073-TC-006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62"/>
        <v>704.9</v>
      </c>
      <c r="AV327" s="37">
        <f t="shared" si="63"/>
        <v>704.9</v>
      </c>
      <c r="AW327" s="37"/>
    </row>
    <row r="328" spans="1:49" ht="15.75" customHeight="1" x14ac:dyDescent="0.25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-8</v>
      </c>
      <c r="R328" s="18">
        <f t="shared" si="59"/>
        <v>20.8</v>
      </c>
      <c r="S328" s="18">
        <f t="shared" si="65"/>
        <v>20.8</v>
      </c>
      <c r="T328" s="19">
        <f t="shared" si="60"/>
        <v>0</v>
      </c>
      <c r="U328" s="204">
        <v>8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20.8</v>
      </c>
      <c r="Y328" s="14">
        <f t="shared" si="64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61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66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62"/>
        <v>20.8</v>
      </c>
      <c r="AV328" s="37">
        <f t="shared" si="63"/>
        <v>20.8</v>
      </c>
      <c r="AW328" s="37"/>
    </row>
    <row r="329" spans="1:49" ht="15.75" customHeight="1" x14ac:dyDescent="0.25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-2</v>
      </c>
      <c r="R329" s="18">
        <f t="shared" si="59"/>
        <v>74.400000000000006</v>
      </c>
      <c r="S329" s="18">
        <f t="shared" si="65"/>
        <v>74.400000000000006</v>
      </c>
      <c r="T329" s="19">
        <f t="shared" si="60"/>
        <v>0</v>
      </c>
      <c r="U329" s="204">
        <v>2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74.400000000000006</v>
      </c>
      <c r="Y329" s="14">
        <f t="shared" si="64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61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66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62"/>
        <v>74.400000000000006</v>
      </c>
      <c r="AV329" s="37">
        <f t="shared" si="63"/>
        <v>74.400000000000006</v>
      </c>
      <c r="AW329" s="37"/>
    </row>
    <row r="330" spans="1:49" ht="15.75" customHeight="1" x14ac:dyDescent="0.25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-1</v>
      </c>
      <c r="R330" s="18">
        <f t="shared" si="59"/>
        <v>704.9</v>
      </c>
      <c r="S330" s="18">
        <f t="shared" si="65"/>
        <v>704.9</v>
      </c>
      <c r="T330" s="19">
        <f t="shared" si="60"/>
        <v>0</v>
      </c>
      <c r="U330" s="204">
        <v>1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704.9</v>
      </c>
      <c r="Y330" s="14">
        <f t="shared" si="64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61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66"/>
        <v>T-072991-1/1073-TC-007</v>
      </c>
      <c r="AP330" t="str">
        <f>Tabela1[[#This Row],[TAG]]&amp;Tabela1[[#This Row],[PEDIDO]]&amp;Tabela1[[#This Row],[PRODUTO]]</f>
        <v>1073-TC-007P-188RMF</v>
      </c>
      <c r="AQ330" s="22" t="str">
        <f>Tabela1[[#This Row],[PRODUTO]]&amp;Tabela1[[#This Row],[TAG]]</f>
        <v>RMF1073-TC-007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62"/>
        <v>704.9</v>
      </c>
      <c r="AV330" s="37">
        <f t="shared" si="63"/>
        <v>704.9</v>
      </c>
      <c r="AW330" s="37"/>
    </row>
    <row r="331" spans="1:49" ht="15.75" customHeight="1" x14ac:dyDescent="0.25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-8</v>
      </c>
      <c r="R331" s="18">
        <f t="shared" si="59"/>
        <v>20.8</v>
      </c>
      <c r="S331" s="18">
        <f t="shared" si="65"/>
        <v>20.8</v>
      </c>
      <c r="T331" s="19">
        <f t="shared" si="60"/>
        <v>0</v>
      </c>
      <c r="U331" s="204">
        <v>8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20.8</v>
      </c>
      <c r="Y331" s="14">
        <f t="shared" si="64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61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66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62"/>
        <v>20.8</v>
      </c>
      <c r="AV331" s="37">
        <f t="shared" si="63"/>
        <v>20.8</v>
      </c>
      <c r="AW331" s="37"/>
    </row>
    <row r="332" spans="1:49" ht="15.75" customHeight="1" x14ac:dyDescent="0.25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-2</v>
      </c>
      <c r="R332" s="18">
        <f t="shared" si="59"/>
        <v>74.400000000000006</v>
      </c>
      <c r="S332" s="18">
        <f t="shared" si="65"/>
        <v>74.400000000000006</v>
      </c>
      <c r="T332" s="19">
        <f t="shared" si="60"/>
        <v>0</v>
      </c>
      <c r="U332" s="204">
        <v>2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74.400000000000006</v>
      </c>
      <c r="Y332" s="14">
        <f t="shared" si="64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61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66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62"/>
        <v>74.400000000000006</v>
      </c>
      <c r="AV332" s="37">
        <f t="shared" si="63"/>
        <v>74.400000000000006</v>
      </c>
      <c r="AW332" s="37"/>
    </row>
    <row r="333" spans="1:49" ht="15.75" customHeight="1" x14ac:dyDescent="0.25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-1</v>
      </c>
      <c r="R333" s="18">
        <f t="shared" si="59"/>
        <v>62.2</v>
      </c>
      <c r="S333" s="18">
        <f t="shared" si="65"/>
        <v>62.2</v>
      </c>
      <c r="T333" s="19">
        <f t="shared" si="60"/>
        <v>0</v>
      </c>
      <c r="U333" s="204">
        <v>1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62.2</v>
      </c>
      <c r="Y333" s="14">
        <f t="shared" si="64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61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66"/>
        <v>T-072992-1/1073-TC-006</v>
      </c>
      <c r="AP333" t="str">
        <f>Tabela1[[#This Row],[TAG]]&amp;Tabela1[[#This Row],[PEDIDO]]&amp;Tabela1[[#This Row],[PRODUTO]]</f>
        <v>1073-TC-006P-188RMF</v>
      </c>
      <c r="AQ333" s="22" t="str">
        <f>Tabela1[[#This Row],[PRODUTO]]&amp;Tabela1[[#This Row],[TAG]]</f>
        <v>RMF1073-TC-006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62"/>
        <v>62.2</v>
      </c>
      <c r="AV333" s="37">
        <f t="shared" si="63"/>
        <v>62.2</v>
      </c>
      <c r="AW333" s="37"/>
    </row>
    <row r="334" spans="1:49" ht="15.75" customHeight="1" x14ac:dyDescent="0.25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-4</v>
      </c>
      <c r="R334" s="18">
        <f t="shared" si="59"/>
        <v>10.4</v>
      </c>
      <c r="S334" s="18">
        <f t="shared" si="65"/>
        <v>10.4</v>
      </c>
      <c r="T334" s="19">
        <f t="shared" si="60"/>
        <v>0</v>
      </c>
      <c r="U334" s="204">
        <v>4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10.4</v>
      </c>
      <c r="Y334" s="14">
        <f t="shared" si="64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61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66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62"/>
        <v>10.4</v>
      </c>
      <c r="AV334" s="37">
        <f t="shared" si="63"/>
        <v>10.4</v>
      </c>
      <c r="AW334" s="37"/>
    </row>
    <row r="335" spans="1:49" ht="15.75" customHeight="1" x14ac:dyDescent="0.25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-1</v>
      </c>
      <c r="R335" s="18">
        <f t="shared" si="59"/>
        <v>62.2</v>
      </c>
      <c r="S335" s="18">
        <f t="shared" si="65"/>
        <v>62.2</v>
      </c>
      <c r="T335" s="19">
        <f t="shared" si="60"/>
        <v>0</v>
      </c>
      <c r="U335" s="204">
        <v>1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62.2</v>
      </c>
      <c r="Y335" s="14">
        <f t="shared" si="64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61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66"/>
        <v>T-072992-1/1073-TC-007</v>
      </c>
      <c r="AP335" t="str">
        <f>Tabela1[[#This Row],[TAG]]&amp;Tabela1[[#This Row],[PEDIDO]]&amp;Tabela1[[#This Row],[PRODUTO]]</f>
        <v>1073-TC-007P-188RMF</v>
      </c>
      <c r="AQ335" s="22" t="str">
        <f>Tabela1[[#This Row],[PRODUTO]]&amp;Tabela1[[#This Row],[TAG]]</f>
        <v>RMF1073-TC-007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62"/>
        <v>62.2</v>
      </c>
      <c r="AV335" s="37">
        <f t="shared" si="63"/>
        <v>62.2</v>
      </c>
      <c r="AW335" s="37"/>
    </row>
    <row r="336" spans="1:49" ht="15.75" customHeight="1" x14ac:dyDescent="0.25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-4</v>
      </c>
      <c r="R336" s="18">
        <f t="shared" si="59"/>
        <v>10.4</v>
      </c>
      <c r="S336" s="18">
        <f t="shared" si="65"/>
        <v>10.4</v>
      </c>
      <c r="T336" s="19">
        <f t="shared" si="60"/>
        <v>0</v>
      </c>
      <c r="U336" s="204">
        <v>4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10.4</v>
      </c>
      <c r="Y336" s="14">
        <f t="shared" si="64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61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66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62"/>
        <v>10.4</v>
      </c>
      <c r="AV336" s="37">
        <f t="shared" si="63"/>
        <v>10.4</v>
      </c>
      <c r="AW336" s="37"/>
    </row>
    <row r="337" spans="1:49" ht="15.75" customHeight="1" x14ac:dyDescent="0.25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>Tabela1[[#This Row],[QTDE/ Fabricação]]-Tabela1[[#This Row],[QTE]]</f>
        <v>-2</v>
      </c>
      <c r="R337" s="18">
        <f t="shared" si="59"/>
        <v>27.4</v>
      </c>
      <c r="S337" s="18">
        <f t="shared" si="65"/>
        <v>27.4</v>
      </c>
      <c r="T337" s="19">
        <f t="shared" si="60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>IFERROR(Tabela1[[#This Row],[QIANTIDADE EXPEDIDA]]*Tabela1[[#This Row],[PESO UNI]],"")</f>
        <v>27.4</v>
      </c>
      <c r="Y337" s="14">
        <f t="shared" si="64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61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66"/>
        <v>T-072953-1/1073-TC-006</v>
      </c>
      <c r="AP337" t="str">
        <f>Tabela1[[#This Row],[TAG]]&amp;Tabela1[[#This Row],[PEDIDO]]&amp;Tabela1[[#This Row],[PRODUTO]]</f>
        <v>1073-TC-006P-188RMF</v>
      </c>
      <c r="AQ337" s="22" t="str">
        <f>Tabela1[[#This Row],[PRODUTO]]&amp;Tabela1[[#This Row],[TAG]]</f>
        <v>RMF1073-TC-006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62"/>
        <v>27.4</v>
      </c>
      <c r="AV337" s="37">
        <f t="shared" si="63"/>
        <v>27.4</v>
      </c>
      <c r="AW337" s="37"/>
    </row>
    <row r="338" spans="1:49" ht="15.75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9"/>
        <v>27.4</v>
      </c>
      <c r="S338" s="18">
        <f t="shared" si="65"/>
        <v>27.4</v>
      </c>
      <c r="T338" s="19">
        <f t="shared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64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61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66"/>
        <v>T-072953-1/1073-TC-007</v>
      </c>
      <c r="AP338" t="str">
        <f>Tabela1[[#This Row],[TAG]]&amp;Tabela1[[#This Row],[PEDIDO]]&amp;Tabela1[[#This Row],[PRODUTO]]</f>
        <v>1073-TC-007P-188RMF</v>
      </c>
      <c r="AQ338" s="22" t="str">
        <f>Tabela1[[#This Row],[PRODUTO]]&amp;Tabela1[[#This Row],[TAG]]</f>
        <v>RMF1073-TC-007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62"/>
        <v>27.4</v>
      </c>
      <c r="AV338" s="37">
        <f t="shared" si="63"/>
        <v>27.4</v>
      </c>
      <c r="AW338" s="37"/>
    </row>
    <row r="339" spans="1:49" ht="15.75" customHeight="1" x14ac:dyDescent="0.25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>Tabela1[[#This Row],[QTDE/ Fabricação]]-Tabela1[[#This Row],[QTE]]</f>
        <v>-1</v>
      </c>
      <c r="R339" s="18">
        <f t="shared" si="59"/>
        <v>36.6</v>
      </c>
      <c r="S339" s="18">
        <f t="shared" si="65"/>
        <v>36.6</v>
      </c>
      <c r="T339" s="19">
        <f t="shared" si="60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36.6</v>
      </c>
      <c r="Y339" s="14">
        <f t="shared" si="64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61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66"/>
        <v>T-072997-1/1073-TC-006</v>
      </c>
      <c r="AP339" t="str">
        <f>Tabela1[[#This Row],[TAG]]&amp;Tabela1[[#This Row],[PEDIDO]]&amp;Tabela1[[#This Row],[PRODUTO]]</f>
        <v>1073-TC-006P-188RMF</v>
      </c>
      <c r="AQ339" s="22" t="str">
        <f>Tabela1[[#This Row],[PRODUTO]]&amp;Tabela1[[#This Row],[TAG]]</f>
        <v>RMF1073-TC-006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62"/>
        <v>36.6</v>
      </c>
      <c r="AV339" s="37">
        <f t="shared" si="63"/>
        <v>36.6</v>
      </c>
      <c r="AW339" s="37"/>
    </row>
    <row r="340" spans="1:49" ht="15.75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9"/>
        <v>36.6</v>
      </c>
      <c r="S340" s="18">
        <f t="shared" si="65"/>
        <v>36.6</v>
      </c>
      <c r="T340" s="19">
        <f t="shared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64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61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66"/>
        <v>T-072997-1/1073-TC-007</v>
      </c>
      <c r="AP340" t="str">
        <f>Tabela1[[#This Row],[TAG]]&amp;Tabela1[[#This Row],[PEDIDO]]&amp;Tabela1[[#This Row],[PRODUTO]]</f>
        <v>1073-TC-007P-188RMF</v>
      </c>
      <c r="AQ340" s="22" t="str">
        <f>Tabela1[[#This Row],[PRODUTO]]&amp;Tabela1[[#This Row],[TAG]]</f>
        <v>RMF1073-TC-007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62"/>
        <v>36.6</v>
      </c>
      <c r="AV340" s="37">
        <f t="shared" si="63"/>
        <v>36.6</v>
      </c>
      <c r="AW340" s="37"/>
    </row>
    <row r="341" spans="1:49" ht="15.75" customHeight="1" x14ac:dyDescent="0.25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-2</v>
      </c>
      <c r="R341" s="18">
        <f t="shared" si="59"/>
        <v>12.6</v>
      </c>
      <c r="S341" s="18">
        <f t="shared" si="65"/>
        <v>12.6</v>
      </c>
      <c r="T341" s="19">
        <f t="shared" si="60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12.6</v>
      </c>
      <c r="Y341" s="14">
        <f t="shared" si="64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61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66"/>
        <v>T-072997-1/1073-TC-006</v>
      </c>
      <c r="AP341" t="str">
        <f>Tabela1[[#This Row],[TAG]]&amp;Tabela1[[#This Row],[PEDIDO]]&amp;Tabela1[[#This Row],[PRODUTO]]</f>
        <v>1073-TC-006P-188RMF</v>
      </c>
      <c r="AQ341" s="22" t="str">
        <f>Tabela1[[#This Row],[PRODUTO]]&amp;Tabela1[[#This Row],[TAG]]</f>
        <v>RMF1073-TC-006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62"/>
        <v>12.6</v>
      </c>
      <c r="AV341" s="37">
        <f t="shared" si="63"/>
        <v>12.6</v>
      </c>
      <c r="AW341" s="37"/>
    </row>
    <row r="342" spans="1:49" ht="15.75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9"/>
        <v>12.6</v>
      </c>
      <c r="S342" s="18">
        <f t="shared" si="65"/>
        <v>12.6</v>
      </c>
      <c r="T342" s="19">
        <f t="shared" si="60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64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61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66"/>
        <v>T-072997-1/1073-TC-007</v>
      </c>
      <c r="AP342" t="str">
        <f>Tabela1[[#This Row],[TAG]]&amp;Tabela1[[#This Row],[PEDIDO]]&amp;Tabela1[[#This Row],[PRODUTO]]</f>
        <v>1073-TC-007P-188RMF</v>
      </c>
      <c r="AQ342" s="22" t="str">
        <f>Tabela1[[#This Row],[PRODUTO]]&amp;Tabela1[[#This Row],[TAG]]</f>
        <v>RMF1073-TC-007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62"/>
        <v>12.6</v>
      </c>
      <c r="AV342" s="37">
        <f t="shared" si="63"/>
        <v>12.6</v>
      </c>
      <c r="AW342" s="37"/>
    </row>
    <row r="343" spans="1:49" ht="15.75" customHeight="1" x14ac:dyDescent="0.25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9"/>
        <v>1.4</v>
      </c>
      <c r="S343" s="18">
        <f t="shared" si="65"/>
        <v>1.4</v>
      </c>
      <c r="T343" s="19">
        <f t="shared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1.4</v>
      </c>
      <c r="Y343" s="14">
        <f t="shared" si="64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61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66"/>
        <v>T-072997-1/1073-TC-006</v>
      </c>
      <c r="AP343" t="str">
        <f>Tabela1[[#This Row],[TAG]]&amp;Tabela1[[#This Row],[PEDIDO]]&amp;Tabela1[[#This Row],[PRODUTO]]</f>
        <v>1073-TC-006P-188RMF</v>
      </c>
      <c r="AQ343" s="22" t="str">
        <f>Tabela1[[#This Row],[PRODUTO]]&amp;Tabela1[[#This Row],[TAG]]</f>
        <v>RMF1073-TC-006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62"/>
        <v>1.4</v>
      </c>
      <c r="AV343" s="37">
        <f t="shared" si="63"/>
        <v>1.4</v>
      </c>
      <c r="AW343" s="37"/>
    </row>
    <row r="344" spans="1:49" ht="15.75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9"/>
        <v>1.4</v>
      </c>
      <c r="S344" s="18">
        <f t="shared" si="65"/>
        <v>1.4</v>
      </c>
      <c r="T344" s="19">
        <f t="shared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64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61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66"/>
        <v>T-072997-1/1073-TC-007</v>
      </c>
      <c r="AP344" t="str">
        <f>Tabela1[[#This Row],[TAG]]&amp;Tabela1[[#This Row],[PEDIDO]]&amp;Tabela1[[#This Row],[PRODUTO]]</f>
        <v>1073-TC-007P-188RMF</v>
      </c>
      <c r="AQ344" s="22" t="str">
        <f>Tabela1[[#This Row],[PRODUTO]]&amp;Tabela1[[#This Row],[TAG]]</f>
        <v>RMF1073-TC-007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62"/>
        <v>1.4</v>
      </c>
      <c r="AV344" s="37">
        <f t="shared" si="63"/>
        <v>1.4</v>
      </c>
      <c r="AW344" s="37"/>
    </row>
    <row r="345" spans="1:49" ht="15.75" customHeight="1" x14ac:dyDescent="0.25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>Tabela1[[#This Row],[QTDE/ Fabricação]]-Tabela1[[#This Row],[QTE]]</f>
        <v>-1</v>
      </c>
      <c r="R345" s="18">
        <f t="shared" ref="R345:R408" si="67">IFERROR(H345*((AA345*0.25)+(AC345*0.25)+(AD345*0.225)+(AE345*0.225)+(AF345*0.05)),"")</f>
        <v>11.3</v>
      </c>
      <c r="S345" s="18">
        <f t="shared" si="65"/>
        <v>11.3</v>
      </c>
      <c r="T345" s="19">
        <f t="shared" ref="T345:T354" si="68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11.3</v>
      </c>
      <c r="Y345" s="14">
        <f t="shared" si="64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61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66"/>
        <v>T-072993-1/1073-TC-006</v>
      </c>
      <c r="AP345" t="str">
        <f>Tabela1[[#This Row],[TAG]]&amp;Tabela1[[#This Row],[PEDIDO]]&amp;Tabela1[[#This Row],[PRODUTO]]</f>
        <v>1073-TC-006P-188RMF</v>
      </c>
      <c r="AQ345" s="22" t="str">
        <f>Tabela1[[#This Row],[PRODUTO]]&amp;Tabela1[[#This Row],[TAG]]</f>
        <v>RMF1073-TC-006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62"/>
        <v>11.3</v>
      </c>
      <c r="AV345" s="37">
        <f t="shared" si="63"/>
        <v>11.3</v>
      </c>
      <c r="AW345" s="37"/>
    </row>
    <row r="346" spans="1:49" ht="15.75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si="67"/>
        <v>11.3</v>
      </c>
      <c r="S346" s="18">
        <f t="shared" si="65"/>
        <v>11.3</v>
      </c>
      <c r="T346" s="19">
        <f t="shared" si="68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64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61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66"/>
        <v>T-072993-1/1073-TC-007</v>
      </c>
      <c r="AP346" t="str">
        <f>Tabela1[[#This Row],[TAG]]&amp;Tabela1[[#This Row],[PEDIDO]]&amp;Tabela1[[#This Row],[PRODUTO]]</f>
        <v>1073-TC-007P-188RMF</v>
      </c>
      <c r="AQ346" s="22" t="str">
        <f>Tabela1[[#This Row],[PRODUTO]]&amp;Tabela1[[#This Row],[TAG]]</f>
        <v>RMF1073-TC-007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62"/>
        <v>11.3</v>
      </c>
      <c r="AV346" s="37">
        <f t="shared" si="63"/>
        <v>11.3</v>
      </c>
      <c r="AW346" s="37"/>
    </row>
    <row r="347" spans="1:49" ht="15.75" customHeight="1" x14ac:dyDescent="0.25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67"/>
        <v>11.3</v>
      </c>
      <c r="S347" s="18">
        <f t="shared" si="65"/>
        <v>11.3</v>
      </c>
      <c r="T347" s="19">
        <f t="shared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64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si="69">IF(Z347&lt;=0,"ok","")</f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66"/>
        <v>T-072993-1/1073-TC-006</v>
      </c>
      <c r="AP347" t="str">
        <f>Tabela1[[#This Row],[TAG]]&amp;Tabela1[[#This Row],[PEDIDO]]&amp;Tabela1[[#This Row],[PRODUTO]]</f>
        <v>1073-TC-006P-188RMF</v>
      </c>
      <c r="AQ347" s="22" t="str">
        <f>Tabela1[[#This Row],[PRODUTO]]&amp;Tabela1[[#This Row],[TAG]]</f>
        <v>RMF1073-TC-006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62"/>
        <v>11.3</v>
      </c>
      <c r="AV347" s="37">
        <f t="shared" si="63"/>
        <v>11.3</v>
      </c>
      <c r="AW347" s="37"/>
    </row>
    <row r="348" spans="1:49" ht="15.75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67"/>
        <v>11.3</v>
      </c>
      <c r="S348" s="18">
        <f t="shared" si="65"/>
        <v>11.3</v>
      </c>
      <c r="T348" s="19">
        <f t="shared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64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si="69"/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66"/>
        <v>T-072993-1/1073-TC-007</v>
      </c>
      <c r="AP348" t="str">
        <f>Tabela1[[#This Row],[TAG]]&amp;Tabela1[[#This Row],[PEDIDO]]&amp;Tabela1[[#This Row],[PRODUTO]]</f>
        <v>1073-TC-007P-188RMF</v>
      </c>
      <c r="AQ348" s="22" t="str">
        <f>Tabela1[[#This Row],[PRODUTO]]&amp;Tabela1[[#This Row],[TAG]]</f>
        <v>RMF1073-TC-007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62"/>
        <v>11.3</v>
      </c>
      <c r="AV348" s="37">
        <f t="shared" si="63"/>
        <v>11.3</v>
      </c>
      <c r="AW348" s="37"/>
    </row>
    <row r="349" spans="1:49" ht="15.75" customHeight="1" x14ac:dyDescent="0.25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67"/>
        <v>19.8</v>
      </c>
      <c r="S349" s="18">
        <f t="shared" si="65"/>
        <v>19.8</v>
      </c>
      <c r="T349" s="19">
        <f t="shared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19.8</v>
      </c>
      <c r="Y349" s="14">
        <f t="shared" si="64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9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66"/>
        <v>T-072993-1/1073-TC-006</v>
      </c>
      <c r="AP349" t="str">
        <f>Tabela1[[#This Row],[TAG]]&amp;Tabela1[[#This Row],[PEDIDO]]&amp;Tabela1[[#This Row],[PRODUTO]]</f>
        <v>1073-TC-006P-188RMF</v>
      </c>
      <c r="AQ349" s="22" t="str">
        <f>Tabela1[[#This Row],[PRODUTO]]&amp;Tabela1[[#This Row],[TAG]]</f>
        <v>RMF1073-TC-006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62"/>
        <v>19.8</v>
      </c>
      <c r="AV349" s="37">
        <f t="shared" si="63"/>
        <v>19.8</v>
      </c>
      <c r="AW349" s="37"/>
    </row>
    <row r="350" spans="1:49" ht="15.75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67"/>
        <v>19.8</v>
      </c>
      <c r="S350" s="18">
        <f t="shared" si="65"/>
        <v>19.8</v>
      </c>
      <c r="T350" s="19">
        <f t="shared" si="68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64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9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66"/>
        <v>T-072993-1/1073-TC-007</v>
      </c>
      <c r="AP350" t="str">
        <f>Tabela1[[#This Row],[TAG]]&amp;Tabela1[[#This Row],[PEDIDO]]&amp;Tabela1[[#This Row],[PRODUTO]]</f>
        <v>1073-TC-007P-188RMF</v>
      </c>
      <c r="AQ350" s="22" t="str">
        <f>Tabela1[[#This Row],[PRODUTO]]&amp;Tabela1[[#This Row],[TAG]]</f>
        <v>RMF1073-TC-007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62"/>
        <v>19.8</v>
      </c>
      <c r="AV350" s="37">
        <f t="shared" si="63"/>
        <v>19.8</v>
      </c>
      <c r="AW350" s="37"/>
    </row>
    <row r="351" spans="1:49" ht="15.75" customHeight="1" x14ac:dyDescent="0.25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67"/>
        <v>24.9</v>
      </c>
      <c r="S351" s="18">
        <f t="shared" si="65"/>
        <v>24.9</v>
      </c>
      <c r="T351" s="19">
        <f t="shared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24.9</v>
      </c>
      <c r="Y351" s="14">
        <f t="shared" si="64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9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66"/>
        <v>T-072993-1/1073-TC-006</v>
      </c>
      <c r="AP351" t="str">
        <f>Tabela1[[#This Row],[TAG]]&amp;Tabela1[[#This Row],[PEDIDO]]&amp;Tabela1[[#This Row],[PRODUTO]]</f>
        <v>1073-TC-006P-188RMF</v>
      </c>
      <c r="AQ351" s="22" t="str">
        <f>Tabela1[[#This Row],[PRODUTO]]&amp;Tabela1[[#This Row],[TAG]]</f>
        <v>RMF1073-TC-006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62"/>
        <v>24.9</v>
      </c>
      <c r="AV351" s="37">
        <f t="shared" si="63"/>
        <v>24.9</v>
      </c>
      <c r="AW351" s="37"/>
    </row>
    <row r="352" spans="1:49" ht="15.75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67"/>
        <v>24.9</v>
      </c>
      <c r="S352" s="18">
        <f t="shared" si="65"/>
        <v>24.9</v>
      </c>
      <c r="T352" s="19">
        <f t="shared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64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9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66"/>
        <v>T-072993-1/1073-TC-007</v>
      </c>
      <c r="AP352" t="str">
        <f>Tabela1[[#This Row],[TAG]]&amp;Tabela1[[#This Row],[PEDIDO]]&amp;Tabela1[[#This Row],[PRODUTO]]</f>
        <v>1073-TC-007P-188RMF</v>
      </c>
      <c r="AQ352" s="22" t="str">
        <f>Tabela1[[#This Row],[PRODUTO]]&amp;Tabela1[[#This Row],[TAG]]</f>
        <v>RMF1073-TC-007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62"/>
        <v>24.9</v>
      </c>
      <c r="AV352" s="37">
        <f t="shared" si="63"/>
        <v>24.9</v>
      </c>
      <c r="AW352" s="37"/>
    </row>
    <row r="353" spans="1:49" ht="15.75" customHeight="1" x14ac:dyDescent="0.25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-2</v>
      </c>
      <c r="R353" s="18">
        <f t="shared" si="67"/>
        <v>74</v>
      </c>
      <c r="S353" s="18">
        <f t="shared" si="65"/>
        <v>74</v>
      </c>
      <c r="T353" s="19">
        <f t="shared" si="68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74</v>
      </c>
      <c r="Y353" s="14">
        <f t="shared" si="64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9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66"/>
        <v>T-072993-1/1073-TC-006</v>
      </c>
      <c r="AP353" t="str">
        <f>Tabela1[[#This Row],[TAG]]&amp;Tabela1[[#This Row],[PEDIDO]]&amp;Tabela1[[#This Row],[PRODUTO]]</f>
        <v>1073-TC-006P-188RMF</v>
      </c>
      <c r="AQ353" s="22" t="str">
        <f>Tabela1[[#This Row],[PRODUTO]]&amp;Tabela1[[#This Row],[TAG]]</f>
        <v>RMF1073-TC-006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62"/>
        <v>74</v>
      </c>
      <c r="AV353" s="37">
        <f t="shared" si="63"/>
        <v>74</v>
      </c>
      <c r="AW353" s="37"/>
    </row>
    <row r="354" spans="1:49" ht="15.75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67"/>
        <v>74</v>
      </c>
      <c r="S354" s="18">
        <f t="shared" si="65"/>
        <v>74</v>
      </c>
      <c r="T354" s="19">
        <f t="shared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64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9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66"/>
        <v>T-072993-1/1073-TC-007</v>
      </c>
      <c r="AP354" t="str">
        <f>Tabela1[[#This Row],[TAG]]&amp;Tabela1[[#This Row],[PEDIDO]]&amp;Tabela1[[#This Row],[PRODUTO]]</f>
        <v>1073-TC-007P-188RMF</v>
      </c>
      <c r="AQ354" s="22" t="str">
        <f>Tabela1[[#This Row],[PRODUTO]]&amp;Tabela1[[#This Row],[TAG]]</f>
        <v>RMF1073-TC-007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62"/>
        <v>74</v>
      </c>
      <c r="AV354" s="37">
        <f t="shared" si="63"/>
        <v>74</v>
      </c>
      <c r="AW354" s="37"/>
    </row>
    <row r="355" spans="1:49" ht="15.75" customHeight="1" x14ac:dyDescent="0.25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67"/>
        <v>65</v>
      </c>
      <c r="S355" s="18">
        <f t="shared" si="65"/>
        <v>65</v>
      </c>
      <c r="T355" s="19">
        <f t="shared" ref="T355:T418" si="70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65</v>
      </c>
      <c r="Y355" s="14">
        <f t="shared" ref="Y355:Y418" si="71">U355-C355</f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9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66"/>
        <v>T-072993-1/1073-TC-006</v>
      </c>
      <c r="AP355" t="str">
        <f>Tabela1[[#This Row],[TAG]]&amp;Tabela1[[#This Row],[PEDIDO]]&amp;Tabela1[[#This Row],[PRODUTO]]</f>
        <v>1073-TC-006P-188RMF</v>
      </c>
      <c r="AQ355" s="22" t="str">
        <f>Tabela1[[#This Row],[PRODUTO]]&amp;Tabela1[[#This Row],[TAG]]</f>
        <v>RMF1073-TC-006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62"/>
        <v>65</v>
      </c>
      <c r="AV355" s="37">
        <f t="shared" si="63"/>
        <v>65</v>
      </c>
      <c r="AW355" s="37"/>
    </row>
    <row r="356" spans="1:49" ht="15.75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67"/>
        <v>65</v>
      </c>
      <c r="S356" s="18">
        <f t="shared" si="65"/>
        <v>65</v>
      </c>
      <c r="T356" s="19">
        <f t="shared" si="70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si="71"/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9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66"/>
        <v>T-072993-1/1073-TC-007</v>
      </c>
      <c r="AP356" t="str">
        <f>Tabela1[[#This Row],[TAG]]&amp;Tabela1[[#This Row],[PEDIDO]]&amp;Tabela1[[#This Row],[PRODUTO]]</f>
        <v>1073-TC-007P-188RMF</v>
      </c>
      <c r="AQ356" s="22" t="str">
        <f>Tabela1[[#This Row],[PRODUTO]]&amp;Tabela1[[#This Row],[TAG]]</f>
        <v>RMF1073-TC-007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ref="AU356:AU419" si="72">IF(AH356="",0,IF(ISTEXT(AH356),H356*VALUE(SUBSTITUTE(AH356,"%",""))/100,H356*AH356))</f>
        <v>65</v>
      </c>
      <c r="AV356" s="37">
        <f t="shared" ref="AV356:AV419" si="73">IF(AG356="",0,IF(ISTEXT(AG356),H356*VALUE(SUBSTITUTE(AG356,"%",""))/100,H356*AG356))</f>
        <v>65</v>
      </c>
      <c r="AW356" s="37"/>
    </row>
    <row r="357" spans="1:49" ht="15.75" customHeight="1" x14ac:dyDescent="0.25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-1</v>
      </c>
      <c r="R357" s="18">
        <f t="shared" si="67"/>
        <v>151.80000000000001</v>
      </c>
      <c r="S357" s="18">
        <f t="shared" si="65"/>
        <v>151.80000000000001</v>
      </c>
      <c r="T357" s="19">
        <f t="shared" si="70"/>
        <v>0</v>
      </c>
      <c r="U357" s="204">
        <v>1</v>
      </c>
      <c r="V357" s="12">
        <v>13</v>
      </c>
      <c r="W357" s="13"/>
      <c r="X357" s="14">
        <f>IFERROR(Tabela1[[#This Row],[QIANTIDADE EXPEDIDA]]*Tabela1[[#This Row],[PESO UNI]],"")</f>
        <v>151.80000000000001</v>
      </c>
      <c r="Y357" s="14">
        <f t="shared" si="71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9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66"/>
        <v>T-072953-1/1073-TC-006</v>
      </c>
      <c r="AP357" t="str">
        <f>Tabela1[[#This Row],[TAG]]&amp;Tabela1[[#This Row],[PEDIDO]]&amp;Tabela1[[#This Row],[PRODUTO]]</f>
        <v>1073-TC-006P-188RMF</v>
      </c>
      <c r="AQ357" s="22" t="str">
        <f>Tabela1[[#This Row],[PRODUTO]]&amp;Tabela1[[#This Row],[TAG]]</f>
        <v>RMF1073-TC-006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si="72"/>
        <v>151.80000000000001</v>
      </c>
      <c r="AV357" s="37">
        <f t="shared" si="73"/>
        <v>151.80000000000001</v>
      </c>
      <c r="AW357" s="37"/>
    </row>
    <row r="358" spans="1:49" ht="15.75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67"/>
        <v>151.80000000000001</v>
      </c>
      <c r="S358" s="18">
        <f t="shared" si="65"/>
        <v>151.80000000000001</v>
      </c>
      <c r="T358" s="19">
        <f t="shared" si="70"/>
        <v>0</v>
      </c>
      <c r="U358" s="204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71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9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66"/>
        <v>T-072953-1/1073-TC-007</v>
      </c>
      <c r="AP358" t="str">
        <f>Tabela1[[#This Row],[TAG]]&amp;Tabela1[[#This Row],[PEDIDO]]&amp;Tabela1[[#This Row],[PRODUTO]]</f>
        <v>1073-TC-007P-188RMF</v>
      </c>
      <c r="AQ358" s="22" t="str">
        <f>Tabela1[[#This Row],[PRODUTO]]&amp;Tabela1[[#This Row],[TAG]]</f>
        <v>RMF1073-TC-007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72"/>
        <v>151.80000000000001</v>
      </c>
      <c r="AV358" s="37">
        <f t="shared" si="73"/>
        <v>151.80000000000001</v>
      </c>
      <c r="AW358" s="37"/>
    </row>
    <row r="359" spans="1:49" ht="15.75" customHeight="1" x14ac:dyDescent="0.25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67"/>
        <v>17.899999999999999</v>
      </c>
      <c r="S359" s="18">
        <f t="shared" si="65"/>
        <v>17.899999999999999</v>
      </c>
      <c r="T359" s="19">
        <f t="shared" si="70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>IFERROR(Tabela1[[#This Row],[QIANTIDADE EXPEDIDA]]*Tabela1[[#This Row],[PESO UNI]],"")</f>
        <v>17.899999999999999</v>
      </c>
      <c r="Y359" s="14">
        <f t="shared" si="71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9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66"/>
        <v>MDE-M-0028-RA/1073-TC-006</v>
      </c>
      <c r="AP359" t="str">
        <f>Tabela1[[#This Row],[TAG]]&amp;Tabela1[[#This Row],[PEDIDO]]&amp;Tabela1[[#This Row],[PRODUTO]]</f>
        <v>1073-TC-006P-188RMF</v>
      </c>
      <c r="AQ359" s="22" t="str">
        <f>Tabela1[[#This Row],[PRODUTO]]&amp;Tabela1[[#This Row],[TAG]]</f>
        <v>RMF1073-TC-006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72"/>
        <v>17.899999999999999</v>
      </c>
      <c r="AV359" s="37">
        <f t="shared" si="73"/>
        <v>17.899999999999999</v>
      </c>
      <c r="AW359" s="37"/>
    </row>
    <row r="360" spans="1:49" ht="15.75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67"/>
        <v>17.899999999999999</v>
      </c>
      <c r="S360" s="18">
        <f t="shared" si="65"/>
        <v>17.899999999999999</v>
      </c>
      <c r="T360" s="19">
        <f t="shared" si="70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71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9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66"/>
        <v>MDE-M-0028-RA/1073-TC-007</v>
      </c>
      <c r="AP360" t="str">
        <f>Tabela1[[#This Row],[TAG]]&amp;Tabela1[[#This Row],[PEDIDO]]&amp;Tabela1[[#This Row],[PRODUTO]]</f>
        <v>1073-TC-007P-188RMF</v>
      </c>
      <c r="AQ360" s="22" t="str">
        <f>Tabela1[[#This Row],[PRODUTO]]&amp;Tabela1[[#This Row],[TAG]]</f>
        <v>RMF1073-TC-007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72"/>
        <v>17.899999999999999</v>
      </c>
      <c r="AV360" s="37">
        <f t="shared" si="73"/>
        <v>17.899999999999999</v>
      </c>
      <c r="AW360" s="37"/>
    </row>
    <row r="361" spans="1:49" ht="15.75" customHeight="1" x14ac:dyDescent="0.25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-2</v>
      </c>
      <c r="R361" s="18">
        <f t="shared" si="67"/>
        <v>7</v>
      </c>
      <c r="S361" s="18">
        <f t="shared" si="65"/>
        <v>7</v>
      </c>
      <c r="T361" s="19">
        <f t="shared" si="70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7</v>
      </c>
      <c r="Y361" s="14">
        <f t="shared" si="71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9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66"/>
        <v>MDE-M-0028-RA/1073-TC-006</v>
      </c>
      <c r="AP361" t="str">
        <f>Tabela1[[#This Row],[TAG]]&amp;Tabela1[[#This Row],[PEDIDO]]&amp;Tabela1[[#This Row],[PRODUTO]]</f>
        <v>1073-TC-006P-188RMF</v>
      </c>
      <c r="AQ361" s="22" t="str">
        <f>Tabela1[[#This Row],[PRODUTO]]&amp;Tabela1[[#This Row],[TAG]]</f>
        <v>RMF1073-TC-006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72"/>
        <v>7</v>
      </c>
      <c r="AV361" s="37">
        <f t="shared" si="73"/>
        <v>7</v>
      </c>
      <c r="AW361" s="37"/>
    </row>
    <row r="362" spans="1:49" ht="15.75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67"/>
        <v>7</v>
      </c>
      <c r="S362" s="18">
        <f t="shared" si="65"/>
        <v>7</v>
      </c>
      <c r="T362" s="19">
        <f t="shared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71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9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66"/>
        <v>MDE-M-0028-RA/1073-TC-007</v>
      </c>
      <c r="AP362" t="str">
        <f>Tabela1[[#This Row],[TAG]]&amp;Tabela1[[#This Row],[PEDIDO]]&amp;Tabela1[[#This Row],[PRODUTO]]</f>
        <v>1073-TC-007P-188RMF</v>
      </c>
      <c r="AQ362" s="22" t="str">
        <f>Tabela1[[#This Row],[PRODUTO]]&amp;Tabela1[[#This Row],[TAG]]</f>
        <v>RMF1073-TC-007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72"/>
        <v>7</v>
      </c>
      <c r="AV362" s="37">
        <f t="shared" si="73"/>
        <v>7</v>
      </c>
      <c r="AW362" s="37"/>
    </row>
    <row r="363" spans="1:49" ht="15.75" customHeight="1" x14ac:dyDescent="0.25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-1</v>
      </c>
      <c r="R363" s="18">
        <f t="shared" si="67"/>
        <v>8.4</v>
      </c>
      <c r="S363" s="18">
        <f t="shared" si="65"/>
        <v>8.4</v>
      </c>
      <c r="T363" s="19">
        <f t="shared" si="70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8.4</v>
      </c>
      <c r="Y363" s="14">
        <f t="shared" si="71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9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66"/>
        <v>MDE-M-0028-RA/1073-TC-006</v>
      </c>
      <c r="AP363" t="str">
        <f>Tabela1[[#This Row],[TAG]]&amp;Tabela1[[#This Row],[PEDIDO]]&amp;Tabela1[[#This Row],[PRODUTO]]</f>
        <v>1073-TC-006P-188RMF</v>
      </c>
      <c r="AQ363" s="22" t="str">
        <f>Tabela1[[#This Row],[PRODUTO]]&amp;Tabela1[[#This Row],[TAG]]</f>
        <v>RMF1073-TC-006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72"/>
        <v>8.4</v>
      </c>
      <c r="AV363" s="37">
        <f t="shared" si="73"/>
        <v>8.4</v>
      </c>
      <c r="AW363" s="37"/>
    </row>
    <row r="364" spans="1:49" ht="15.75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67"/>
        <v>8.4</v>
      </c>
      <c r="S364" s="18">
        <f t="shared" si="65"/>
        <v>8.4</v>
      </c>
      <c r="T364" s="19">
        <f t="shared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71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9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66"/>
        <v>MDE-M-0028-RA/1073-TC-007</v>
      </c>
      <c r="AP364" t="str">
        <f>Tabela1[[#This Row],[TAG]]&amp;Tabela1[[#This Row],[PEDIDO]]&amp;Tabela1[[#This Row],[PRODUTO]]</f>
        <v>1073-TC-007P-188RMF</v>
      </c>
      <c r="AQ364" s="22" t="str">
        <f>Tabela1[[#This Row],[PRODUTO]]&amp;Tabela1[[#This Row],[TAG]]</f>
        <v>RMF1073-TC-007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72"/>
        <v>8.4</v>
      </c>
      <c r="AV364" s="37">
        <f t="shared" si="73"/>
        <v>8.4</v>
      </c>
      <c r="AW364" s="37"/>
    </row>
    <row r="365" spans="1:49" ht="15.75" customHeight="1" x14ac:dyDescent="0.25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67"/>
        <v>0.5</v>
      </c>
      <c r="S365" s="18">
        <f t="shared" si="65"/>
        <v>0.5</v>
      </c>
      <c r="T365" s="19">
        <f t="shared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0.5</v>
      </c>
      <c r="Y365" s="14">
        <f t="shared" si="71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9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66"/>
        <v>MDE-M-0028-RA/1073-TC-006</v>
      </c>
      <c r="AP365" t="str">
        <f>Tabela1[[#This Row],[TAG]]&amp;Tabela1[[#This Row],[PEDIDO]]&amp;Tabela1[[#This Row],[PRODUTO]]</f>
        <v>1073-TC-006P-188RMF</v>
      </c>
      <c r="AQ365" s="22" t="str">
        <f>Tabela1[[#This Row],[PRODUTO]]&amp;Tabela1[[#This Row],[TAG]]</f>
        <v>RMF1073-TC-006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72"/>
        <v>0.5</v>
      </c>
      <c r="AV365" s="37">
        <f t="shared" si="73"/>
        <v>0.5</v>
      </c>
      <c r="AW365" s="37"/>
    </row>
    <row r="366" spans="1:49" ht="15.75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67"/>
        <v>0.5</v>
      </c>
      <c r="S366" s="18">
        <f t="shared" si="65"/>
        <v>0.5</v>
      </c>
      <c r="T366" s="19">
        <f t="shared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71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9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66"/>
        <v>MDE-M-0028-RA/1073-TC-007</v>
      </c>
      <c r="AP366" t="str">
        <f>Tabela1[[#This Row],[TAG]]&amp;Tabela1[[#This Row],[PEDIDO]]&amp;Tabela1[[#This Row],[PRODUTO]]</f>
        <v>1073-TC-007P-188RMF</v>
      </c>
      <c r="AQ366" s="22" t="str">
        <f>Tabela1[[#This Row],[PRODUTO]]&amp;Tabela1[[#This Row],[TAG]]</f>
        <v>RMF1073-TC-007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72"/>
        <v>0.5</v>
      </c>
      <c r="AV366" s="37">
        <f t="shared" si="73"/>
        <v>0.5</v>
      </c>
      <c r="AW366" s="37"/>
    </row>
    <row r="367" spans="1:49" ht="15.75" customHeight="1" x14ac:dyDescent="0.25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-2</v>
      </c>
      <c r="R367" s="18">
        <f t="shared" si="67"/>
        <v>6</v>
      </c>
      <c r="S367" s="18">
        <f t="shared" si="65"/>
        <v>6</v>
      </c>
      <c r="T367" s="19">
        <f t="shared" si="70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6</v>
      </c>
      <c r="Y367" s="14">
        <f t="shared" si="71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9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66"/>
        <v>MDE-M-0028-RA/1073-TC-006</v>
      </c>
      <c r="AP367" t="str">
        <f>Tabela1[[#This Row],[TAG]]&amp;Tabela1[[#This Row],[PEDIDO]]&amp;Tabela1[[#This Row],[PRODUTO]]</f>
        <v>1073-TC-006P-188RMF</v>
      </c>
      <c r="AQ367" s="22" t="str">
        <f>Tabela1[[#This Row],[PRODUTO]]&amp;Tabela1[[#This Row],[TAG]]</f>
        <v>RMF1073-TC-006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72"/>
        <v>6</v>
      </c>
      <c r="AV367" s="37">
        <f t="shared" si="73"/>
        <v>6</v>
      </c>
      <c r="AW367" s="37"/>
    </row>
    <row r="368" spans="1:49" ht="15.75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67"/>
        <v>6</v>
      </c>
      <c r="S368" s="18">
        <f t="shared" si="65"/>
        <v>6</v>
      </c>
      <c r="T368" s="19">
        <f t="shared" si="70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71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9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66"/>
        <v>MDE-M-0028-RA/1073-TC-007</v>
      </c>
      <c r="AP368" t="str">
        <f>Tabela1[[#This Row],[TAG]]&amp;Tabela1[[#This Row],[PEDIDO]]&amp;Tabela1[[#This Row],[PRODUTO]]</f>
        <v>1073-TC-007P-188RMF</v>
      </c>
      <c r="AQ368" s="22" t="str">
        <f>Tabela1[[#This Row],[PRODUTO]]&amp;Tabela1[[#This Row],[TAG]]</f>
        <v>RMF1073-TC-007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72"/>
        <v>6</v>
      </c>
      <c r="AV368" s="37">
        <f t="shared" si="73"/>
        <v>6</v>
      </c>
      <c r="AW368" s="37"/>
    </row>
    <row r="369" spans="1:49" ht="15.75" customHeight="1" x14ac:dyDescent="0.25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>Tabela1[[#This Row],[QTDE/ Fabricação]]-Tabela1[[#This Row],[QTE]]</f>
        <v>-1</v>
      </c>
      <c r="R369" s="18">
        <f t="shared" si="67"/>
        <v>0.4</v>
      </c>
      <c r="S369" s="18">
        <f t="shared" si="65"/>
        <v>0.4</v>
      </c>
      <c r="T369" s="19">
        <f t="shared" si="70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0.4</v>
      </c>
      <c r="Y369" s="14">
        <f t="shared" si="71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9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66"/>
        <v>MDE-M-0029-RA/1073-TC-006</v>
      </c>
      <c r="AP369" t="str">
        <f>Tabela1[[#This Row],[TAG]]&amp;Tabela1[[#This Row],[PEDIDO]]&amp;Tabela1[[#This Row],[PRODUTO]]</f>
        <v>1073-TC-006P-188RMF</v>
      </c>
      <c r="AQ369" s="22" t="str">
        <f>Tabela1[[#This Row],[PRODUTO]]&amp;Tabela1[[#This Row],[TAG]]</f>
        <v>RMF1073-TC-006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72"/>
        <v>0.4</v>
      </c>
      <c r="AV369" s="37">
        <f t="shared" si="73"/>
        <v>0.4</v>
      </c>
      <c r="AW369" s="37"/>
    </row>
    <row r="370" spans="1:49" ht="15.75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67"/>
        <v>0.4</v>
      </c>
      <c r="S370" s="18">
        <f t="shared" si="65"/>
        <v>0.4</v>
      </c>
      <c r="T370" s="19">
        <f t="shared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71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9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66"/>
        <v>MDE-M-0029-RA/1073-TC-007</v>
      </c>
      <c r="AP370" t="str">
        <f>Tabela1[[#This Row],[TAG]]&amp;Tabela1[[#This Row],[PEDIDO]]&amp;Tabela1[[#This Row],[PRODUTO]]</f>
        <v>1073-TC-007P-188RMF</v>
      </c>
      <c r="AQ370" s="22" t="str">
        <f>Tabela1[[#This Row],[PRODUTO]]&amp;Tabela1[[#This Row],[TAG]]</f>
        <v>RMF1073-TC-007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72"/>
        <v>0.4</v>
      </c>
      <c r="AV370" s="37">
        <f t="shared" si="73"/>
        <v>0.4</v>
      </c>
      <c r="AW370" s="37"/>
    </row>
    <row r="371" spans="1:49" ht="15.75" customHeight="1" x14ac:dyDescent="0.25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67"/>
        <v>0.4</v>
      </c>
      <c r="S371" s="18">
        <f t="shared" si="65"/>
        <v>0.4</v>
      </c>
      <c r="T371" s="19">
        <f t="shared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71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9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66"/>
        <v>MDE-M-0029-RA/1073-TC-006</v>
      </c>
      <c r="AP371" t="str">
        <f>Tabela1[[#This Row],[TAG]]&amp;Tabela1[[#This Row],[PEDIDO]]&amp;Tabela1[[#This Row],[PRODUTO]]</f>
        <v>1073-TC-006P-188RMF</v>
      </c>
      <c r="AQ371" s="22" t="str">
        <f>Tabela1[[#This Row],[PRODUTO]]&amp;Tabela1[[#This Row],[TAG]]</f>
        <v>RMF1073-TC-006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72"/>
        <v>0.4</v>
      </c>
      <c r="AV371" s="37">
        <f t="shared" si="73"/>
        <v>0.4</v>
      </c>
      <c r="AW371" s="37"/>
    </row>
    <row r="372" spans="1:49" ht="15.75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67"/>
        <v>0.4</v>
      </c>
      <c r="S372" s="18">
        <f t="shared" si="65"/>
        <v>0.4</v>
      </c>
      <c r="T372" s="19">
        <f t="shared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71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9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66"/>
        <v>MDE-M-0029-RA/1073-TC-007</v>
      </c>
      <c r="AP372" t="str">
        <f>Tabela1[[#This Row],[TAG]]&amp;Tabela1[[#This Row],[PEDIDO]]&amp;Tabela1[[#This Row],[PRODUTO]]</f>
        <v>1073-TC-007P-188RMF</v>
      </c>
      <c r="AQ372" s="22" t="str">
        <f>Tabela1[[#This Row],[PRODUTO]]&amp;Tabela1[[#This Row],[TAG]]</f>
        <v>RMF1073-TC-007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72"/>
        <v>0.4</v>
      </c>
      <c r="AV372" s="37">
        <f t="shared" si="73"/>
        <v>0.4</v>
      </c>
      <c r="AW372" s="37"/>
    </row>
    <row r="373" spans="1:49" ht="15.75" customHeight="1" x14ac:dyDescent="0.25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67"/>
        <v>0.2</v>
      </c>
      <c r="S373" s="18">
        <f t="shared" ref="S373:S436" si="74">IFERROR(H373*AG373,"")</f>
        <v>0.2</v>
      </c>
      <c r="T373" s="19">
        <f t="shared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0.2</v>
      </c>
      <c r="Y373" s="14">
        <f t="shared" si="71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9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66"/>
        <v>MDE-M-0029-RA/1073-TC-006</v>
      </c>
      <c r="AP373" t="str">
        <f>Tabela1[[#This Row],[TAG]]&amp;Tabela1[[#This Row],[PEDIDO]]&amp;Tabela1[[#This Row],[PRODUTO]]</f>
        <v>1073-TC-006P-188RMF</v>
      </c>
      <c r="AQ373" s="22" t="str">
        <f>Tabela1[[#This Row],[PRODUTO]]&amp;Tabela1[[#This Row],[TAG]]</f>
        <v>RMF1073-TC-006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72"/>
        <v>0.2</v>
      </c>
      <c r="AV373" s="37">
        <f t="shared" si="73"/>
        <v>0.2</v>
      </c>
      <c r="AW373" s="37"/>
    </row>
    <row r="374" spans="1:49" ht="15.75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67"/>
        <v>0.2</v>
      </c>
      <c r="S374" s="18">
        <f t="shared" si="74"/>
        <v>0.2</v>
      </c>
      <c r="T374" s="19">
        <f t="shared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71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9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66"/>
        <v>MDE-M-0029-RA/1073-TC-007</v>
      </c>
      <c r="AP374" t="str">
        <f>Tabela1[[#This Row],[TAG]]&amp;Tabela1[[#This Row],[PEDIDO]]&amp;Tabela1[[#This Row],[PRODUTO]]</f>
        <v>1073-TC-007P-188RMF</v>
      </c>
      <c r="AQ374" s="22" t="str">
        <f>Tabela1[[#This Row],[PRODUTO]]&amp;Tabela1[[#This Row],[TAG]]</f>
        <v>RMF1073-TC-007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72"/>
        <v>0.2</v>
      </c>
      <c r="AV374" s="37">
        <f t="shared" si="73"/>
        <v>0.2</v>
      </c>
      <c r="AW374" s="37"/>
    </row>
    <row r="375" spans="1:49" ht="15.75" customHeight="1" x14ac:dyDescent="0.25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-2</v>
      </c>
      <c r="R375" s="18">
        <f t="shared" si="67"/>
        <v>7.8</v>
      </c>
      <c r="S375" s="18">
        <f t="shared" si="74"/>
        <v>7.8</v>
      </c>
      <c r="T375" s="19">
        <f t="shared" si="70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7.8</v>
      </c>
      <c r="Y375" s="14">
        <f t="shared" si="71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9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66"/>
        <v>MDE-M-0029-RA/1073-TC-006</v>
      </c>
      <c r="AP375" t="str">
        <f>Tabela1[[#This Row],[TAG]]&amp;Tabela1[[#This Row],[PEDIDO]]&amp;Tabela1[[#This Row],[PRODUTO]]</f>
        <v>1073-TC-006P-188RMF</v>
      </c>
      <c r="AQ375" s="22" t="str">
        <f>Tabela1[[#This Row],[PRODUTO]]&amp;Tabela1[[#This Row],[TAG]]</f>
        <v>RMF1073-TC-006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72"/>
        <v>7.8</v>
      </c>
      <c r="AV375" s="37">
        <f t="shared" si="73"/>
        <v>7.8</v>
      </c>
      <c r="AW375" s="37"/>
    </row>
    <row r="376" spans="1:49" ht="15.75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67"/>
        <v>7.8</v>
      </c>
      <c r="S376" s="18">
        <f t="shared" si="74"/>
        <v>7.8</v>
      </c>
      <c r="T376" s="19">
        <f t="shared" si="70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71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9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66"/>
        <v>MDE-M-0029-RA/1073-TC-007</v>
      </c>
      <c r="AP376" t="str">
        <f>Tabela1[[#This Row],[TAG]]&amp;Tabela1[[#This Row],[PEDIDO]]&amp;Tabela1[[#This Row],[PRODUTO]]</f>
        <v>1073-TC-007P-188RMF</v>
      </c>
      <c r="AQ376" s="22" t="str">
        <f>Tabela1[[#This Row],[PRODUTO]]&amp;Tabela1[[#This Row],[TAG]]</f>
        <v>RMF1073-TC-007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72"/>
        <v>7.8</v>
      </c>
      <c r="AV376" s="37">
        <f t="shared" si="73"/>
        <v>7.8</v>
      </c>
      <c r="AW376" s="37"/>
    </row>
    <row r="377" spans="1:49" ht="15.75" customHeight="1" x14ac:dyDescent="0.25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-4</v>
      </c>
      <c r="R377" s="18">
        <f t="shared" si="67"/>
        <v>9.1999999999999993</v>
      </c>
      <c r="S377" s="18">
        <f t="shared" si="74"/>
        <v>9.1999999999999993</v>
      </c>
      <c r="T377" s="19">
        <f t="shared" si="70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9.1999999999999993</v>
      </c>
      <c r="Y377" s="14">
        <f t="shared" si="71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9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66"/>
        <v>MDE-M-0029-RA/1073-TC-006</v>
      </c>
      <c r="AP377" t="str">
        <f>Tabela1[[#This Row],[TAG]]&amp;Tabela1[[#This Row],[PEDIDO]]&amp;Tabela1[[#This Row],[PRODUTO]]</f>
        <v>1073-TC-006P-188RMF</v>
      </c>
      <c r="AQ377" s="22" t="str">
        <f>Tabela1[[#This Row],[PRODUTO]]&amp;Tabela1[[#This Row],[TAG]]</f>
        <v>RMF1073-TC-006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72"/>
        <v>9.1999999999999993</v>
      </c>
      <c r="AV377" s="37">
        <f t="shared" si="73"/>
        <v>9.1999999999999993</v>
      </c>
      <c r="AW377" s="37"/>
    </row>
    <row r="378" spans="1:49" ht="15.75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67"/>
        <v>9.1999999999999993</v>
      </c>
      <c r="S378" s="18">
        <f t="shared" si="74"/>
        <v>9.1999999999999993</v>
      </c>
      <c r="T378" s="19">
        <f t="shared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71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9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66"/>
        <v>MDE-M-0029-RA/1073-TC-007</v>
      </c>
      <c r="AP378" t="str">
        <f>Tabela1[[#This Row],[TAG]]&amp;Tabela1[[#This Row],[PEDIDO]]&amp;Tabela1[[#This Row],[PRODUTO]]</f>
        <v>1073-TC-007P-188RMF</v>
      </c>
      <c r="AQ378" s="22" t="str">
        <f>Tabela1[[#This Row],[PRODUTO]]&amp;Tabela1[[#This Row],[TAG]]</f>
        <v>RMF1073-TC-007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72"/>
        <v>9.1999999999999993</v>
      </c>
      <c r="AV378" s="37">
        <f t="shared" si="73"/>
        <v>9.1999999999999993</v>
      </c>
      <c r="AW378" s="37"/>
    </row>
    <row r="379" spans="1:49" ht="15.75" customHeight="1" x14ac:dyDescent="0.25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-1</v>
      </c>
      <c r="R379" s="18">
        <f t="shared" si="67"/>
        <v>4.3</v>
      </c>
      <c r="S379" s="18">
        <f t="shared" si="74"/>
        <v>4.3</v>
      </c>
      <c r="T379" s="19">
        <f t="shared" si="70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4.3</v>
      </c>
      <c r="Y379" s="14">
        <f t="shared" si="71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9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66"/>
        <v>MDE-M-0029-RA/1073-TC-006</v>
      </c>
      <c r="AP379" t="str">
        <f>Tabela1[[#This Row],[TAG]]&amp;Tabela1[[#This Row],[PEDIDO]]&amp;Tabela1[[#This Row],[PRODUTO]]</f>
        <v>1073-TC-006P-188RMF</v>
      </c>
      <c r="AQ379" s="22" t="str">
        <f>Tabela1[[#This Row],[PRODUTO]]&amp;Tabela1[[#This Row],[TAG]]</f>
        <v>RMF1073-TC-006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72"/>
        <v>4.3</v>
      </c>
      <c r="AV379" s="37">
        <f t="shared" si="73"/>
        <v>4.3</v>
      </c>
      <c r="AW379" s="37"/>
    </row>
    <row r="380" spans="1:49" ht="15.75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67"/>
        <v>4.3</v>
      </c>
      <c r="S380" s="18">
        <f t="shared" si="74"/>
        <v>4.3</v>
      </c>
      <c r="T380" s="19">
        <f t="shared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71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9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66"/>
        <v>MDE-M-0029-RA/1073-TC-007</v>
      </c>
      <c r="AP380" t="str">
        <f>Tabela1[[#This Row],[TAG]]&amp;Tabela1[[#This Row],[PEDIDO]]&amp;Tabela1[[#This Row],[PRODUTO]]</f>
        <v>1073-TC-007P-188RMF</v>
      </c>
      <c r="AQ380" s="22" t="str">
        <f>Tabela1[[#This Row],[PRODUTO]]&amp;Tabela1[[#This Row],[TAG]]</f>
        <v>RMF1073-TC-007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72"/>
        <v>4.3</v>
      </c>
      <c r="AV380" s="37">
        <f t="shared" si="73"/>
        <v>4.3</v>
      </c>
      <c r="AW380" s="37"/>
    </row>
    <row r="381" spans="1:49" ht="15.75" customHeight="1" x14ac:dyDescent="0.25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67"/>
        <v>4</v>
      </c>
      <c r="S381" s="18">
        <f t="shared" si="74"/>
        <v>4</v>
      </c>
      <c r="T381" s="19">
        <f t="shared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</v>
      </c>
      <c r="Y381" s="14">
        <f t="shared" si="71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9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66"/>
        <v>MDE-M-0029-RA/1073-TC-006</v>
      </c>
      <c r="AP381" t="str">
        <f>Tabela1[[#This Row],[TAG]]&amp;Tabela1[[#This Row],[PEDIDO]]&amp;Tabela1[[#This Row],[PRODUTO]]</f>
        <v>1073-TC-006P-188RMF</v>
      </c>
      <c r="AQ381" s="22" t="str">
        <f>Tabela1[[#This Row],[PRODUTO]]&amp;Tabela1[[#This Row],[TAG]]</f>
        <v>RMF1073-TC-006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72"/>
        <v>4</v>
      </c>
      <c r="AV381" s="37">
        <f t="shared" si="73"/>
        <v>4</v>
      </c>
      <c r="AW381" s="37"/>
    </row>
    <row r="382" spans="1:49" ht="15.75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67"/>
        <v>4</v>
      </c>
      <c r="S382" s="18">
        <f t="shared" si="74"/>
        <v>4</v>
      </c>
      <c r="T382" s="19">
        <f t="shared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71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9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66"/>
        <v>MDE-M-0029-RA/1073-TC-007</v>
      </c>
      <c r="AP382" t="str">
        <f>Tabela1[[#This Row],[TAG]]&amp;Tabela1[[#This Row],[PEDIDO]]&amp;Tabela1[[#This Row],[PRODUTO]]</f>
        <v>1073-TC-007P-188RMF</v>
      </c>
      <c r="AQ382" s="22" t="str">
        <f>Tabela1[[#This Row],[PRODUTO]]&amp;Tabela1[[#This Row],[TAG]]</f>
        <v>RMF1073-TC-007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72"/>
        <v>4</v>
      </c>
      <c r="AV382" s="37">
        <f t="shared" si="73"/>
        <v>4</v>
      </c>
      <c r="AW382" s="37"/>
    </row>
    <row r="383" spans="1:49" ht="15.75" customHeight="1" x14ac:dyDescent="0.25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67"/>
        <v>11.8</v>
      </c>
      <c r="S383" s="18">
        <f t="shared" si="74"/>
        <v>11.8</v>
      </c>
      <c r="T383" s="19">
        <f t="shared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11.8</v>
      </c>
      <c r="Y383" s="14">
        <f t="shared" si="71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9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66"/>
        <v>T-072994-1/1073-TC-006</v>
      </c>
      <c r="AP383" t="str">
        <f>Tabela1[[#This Row],[TAG]]&amp;Tabela1[[#This Row],[PEDIDO]]&amp;Tabela1[[#This Row],[PRODUTO]]</f>
        <v>1073-TC-006P-188RMF</v>
      </c>
      <c r="AQ383" s="22" t="str">
        <f>Tabela1[[#This Row],[PRODUTO]]&amp;Tabela1[[#This Row],[TAG]]</f>
        <v>RMF1073-TC-006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72"/>
        <v>11.8</v>
      </c>
      <c r="AV383" s="37">
        <f t="shared" si="73"/>
        <v>11.8</v>
      </c>
      <c r="AW383" s="37"/>
    </row>
    <row r="384" spans="1:49" ht="15.75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67"/>
        <v>11.8</v>
      </c>
      <c r="S384" s="18">
        <f t="shared" si="74"/>
        <v>11.8</v>
      </c>
      <c r="T384" s="19">
        <f t="shared" si="70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71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9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66"/>
        <v>T-072994-1/1073-TC-007</v>
      </c>
      <c r="AP384" t="str">
        <f>Tabela1[[#This Row],[TAG]]&amp;Tabela1[[#This Row],[PEDIDO]]&amp;Tabela1[[#This Row],[PRODUTO]]</f>
        <v>1073-TC-007P-188RMF</v>
      </c>
      <c r="AQ384" s="22" t="str">
        <f>Tabela1[[#This Row],[PRODUTO]]&amp;Tabela1[[#This Row],[TAG]]</f>
        <v>RMF1073-TC-007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72"/>
        <v>11.8</v>
      </c>
      <c r="AV384" s="37">
        <f t="shared" si="73"/>
        <v>11.8</v>
      </c>
      <c r="AW384" s="37"/>
    </row>
    <row r="385" spans="1:49" ht="15.75" customHeight="1" x14ac:dyDescent="0.25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67"/>
        <v>11.2</v>
      </c>
      <c r="S385" s="18">
        <f t="shared" si="74"/>
        <v>11.2</v>
      </c>
      <c r="T385" s="19">
        <f t="shared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11.2</v>
      </c>
      <c r="Y385" s="14">
        <f t="shared" si="71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9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66"/>
        <v>T-072994-1/1073-TC-006</v>
      </c>
      <c r="AP385" t="str">
        <f>Tabela1[[#This Row],[TAG]]&amp;Tabela1[[#This Row],[PEDIDO]]&amp;Tabela1[[#This Row],[PRODUTO]]</f>
        <v>1073-TC-006P-188RMF</v>
      </c>
      <c r="AQ385" s="22" t="str">
        <f>Tabela1[[#This Row],[PRODUTO]]&amp;Tabela1[[#This Row],[TAG]]</f>
        <v>RMF1073-TC-006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72"/>
        <v>11.2</v>
      </c>
      <c r="AV385" s="37">
        <f t="shared" si="73"/>
        <v>11.2</v>
      </c>
      <c r="AW385" s="37"/>
    </row>
    <row r="386" spans="1:49" ht="15.75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67"/>
        <v>11.2</v>
      </c>
      <c r="S386" s="18">
        <f t="shared" si="74"/>
        <v>11.2</v>
      </c>
      <c r="T386" s="19">
        <f t="shared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71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9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66"/>
        <v>T-072994-1/1073-TC-007</v>
      </c>
      <c r="AP386" t="str">
        <f>Tabela1[[#This Row],[TAG]]&amp;Tabela1[[#This Row],[PEDIDO]]&amp;Tabela1[[#This Row],[PRODUTO]]</f>
        <v>1073-TC-007P-188RMF</v>
      </c>
      <c r="AQ386" s="22" t="str">
        <f>Tabela1[[#This Row],[PRODUTO]]&amp;Tabela1[[#This Row],[TAG]]</f>
        <v>RMF1073-TC-007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72"/>
        <v>11.2</v>
      </c>
      <c r="AV386" s="37">
        <f t="shared" si="73"/>
        <v>11.2</v>
      </c>
      <c r="AW386" s="37"/>
    </row>
    <row r="387" spans="1:49" ht="15.75" customHeight="1" x14ac:dyDescent="0.25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-2</v>
      </c>
      <c r="R387" s="18">
        <f t="shared" si="67"/>
        <v>31.8</v>
      </c>
      <c r="S387" s="18">
        <f t="shared" si="74"/>
        <v>31.8</v>
      </c>
      <c r="T387" s="19">
        <f t="shared" si="70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31.8</v>
      </c>
      <c r="Y387" s="14">
        <f t="shared" si="71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9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66"/>
        <v>T-072994-1/1073-TC-006</v>
      </c>
      <c r="AP387" t="str">
        <f>Tabela1[[#This Row],[TAG]]&amp;Tabela1[[#This Row],[PEDIDO]]&amp;Tabela1[[#This Row],[PRODUTO]]</f>
        <v>1073-TC-006P-188RMF</v>
      </c>
      <c r="AQ387" s="22" t="str">
        <f>Tabela1[[#This Row],[PRODUTO]]&amp;Tabela1[[#This Row],[TAG]]</f>
        <v>RMF1073-TC-006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72"/>
        <v>31.8</v>
      </c>
      <c r="AV387" s="37">
        <f t="shared" si="73"/>
        <v>31.8</v>
      </c>
      <c r="AW387" s="37"/>
    </row>
    <row r="388" spans="1:49" ht="15.75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67"/>
        <v>31.8</v>
      </c>
      <c r="S388" s="18">
        <f t="shared" si="74"/>
        <v>31.8</v>
      </c>
      <c r="T388" s="19">
        <f t="shared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71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9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ref="AO388:AO438" si="75">A388&amp;"/"&amp;J388</f>
        <v>T-072994-1/1073-TC-007</v>
      </c>
      <c r="AP388" t="str">
        <f>Tabela1[[#This Row],[TAG]]&amp;Tabela1[[#This Row],[PEDIDO]]&amp;Tabela1[[#This Row],[PRODUTO]]</f>
        <v>1073-TC-007P-188RMF</v>
      </c>
      <c r="AQ388" s="22" t="str">
        <f>Tabela1[[#This Row],[PRODUTO]]&amp;Tabela1[[#This Row],[TAG]]</f>
        <v>RMF1073-TC-007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72"/>
        <v>31.8</v>
      </c>
      <c r="AV388" s="37">
        <f t="shared" si="73"/>
        <v>31.8</v>
      </c>
      <c r="AW388" s="37"/>
    </row>
    <row r="389" spans="1:49" ht="15.75" customHeight="1" x14ac:dyDescent="0.25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-3</v>
      </c>
      <c r="R389" s="18">
        <f t="shared" si="67"/>
        <v>58.199999999999996</v>
      </c>
      <c r="S389" s="18">
        <f t="shared" si="74"/>
        <v>58.199999999999996</v>
      </c>
      <c r="T389" s="19">
        <f t="shared" si="70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58.199999999999996</v>
      </c>
      <c r="Y389" s="14">
        <f t="shared" si="71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9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si="75"/>
        <v>T-072994-1/1073-TC-006</v>
      </c>
      <c r="AP389" t="str">
        <f>Tabela1[[#This Row],[TAG]]&amp;Tabela1[[#This Row],[PEDIDO]]&amp;Tabela1[[#This Row],[PRODUTO]]</f>
        <v>1073-TC-006P-188RMF</v>
      </c>
      <c r="AQ389" s="22" t="str">
        <f>Tabela1[[#This Row],[PRODUTO]]&amp;Tabela1[[#This Row],[TAG]]</f>
        <v>RMF1073-TC-006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72"/>
        <v>58.199999999999996</v>
      </c>
      <c r="AV389" s="37">
        <f t="shared" si="73"/>
        <v>58.199999999999996</v>
      </c>
      <c r="AW389" s="37"/>
    </row>
    <row r="390" spans="1:49" ht="15.75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67"/>
        <v>58.199999999999996</v>
      </c>
      <c r="S390" s="18">
        <f t="shared" si="74"/>
        <v>58.199999999999996</v>
      </c>
      <c r="T390" s="19">
        <f t="shared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71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9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75"/>
        <v>T-072994-1/1073-TC-007</v>
      </c>
      <c r="AP390" t="str">
        <f>Tabela1[[#This Row],[TAG]]&amp;Tabela1[[#This Row],[PEDIDO]]&amp;Tabela1[[#This Row],[PRODUTO]]</f>
        <v>1073-TC-007P-188RMF</v>
      </c>
      <c r="AQ390" s="22" t="str">
        <f>Tabela1[[#This Row],[PRODUTO]]&amp;Tabela1[[#This Row],[TAG]]</f>
        <v>RMF1073-TC-007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72"/>
        <v>58.199999999999996</v>
      </c>
      <c r="AV390" s="37">
        <f t="shared" si="73"/>
        <v>58.199999999999996</v>
      </c>
      <c r="AW390" s="37"/>
    </row>
    <row r="391" spans="1:49" ht="15.75" customHeight="1" x14ac:dyDescent="0.25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-1</v>
      </c>
      <c r="R391" s="18">
        <f t="shared" si="67"/>
        <v>19.399999999999999</v>
      </c>
      <c r="S391" s="18">
        <f t="shared" si="74"/>
        <v>19.399999999999999</v>
      </c>
      <c r="T391" s="19">
        <f t="shared" si="70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19.399999999999999</v>
      </c>
      <c r="Y391" s="14">
        <f t="shared" si="71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9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75"/>
        <v>T-072994-1/1073-TC-006</v>
      </c>
      <c r="AP391" t="str">
        <f>Tabela1[[#This Row],[TAG]]&amp;Tabela1[[#This Row],[PEDIDO]]&amp;Tabela1[[#This Row],[PRODUTO]]</f>
        <v>1073-TC-006P-188RMF</v>
      </c>
      <c r="AQ391" s="22" t="str">
        <f>Tabela1[[#This Row],[PRODUTO]]&amp;Tabela1[[#This Row],[TAG]]</f>
        <v>RMF1073-TC-006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72"/>
        <v>19.399999999999999</v>
      </c>
      <c r="AV391" s="37">
        <f t="shared" si="73"/>
        <v>19.399999999999999</v>
      </c>
      <c r="AW391" s="37"/>
    </row>
    <row r="392" spans="1:49" ht="15.75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67"/>
        <v>19.399999999999999</v>
      </c>
      <c r="S392" s="18">
        <f t="shared" si="74"/>
        <v>19.399999999999999</v>
      </c>
      <c r="T392" s="19">
        <f t="shared" si="70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71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9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75"/>
        <v>T-072994-1/1073-TC-007</v>
      </c>
      <c r="AP392" t="str">
        <f>Tabela1[[#This Row],[TAG]]&amp;Tabela1[[#This Row],[PEDIDO]]&amp;Tabela1[[#This Row],[PRODUTO]]</f>
        <v>1073-TC-007P-188RMF</v>
      </c>
      <c r="AQ392" s="22" t="str">
        <f>Tabela1[[#This Row],[PRODUTO]]&amp;Tabela1[[#This Row],[TAG]]</f>
        <v>RMF1073-TC-007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72"/>
        <v>19.399999999999999</v>
      </c>
      <c r="AV392" s="37">
        <f t="shared" si="73"/>
        <v>19.399999999999999</v>
      </c>
      <c r="AW392" s="37"/>
    </row>
    <row r="393" spans="1:49" ht="15.75" customHeight="1" x14ac:dyDescent="0.25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-18</v>
      </c>
      <c r="R393" s="18">
        <f t="shared" si="67"/>
        <v>2.6999999999999997</v>
      </c>
      <c r="S393" s="18">
        <f t="shared" si="74"/>
        <v>2.6999999999999997</v>
      </c>
      <c r="T393" s="19">
        <f t="shared" si="70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2.6999999999999997</v>
      </c>
      <c r="Y393" s="14">
        <f t="shared" si="71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9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75"/>
        <v>T-072994-1/1073-TC-006</v>
      </c>
      <c r="AP393" t="str">
        <f>Tabela1[[#This Row],[TAG]]&amp;Tabela1[[#This Row],[PEDIDO]]&amp;Tabela1[[#This Row],[PRODUTO]]</f>
        <v>1073-TC-006P-188RMF</v>
      </c>
      <c r="AQ393" s="22" t="str">
        <f>Tabela1[[#This Row],[PRODUTO]]&amp;Tabela1[[#This Row],[TAG]]</f>
        <v>RMF1073-TC-006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72"/>
        <v>2.6999999999999997</v>
      </c>
      <c r="AV393" s="37">
        <f t="shared" si="73"/>
        <v>2.6999999999999997</v>
      </c>
      <c r="AW393" s="37"/>
    </row>
    <row r="394" spans="1:49" ht="15.75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67"/>
        <v>2.6999999999999997</v>
      </c>
      <c r="S394" s="18">
        <f t="shared" si="74"/>
        <v>2.6999999999999997</v>
      </c>
      <c r="T394" s="19">
        <f t="shared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71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9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75"/>
        <v>T-072994-1/1073-TC-007</v>
      </c>
      <c r="AP394" t="str">
        <f>Tabela1[[#This Row],[TAG]]&amp;Tabela1[[#This Row],[PEDIDO]]&amp;Tabela1[[#This Row],[PRODUTO]]</f>
        <v>1073-TC-007P-188RMF</v>
      </c>
      <c r="AQ394" s="22" t="str">
        <f>Tabela1[[#This Row],[PRODUTO]]&amp;Tabela1[[#This Row],[TAG]]</f>
        <v>RMF1073-TC-007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72"/>
        <v>2.6999999999999997</v>
      </c>
      <c r="AV394" s="37">
        <f t="shared" si="73"/>
        <v>2.6999999999999997</v>
      </c>
      <c r="AW394" s="37"/>
    </row>
    <row r="395" spans="1:49" ht="15.75" customHeight="1" x14ac:dyDescent="0.25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>Tabela1[[#This Row],[QTDE/ Fabricação]]-Tabela1[[#This Row],[QTE]]</f>
        <v>-1</v>
      </c>
      <c r="R395" s="18">
        <f t="shared" si="67"/>
        <v>265.89999999999998</v>
      </c>
      <c r="S395" s="18">
        <f t="shared" si="74"/>
        <v>265.89999999999998</v>
      </c>
      <c r="T395" s="19">
        <f t="shared" si="70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265.89999999999998</v>
      </c>
      <c r="Y395" s="14">
        <f t="shared" si="71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9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75"/>
        <v>T-072995-1/1073-TC-006</v>
      </c>
      <c r="AP395" t="str">
        <f>Tabela1[[#This Row],[TAG]]&amp;Tabela1[[#This Row],[PEDIDO]]&amp;Tabela1[[#This Row],[PRODUTO]]</f>
        <v>1073-TC-006P-188RMF</v>
      </c>
      <c r="AQ395" s="22" t="str">
        <f>Tabela1[[#This Row],[PRODUTO]]&amp;Tabela1[[#This Row],[TAG]]</f>
        <v>RMF1073-TC-006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72"/>
        <v>265.89999999999998</v>
      </c>
      <c r="AV395" s="37">
        <f t="shared" si="73"/>
        <v>265.89999999999998</v>
      </c>
      <c r="AW395" s="37"/>
    </row>
    <row r="396" spans="1:49" ht="15.75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67"/>
        <v>265.89999999999998</v>
      </c>
      <c r="S396" s="18">
        <f t="shared" si="74"/>
        <v>265.89999999999998</v>
      </c>
      <c r="T396" s="19">
        <f t="shared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71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9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75"/>
        <v>T-072995-1/1073-TC-007</v>
      </c>
      <c r="AP396" t="str">
        <f>Tabela1[[#This Row],[TAG]]&amp;Tabela1[[#This Row],[PEDIDO]]&amp;Tabela1[[#This Row],[PRODUTO]]</f>
        <v>1073-TC-007P-188RMF</v>
      </c>
      <c r="AQ396" s="22" t="str">
        <f>Tabela1[[#This Row],[PRODUTO]]&amp;Tabela1[[#This Row],[TAG]]</f>
        <v>RMF1073-TC-007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72"/>
        <v>265.89999999999998</v>
      </c>
      <c r="AV396" s="37">
        <f t="shared" si="73"/>
        <v>265.89999999999998</v>
      </c>
      <c r="AW396" s="37"/>
    </row>
    <row r="397" spans="1:49" ht="15.75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67"/>
        <v>15.8</v>
      </c>
      <c r="S397" s="18">
        <f t="shared" si="74"/>
        <v>15.8</v>
      </c>
      <c r="T397" s="19">
        <f t="shared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15.8</v>
      </c>
      <c r="Y397" s="14">
        <f t="shared" si="71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9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75"/>
        <v>T-072996-1/1073-TC-006</v>
      </c>
      <c r="AP397" t="str">
        <f>Tabela1[[#This Row],[TAG]]&amp;Tabela1[[#This Row],[PEDIDO]]&amp;Tabela1[[#This Row],[PRODUTO]]</f>
        <v>1073-TC-006P-188RMF</v>
      </c>
      <c r="AQ397" s="22" t="str">
        <f>Tabela1[[#This Row],[PRODUTO]]&amp;Tabela1[[#This Row],[TAG]]</f>
        <v>RMF1073-TC-006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72"/>
        <v>15.8</v>
      </c>
      <c r="AV397" s="37">
        <f t="shared" si="73"/>
        <v>15.8</v>
      </c>
      <c r="AW397" s="37"/>
    </row>
    <row r="398" spans="1:49" ht="15.75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67"/>
        <v>15.8</v>
      </c>
      <c r="S398" s="18">
        <f t="shared" si="74"/>
        <v>15.8</v>
      </c>
      <c r="T398" s="19">
        <f t="shared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71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9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75"/>
        <v>T-072996-1/1073-TC-007</v>
      </c>
      <c r="AP398" t="str">
        <f>Tabela1[[#This Row],[TAG]]&amp;Tabela1[[#This Row],[PEDIDO]]&amp;Tabela1[[#This Row],[PRODUTO]]</f>
        <v>1073-TC-007P-188RMF</v>
      </c>
      <c r="AQ398" s="22" t="str">
        <f>Tabela1[[#This Row],[PRODUTO]]&amp;Tabela1[[#This Row],[TAG]]</f>
        <v>RMF1073-TC-007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72"/>
        <v>15.8</v>
      </c>
      <c r="AV398" s="37">
        <f t="shared" si="73"/>
        <v>15.8</v>
      </c>
      <c r="AW398" s="37"/>
    </row>
    <row r="399" spans="1:49" ht="15.75" customHeight="1" x14ac:dyDescent="0.25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67"/>
        <v>49.5</v>
      </c>
      <c r="S399" s="18">
        <f t="shared" si="74"/>
        <v>49.5</v>
      </c>
      <c r="T399" s="19">
        <f t="shared" si="70"/>
        <v>0</v>
      </c>
      <c r="U399" s="204">
        <v>1</v>
      </c>
      <c r="V399" s="12">
        <v>13</v>
      </c>
      <c r="W399" s="13"/>
      <c r="X399" s="14">
        <f>IFERROR(Tabela1[[#This Row],[QIANTIDADE EXPEDIDA]]*Tabela1[[#This Row],[PESO UNI]],"")</f>
        <v>49.5</v>
      </c>
      <c r="Y399" s="14">
        <f t="shared" si="71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9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75"/>
        <v>T-072953-1/1073-TC-006</v>
      </c>
      <c r="AP399" t="str">
        <f>Tabela1[[#This Row],[TAG]]&amp;Tabela1[[#This Row],[PEDIDO]]&amp;Tabela1[[#This Row],[PRODUTO]]</f>
        <v>1073-TC-006P-188RMF</v>
      </c>
      <c r="AQ399" s="22" t="str">
        <f>Tabela1[[#This Row],[PRODUTO]]&amp;Tabela1[[#This Row],[TAG]]</f>
        <v>RMF1073-TC-006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72"/>
        <v>49.5</v>
      </c>
      <c r="AV399" s="37">
        <f t="shared" si="73"/>
        <v>49.5</v>
      </c>
      <c r="AW399" s="37"/>
    </row>
    <row r="400" spans="1:49" ht="15.75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67"/>
        <v>49.5</v>
      </c>
      <c r="S400" s="18">
        <f t="shared" si="74"/>
        <v>49.5</v>
      </c>
      <c r="T400" s="19">
        <f t="shared" si="70"/>
        <v>0</v>
      </c>
      <c r="U400" s="204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71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9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75"/>
        <v>T-072953-1/1073-TC-007</v>
      </c>
      <c r="AP400" t="str">
        <f>Tabela1[[#This Row],[TAG]]&amp;Tabela1[[#This Row],[PEDIDO]]&amp;Tabela1[[#This Row],[PRODUTO]]</f>
        <v>1073-TC-007P-188RMF</v>
      </c>
      <c r="AQ400" s="22" t="str">
        <f>Tabela1[[#This Row],[PRODUTO]]&amp;Tabela1[[#This Row],[TAG]]</f>
        <v>RMF1073-TC-007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72"/>
        <v>49.5</v>
      </c>
      <c r="AV400" s="37">
        <f t="shared" si="73"/>
        <v>49.5</v>
      </c>
      <c r="AW400" s="37"/>
    </row>
    <row r="401" spans="1:49" ht="15.75" customHeight="1" x14ac:dyDescent="0.25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67"/>
        <v>282</v>
      </c>
      <c r="S401" s="18">
        <f t="shared" si="74"/>
        <v>282</v>
      </c>
      <c r="T401" s="19">
        <f t="shared" si="70"/>
        <v>0</v>
      </c>
      <c r="U401" s="204">
        <v>1</v>
      </c>
      <c r="V401" s="12">
        <v>13</v>
      </c>
      <c r="W401" s="13"/>
      <c r="X401" s="14">
        <f>IFERROR(Tabela1[[#This Row],[QIANTIDADE EXPEDIDA]]*Tabela1[[#This Row],[PESO UNI]],"")</f>
        <v>282</v>
      </c>
      <c r="Y401" s="14">
        <f t="shared" si="71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9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75"/>
        <v>T-072982-1/1073-TC-006</v>
      </c>
      <c r="AP401" t="str">
        <f>Tabela1[[#This Row],[TAG]]&amp;Tabela1[[#This Row],[PEDIDO]]&amp;Tabela1[[#This Row],[PRODUTO]]</f>
        <v>1073-TC-006P-188RMF</v>
      </c>
      <c r="AQ401" s="22" t="str">
        <f>Tabela1[[#This Row],[PRODUTO]]&amp;Tabela1[[#This Row],[TAG]]</f>
        <v>RMF1073-TC-006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72"/>
        <v>282</v>
      </c>
      <c r="AV401" s="37">
        <f t="shared" si="73"/>
        <v>282</v>
      </c>
      <c r="AW401" s="37"/>
    </row>
    <row r="402" spans="1:49" ht="15.75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67"/>
        <v>282</v>
      </c>
      <c r="S402" s="18">
        <f t="shared" si="74"/>
        <v>282</v>
      </c>
      <c r="T402" s="19">
        <f t="shared" si="70"/>
        <v>0</v>
      </c>
      <c r="U402" s="204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71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9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75"/>
        <v>T-072982-1/1073-TC-007</v>
      </c>
      <c r="AP402" t="str">
        <f>Tabela1[[#This Row],[TAG]]&amp;Tabela1[[#This Row],[PEDIDO]]&amp;Tabela1[[#This Row],[PRODUTO]]</f>
        <v>1073-TC-007P-188RMF</v>
      </c>
      <c r="AQ402" s="22" t="str">
        <f>Tabela1[[#This Row],[PRODUTO]]&amp;Tabela1[[#This Row],[TAG]]</f>
        <v>RMF1073-TC-007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72"/>
        <v>282</v>
      </c>
      <c r="AV402" s="37">
        <f t="shared" si="73"/>
        <v>282</v>
      </c>
      <c r="AW402" s="37"/>
    </row>
    <row r="403" spans="1:49" ht="15.75" customHeight="1" x14ac:dyDescent="0.25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>Tabela1[[#This Row],[QTDE/ Fabricação]]-Tabela1[[#This Row],[QTE]]</f>
        <v>-4</v>
      </c>
      <c r="R403" s="18">
        <f t="shared" si="67"/>
        <v>199.48</v>
      </c>
      <c r="S403" s="18">
        <f t="shared" si="74"/>
        <v>199.48</v>
      </c>
      <c r="T403" s="19">
        <f t="shared" si="70"/>
        <v>0</v>
      </c>
      <c r="U403" s="16">
        <f>IFERROR(SUMIF('LISTA DE EMBARQUE'!B:B,MICRO!E:E,'LISTA DE EMBARQUE'!G:G),"")</f>
        <v>4</v>
      </c>
      <c r="V403" s="12">
        <f>IFERROR(VLOOKUP(Tabela1[[#This Row],[COD.MDE]],'LISTA DE EMBARQUE'!B:L,11,0),"")</f>
        <v>14</v>
      </c>
      <c r="W403" s="13">
        <f>IFERROR(VLOOKUP(Tabela1[[#This Row],[COD.MDE]],'LISTA DE EMBARQUE'!B:M,12,0),"")</f>
        <v>46261</v>
      </c>
      <c r="X403" s="14">
        <f>IFERROR(Tabela1[[#This Row],[QIANTIDADE EXPEDIDA]]*Tabela1[[#This Row],[PESO UNI]],"")</f>
        <v>199.48</v>
      </c>
      <c r="Y403" s="14">
        <f t="shared" si="71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9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75"/>
        <v>T-072955-1/1073-TC-006/007</v>
      </c>
      <c r="AP403" t="str">
        <f>Tabela1[[#This Row],[TAG]]&amp;Tabela1[[#This Row],[PEDIDO]]&amp;Tabela1[[#This Row],[PRODUTO]]</f>
        <v>1073-TC-006/007P-188RMF</v>
      </c>
      <c r="AQ403" s="22" t="str">
        <f>Tabela1[[#This Row],[PRODUTO]]&amp;Tabela1[[#This Row],[TAG]]</f>
        <v>RMF1073-TC-006/007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72"/>
        <v>199.48</v>
      </c>
      <c r="AV403" s="37">
        <f t="shared" si="73"/>
        <v>199.48</v>
      </c>
      <c r="AW403" s="37"/>
    </row>
    <row r="404" spans="1:49" ht="15.75" customHeight="1" x14ac:dyDescent="0.25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67"/>
        <v>200</v>
      </c>
      <c r="S404" s="18">
        <f t="shared" si="74"/>
        <v>200</v>
      </c>
      <c r="T404" s="19">
        <f t="shared" si="70"/>
        <v>0</v>
      </c>
      <c r="U404" s="16">
        <f>IFERROR(SUMIF('LISTA DE EMBARQUE'!B:B,MICRO!E:E,'LISTA DE EMBARQUE'!G:G),"")</f>
        <v>4</v>
      </c>
      <c r="V404" s="12">
        <f>IFERROR(VLOOKUP(Tabela1[[#This Row],[COD.MDE]],'LISTA DE EMBARQUE'!B:L,11,0),"")</f>
        <v>14</v>
      </c>
      <c r="W404" s="13">
        <f>IFERROR(VLOOKUP(Tabela1[[#This Row],[COD.MDE]],'LISTA DE EMBARQUE'!B:M,12,0),"")</f>
        <v>46261</v>
      </c>
      <c r="X404" s="14">
        <f>IFERROR(Tabela1[[#This Row],[QIANTIDADE EXPEDIDA]]*Tabela1[[#This Row],[PESO UNI]],"")</f>
        <v>200</v>
      </c>
      <c r="Y404" s="14">
        <f t="shared" si="71"/>
        <v>0</v>
      </c>
      <c r="Z404" s="20">
        <f>Tabela1[[#This Row],[PESO TOTAL]]-Tabela1[[#This Row],[Peso Expedido]]</f>
        <v>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>
        <v>1</v>
      </c>
      <c r="AI404" s="33" t="str">
        <f t="shared" si="69"/>
        <v>ok</v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75"/>
        <v>T-072957-1/1073-TC-006/007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72"/>
        <v>200</v>
      </c>
      <c r="AV404" s="37">
        <f t="shared" si="73"/>
        <v>200</v>
      </c>
      <c r="AW404" s="37"/>
    </row>
    <row r="405" spans="1:49" ht="15.75" customHeight="1" x14ac:dyDescent="0.25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>Tabela1[[#This Row],[QTDE/ Fabricação]]-Tabela1[[#This Row],[QTE]]</f>
        <v>-1</v>
      </c>
      <c r="R405" s="18">
        <f t="shared" si="67"/>
        <v>57.6</v>
      </c>
      <c r="S405" s="18">
        <f t="shared" si="74"/>
        <v>57.6</v>
      </c>
      <c r="T405" s="19">
        <f t="shared" si="70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57.6</v>
      </c>
      <c r="Y405" s="14">
        <f t="shared" si="71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9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75"/>
        <v>T-072998-1/1073-TC-006</v>
      </c>
      <c r="AP405" t="str">
        <f>Tabela1[[#This Row],[TAG]]&amp;Tabela1[[#This Row],[PEDIDO]]&amp;Tabela1[[#This Row],[PRODUTO]]</f>
        <v>1073-TC-006P-188RMF</v>
      </c>
      <c r="AQ405" s="22" t="str">
        <f>Tabela1[[#This Row],[PRODUTO]]&amp;Tabela1[[#This Row],[TAG]]</f>
        <v>RMF1073-TC-006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72"/>
        <v>57.6</v>
      </c>
      <c r="AV405" s="37">
        <f t="shared" si="73"/>
        <v>57.6</v>
      </c>
      <c r="AW405" s="37"/>
    </row>
    <row r="406" spans="1:49" ht="15.75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67"/>
        <v>57.6</v>
      </c>
      <c r="S406" s="18">
        <f t="shared" si="74"/>
        <v>57.6</v>
      </c>
      <c r="T406" s="19">
        <f t="shared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71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9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75"/>
        <v>T-072998-1/1073-TC-007</v>
      </c>
      <c r="AP406" t="str">
        <f>Tabela1[[#This Row],[TAG]]&amp;Tabela1[[#This Row],[PEDIDO]]&amp;Tabela1[[#This Row],[PRODUTO]]</f>
        <v>1073-TC-007P-188RMF</v>
      </c>
      <c r="AQ406" s="22" t="str">
        <f>Tabela1[[#This Row],[PRODUTO]]&amp;Tabela1[[#This Row],[TAG]]</f>
        <v>RMF1073-TC-007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72"/>
        <v>57.6</v>
      </c>
      <c r="AV406" s="37">
        <f t="shared" si="73"/>
        <v>57.6</v>
      </c>
      <c r="AW406" s="37"/>
    </row>
    <row r="407" spans="1:49" ht="15.75" customHeight="1" x14ac:dyDescent="0.25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67"/>
        <v>44.8</v>
      </c>
      <c r="S407" s="18">
        <f t="shared" si="74"/>
        <v>44.8</v>
      </c>
      <c r="T407" s="19">
        <f t="shared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44.8</v>
      </c>
      <c r="Y407" s="14">
        <f t="shared" si="71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9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75"/>
        <v>T-072998-1/1073-TC-006</v>
      </c>
      <c r="AP407" t="str">
        <f>Tabela1[[#This Row],[TAG]]&amp;Tabela1[[#This Row],[PEDIDO]]&amp;Tabela1[[#This Row],[PRODUTO]]</f>
        <v>1073-TC-006P-188RMF</v>
      </c>
      <c r="AQ407" s="22" t="str">
        <f>Tabela1[[#This Row],[PRODUTO]]&amp;Tabela1[[#This Row],[TAG]]</f>
        <v>RMF1073-TC-006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72"/>
        <v>44.8</v>
      </c>
      <c r="AV407" s="37">
        <f t="shared" si="73"/>
        <v>44.8</v>
      </c>
      <c r="AW407" s="37"/>
    </row>
    <row r="408" spans="1:49" ht="15.75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67"/>
        <v>44.8</v>
      </c>
      <c r="S408" s="18">
        <f t="shared" si="74"/>
        <v>44.8</v>
      </c>
      <c r="T408" s="19">
        <f t="shared" si="70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71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9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75"/>
        <v>T-072998-1/1073-TC-007</v>
      </c>
      <c r="AP408" t="str">
        <f>Tabela1[[#This Row],[TAG]]&amp;Tabela1[[#This Row],[PEDIDO]]&amp;Tabela1[[#This Row],[PRODUTO]]</f>
        <v>1073-TC-007P-188RMF</v>
      </c>
      <c r="AQ408" s="22" t="str">
        <f>Tabela1[[#This Row],[PRODUTO]]&amp;Tabela1[[#This Row],[TAG]]</f>
        <v>RMF1073-TC-007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72"/>
        <v>44.8</v>
      </c>
      <c r="AV408" s="37">
        <f t="shared" si="73"/>
        <v>44.8</v>
      </c>
      <c r="AW408" s="37"/>
    </row>
    <row r="409" spans="1:49" ht="15.75" customHeight="1" x14ac:dyDescent="0.25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ref="R409:R438" si="76">IFERROR(H409*((AA409*0.25)+(AC409*0.25)+(AD409*0.225)+(AE409*0.225)+(AF409*0.05)),"")</f>
        <v>57.1</v>
      </c>
      <c r="S409" s="18">
        <f t="shared" si="74"/>
        <v>57.1</v>
      </c>
      <c r="T409" s="19">
        <f t="shared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57.1</v>
      </c>
      <c r="Y409" s="14">
        <f t="shared" si="71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9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75"/>
        <v>T-072998-1/1073-TC-006</v>
      </c>
      <c r="AP409" t="str">
        <f>Tabela1[[#This Row],[TAG]]&amp;Tabela1[[#This Row],[PEDIDO]]&amp;Tabela1[[#This Row],[PRODUTO]]</f>
        <v>1073-TC-006P-188RMF</v>
      </c>
      <c r="AQ409" s="22" t="str">
        <f>Tabela1[[#This Row],[PRODUTO]]&amp;Tabela1[[#This Row],[TAG]]</f>
        <v>RMF1073-TC-006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72"/>
        <v>57.1</v>
      </c>
      <c r="AV409" s="37">
        <f t="shared" si="73"/>
        <v>57.1</v>
      </c>
      <c r="AW409" s="37"/>
    </row>
    <row r="410" spans="1:49" ht="15.75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si="76"/>
        <v>57.1</v>
      </c>
      <c r="S410" s="18">
        <f t="shared" si="74"/>
        <v>57.1</v>
      </c>
      <c r="T410" s="19">
        <f t="shared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71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9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75"/>
        <v>T-072998-1/1073-TC-007</v>
      </c>
      <c r="AP410" t="str">
        <f>Tabela1[[#This Row],[TAG]]&amp;Tabela1[[#This Row],[PEDIDO]]&amp;Tabela1[[#This Row],[PRODUTO]]</f>
        <v>1073-TC-007P-188RMF</v>
      </c>
      <c r="AQ410" s="22" t="str">
        <f>Tabela1[[#This Row],[PRODUTO]]&amp;Tabela1[[#This Row],[TAG]]</f>
        <v>RMF1073-TC-007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72"/>
        <v>57.1</v>
      </c>
      <c r="AV410" s="37">
        <f t="shared" si="73"/>
        <v>57.1</v>
      </c>
      <c r="AW410" s="37"/>
    </row>
    <row r="411" spans="1:49" ht="15.75" customHeight="1" x14ac:dyDescent="0.25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76"/>
        <v>42.4</v>
      </c>
      <c r="S411" s="18">
        <f t="shared" si="74"/>
        <v>42.4</v>
      </c>
      <c r="T411" s="19">
        <f t="shared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42.4</v>
      </c>
      <c r="Y411" s="14">
        <f t="shared" si="71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si="77">IF(Z411&lt;=0,"ok","")</f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75"/>
        <v>T-072998-1/1073-TC-006</v>
      </c>
      <c r="AP411" t="str">
        <f>Tabela1[[#This Row],[TAG]]&amp;Tabela1[[#This Row],[PEDIDO]]&amp;Tabela1[[#This Row],[PRODUTO]]</f>
        <v>1073-TC-006P-188RMF</v>
      </c>
      <c r="AQ411" s="22" t="str">
        <f>Tabela1[[#This Row],[PRODUTO]]&amp;Tabela1[[#This Row],[TAG]]</f>
        <v>RMF1073-TC-006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72"/>
        <v>42.4</v>
      </c>
      <c r="AV411" s="37">
        <f t="shared" si="73"/>
        <v>42.4</v>
      </c>
      <c r="AW411" s="37"/>
    </row>
    <row r="412" spans="1:49" ht="15.75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76"/>
        <v>42.4</v>
      </c>
      <c r="S412" s="18">
        <f t="shared" si="74"/>
        <v>42.4</v>
      </c>
      <c r="T412" s="19">
        <f t="shared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71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si="77"/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75"/>
        <v>T-072998-1/1073-TC-007</v>
      </c>
      <c r="AP412" t="str">
        <f>Tabela1[[#This Row],[TAG]]&amp;Tabela1[[#This Row],[PEDIDO]]&amp;Tabela1[[#This Row],[PRODUTO]]</f>
        <v>1073-TC-007P-188RMF</v>
      </c>
      <c r="AQ412" s="22" t="str">
        <f>Tabela1[[#This Row],[PRODUTO]]&amp;Tabela1[[#This Row],[TAG]]</f>
        <v>RMF1073-TC-007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72"/>
        <v>42.4</v>
      </c>
      <c r="AV412" s="37">
        <f t="shared" si="73"/>
        <v>42.4</v>
      </c>
      <c r="AW412" s="37"/>
    </row>
    <row r="413" spans="1:49" ht="15.75" customHeight="1" x14ac:dyDescent="0.25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76"/>
        <v>40.700000000000003</v>
      </c>
      <c r="S413" s="18">
        <f t="shared" si="74"/>
        <v>40.700000000000003</v>
      </c>
      <c r="T413" s="19">
        <f t="shared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40.700000000000003</v>
      </c>
      <c r="Y413" s="14">
        <f t="shared" si="71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77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75"/>
        <v>T-072998-1/1073-TC-006</v>
      </c>
      <c r="AP413" t="str">
        <f>Tabela1[[#This Row],[TAG]]&amp;Tabela1[[#This Row],[PEDIDO]]&amp;Tabela1[[#This Row],[PRODUTO]]</f>
        <v>1073-TC-006P-188RMF</v>
      </c>
      <c r="AQ413" s="22" t="str">
        <f>Tabela1[[#This Row],[PRODUTO]]&amp;Tabela1[[#This Row],[TAG]]</f>
        <v>RMF1073-TC-006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72"/>
        <v>40.700000000000003</v>
      </c>
      <c r="AV413" s="37">
        <f t="shared" si="73"/>
        <v>40.700000000000003</v>
      </c>
      <c r="AW413" s="37"/>
    </row>
    <row r="414" spans="1:49" ht="15.75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76"/>
        <v>40.700000000000003</v>
      </c>
      <c r="S414" s="18">
        <f t="shared" si="74"/>
        <v>40.700000000000003</v>
      </c>
      <c r="T414" s="19">
        <f t="shared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71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77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75"/>
        <v>T-072998-1/1073-TC-007</v>
      </c>
      <c r="AP414" t="str">
        <f>Tabela1[[#This Row],[TAG]]&amp;Tabela1[[#This Row],[PEDIDO]]&amp;Tabela1[[#This Row],[PRODUTO]]</f>
        <v>1073-TC-007P-188RMF</v>
      </c>
      <c r="AQ414" s="22" t="str">
        <f>Tabela1[[#This Row],[PRODUTO]]&amp;Tabela1[[#This Row],[TAG]]</f>
        <v>RMF1073-TC-007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72"/>
        <v>40.700000000000003</v>
      </c>
      <c r="AV414" s="37">
        <f t="shared" si="73"/>
        <v>40.700000000000003</v>
      </c>
      <c r="AW414" s="37"/>
    </row>
    <row r="415" spans="1:49" ht="15.75" customHeight="1" x14ac:dyDescent="0.25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76"/>
        <v>57.7</v>
      </c>
      <c r="S415" s="18">
        <f t="shared" si="74"/>
        <v>57.7</v>
      </c>
      <c r="T415" s="19">
        <f t="shared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57.7</v>
      </c>
      <c r="Y415" s="14">
        <f t="shared" si="71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77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75"/>
        <v>T-072999-1/1073-TC-006</v>
      </c>
      <c r="AP415" t="str">
        <f>Tabela1[[#This Row],[TAG]]&amp;Tabela1[[#This Row],[PEDIDO]]&amp;Tabela1[[#This Row],[PRODUTO]]</f>
        <v>1073-TC-006P-188RMF</v>
      </c>
      <c r="AQ415" s="22" t="str">
        <f>Tabela1[[#This Row],[PRODUTO]]&amp;Tabela1[[#This Row],[TAG]]</f>
        <v>RMF1073-TC-006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72"/>
        <v>57.7</v>
      </c>
      <c r="AV415" s="37">
        <f t="shared" si="73"/>
        <v>57.7</v>
      </c>
      <c r="AW415" s="37"/>
    </row>
    <row r="416" spans="1:49" ht="15.75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76"/>
        <v>57.7</v>
      </c>
      <c r="S416" s="18">
        <f t="shared" si="74"/>
        <v>57.7</v>
      </c>
      <c r="T416" s="19">
        <f t="shared" si="70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71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77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75"/>
        <v>T-072999-1/1073-TC-007</v>
      </c>
      <c r="AP416" t="str">
        <f>Tabela1[[#This Row],[TAG]]&amp;Tabela1[[#This Row],[PEDIDO]]&amp;Tabela1[[#This Row],[PRODUTO]]</f>
        <v>1073-TC-007P-188RMF</v>
      </c>
      <c r="AQ416" s="22" t="str">
        <f>Tabela1[[#This Row],[PRODUTO]]&amp;Tabela1[[#This Row],[TAG]]</f>
        <v>RMF1073-TC-007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72"/>
        <v>57.7</v>
      </c>
      <c r="AV416" s="37">
        <f t="shared" si="73"/>
        <v>57.7</v>
      </c>
      <c r="AW416" s="37"/>
    </row>
    <row r="417" spans="1:49" ht="15.75" customHeight="1" x14ac:dyDescent="0.25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76"/>
        <v>47.2</v>
      </c>
      <c r="S417" s="18">
        <f t="shared" si="74"/>
        <v>47.2</v>
      </c>
      <c r="T417" s="19">
        <f t="shared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47.2</v>
      </c>
      <c r="Y417" s="14">
        <f t="shared" si="71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77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75"/>
        <v>T-072999-1/1073-TC-006</v>
      </c>
      <c r="AP417" t="str">
        <f>Tabela1[[#This Row],[TAG]]&amp;Tabela1[[#This Row],[PEDIDO]]&amp;Tabela1[[#This Row],[PRODUTO]]</f>
        <v>1073-TC-006P-188RMF</v>
      </c>
      <c r="AQ417" s="22" t="str">
        <f>Tabela1[[#This Row],[PRODUTO]]&amp;Tabela1[[#This Row],[TAG]]</f>
        <v>RMF1073-TC-006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72"/>
        <v>47.2</v>
      </c>
      <c r="AV417" s="37">
        <f t="shared" si="73"/>
        <v>47.2</v>
      </c>
      <c r="AW417" s="37"/>
    </row>
    <row r="418" spans="1:49" ht="15.75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76"/>
        <v>47.2</v>
      </c>
      <c r="S418" s="18">
        <f t="shared" si="74"/>
        <v>47.2</v>
      </c>
      <c r="T418" s="19">
        <f t="shared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71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77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75"/>
        <v>T-072999-1/1073-TC-007</v>
      </c>
      <c r="AP418" t="str">
        <f>Tabela1[[#This Row],[TAG]]&amp;Tabela1[[#This Row],[PEDIDO]]&amp;Tabela1[[#This Row],[PRODUTO]]</f>
        <v>1073-TC-007P-188RMF</v>
      </c>
      <c r="AQ418" s="22" t="str">
        <f>Tabela1[[#This Row],[PRODUTO]]&amp;Tabela1[[#This Row],[TAG]]</f>
        <v>RMF1073-TC-007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72"/>
        <v>47.2</v>
      </c>
      <c r="AV418" s="37">
        <f t="shared" si="73"/>
        <v>47.2</v>
      </c>
      <c r="AW418" s="37"/>
    </row>
    <row r="419" spans="1:49" ht="15.75" customHeight="1" x14ac:dyDescent="0.25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76"/>
        <v>38.4</v>
      </c>
      <c r="S419" s="18">
        <f t="shared" si="74"/>
        <v>38.4</v>
      </c>
      <c r="T419" s="19">
        <f t="shared" ref="T419:T438" si="78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38.4</v>
      </c>
      <c r="Y419" s="14">
        <f t="shared" ref="Y419:Y438" si="79">U419-C419</f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77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75"/>
        <v>T-072999-1/1073-TC-006</v>
      </c>
      <c r="AP419" t="str">
        <f>Tabela1[[#This Row],[TAG]]&amp;Tabela1[[#This Row],[PEDIDO]]&amp;Tabela1[[#This Row],[PRODUTO]]</f>
        <v>1073-TC-006P-188RMF</v>
      </c>
      <c r="AQ419" s="22" t="str">
        <f>Tabela1[[#This Row],[PRODUTO]]&amp;Tabela1[[#This Row],[TAG]]</f>
        <v>RMF1073-TC-006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72"/>
        <v>38.4</v>
      </c>
      <c r="AV419" s="37">
        <f t="shared" si="73"/>
        <v>38.4</v>
      </c>
      <c r="AW419" s="37"/>
    </row>
    <row r="420" spans="1:49" ht="15.75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76"/>
        <v>38.4</v>
      </c>
      <c r="S420" s="18">
        <f t="shared" si="74"/>
        <v>38.4</v>
      </c>
      <c r="T420" s="19">
        <f t="shared" si="78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si="79"/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77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75"/>
        <v>T-072999-1/1073-TC-007</v>
      </c>
      <c r="AP420" t="str">
        <f>Tabela1[[#This Row],[TAG]]&amp;Tabela1[[#This Row],[PEDIDO]]&amp;Tabela1[[#This Row],[PRODUTO]]</f>
        <v>1073-TC-007P-188RMF</v>
      </c>
      <c r="AQ420" s="22" t="str">
        <f>Tabela1[[#This Row],[PRODUTO]]&amp;Tabela1[[#This Row],[TAG]]</f>
        <v>RMF1073-TC-007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ref="AU420:AU438" si="80">IF(AH420="",0,IF(ISTEXT(AH420),H420*VALUE(SUBSTITUTE(AH420,"%",""))/100,H420*AH420))</f>
        <v>38.4</v>
      </c>
      <c r="AV420" s="37">
        <f t="shared" ref="AV420:AV438" si="81">IF(AG420="",0,IF(ISTEXT(AG420),H420*VALUE(SUBSTITUTE(AG420,"%",""))/100,H420*AG420))</f>
        <v>38.4</v>
      </c>
      <c r="AW420" s="37"/>
    </row>
    <row r="421" spans="1:49" ht="15.75" customHeight="1" x14ac:dyDescent="0.25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76"/>
        <v>42.7</v>
      </c>
      <c r="S421" s="18">
        <f t="shared" si="74"/>
        <v>42.7</v>
      </c>
      <c r="T421" s="19">
        <f t="shared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42.7</v>
      </c>
      <c r="Y421" s="14">
        <f t="shared" si="79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77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75"/>
        <v>T-072999-1/1073-TC-006</v>
      </c>
      <c r="AP421" t="str">
        <f>Tabela1[[#This Row],[TAG]]&amp;Tabela1[[#This Row],[PEDIDO]]&amp;Tabela1[[#This Row],[PRODUTO]]</f>
        <v>1073-TC-006P-188RMF</v>
      </c>
      <c r="AQ421" s="22" t="str">
        <f>Tabela1[[#This Row],[PRODUTO]]&amp;Tabela1[[#This Row],[TAG]]</f>
        <v>RMF1073-TC-006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si="80"/>
        <v>42.7</v>
      </c>
      <c r="AV421" s="37">
        <f t="shared" si="81"/>
        <v>42.7</v>
      </c>
      <c r="AW421" s="37"/>
    </row>
    <row r="422" spans="1:49" ht="15.75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76"/>
        <v>42.7</v>
      </c>
      <c r="S422" s="18">
        <f t="shared" si="74"/>
        <v>42.7</v>
      </c>
      <c r="T422" s="19">
        <f t="shared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9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77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75"/>
        <v>T-072999-1/1073-TC-007</v>
      </c>
      <c r="AP422" t="str">
        <f>Tabela1[[#This Row],[TAG]]&amp;Tabela1[[#This Row],[PEDIDO]]&amp;Tabela1[[#This Row],[PRODUTO]]</f>
        <v>1073-TC-007P-188RMF</v>
      </c>
      <c r="AQ422" s="22" t="str">
        <f>Tabela1[[#This Row],[PRODUTO]]&amp;Tabela1[[#This Row],[TAG]]</f>
        <v>RMF1073-TC-007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80"/>
        <v>42.7</v>
      </c>
      <c r="AV422" s="37">
        <f t="shared" si="81"/>
        <v>42.7</v>
      </c>
      <c r="AW422" s="37"/>
    </row>
    <row r="423" spans="1:49" ht="15.75" customHeight="1" x14ac:dyDescent="0.25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>Tabela1[[#This Row],[QTDE/ Fabricação]]-Tabela1[[#This Row],[QTE]]</f>
        <v>-24</v>
      </c>
      <c r="R423" s="18">
        <f t="shared" si="76"/>
        <v>72</v>
      </c>
      <c r="S423" s="18">
        <f t="shared" si="74"/>
        <v>72</v>
      </c>
      <c r="T423" s="19">
        <f t="shared" si="78"/>
        <v>0</v>
      </c>
      <c r="U423" s="16">
        <v>24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72</v>
      </c>
      <c r="Y423" s="14">
        <f t="shared" si="79"/>
        <v>0</v>
      </c>
      <c r="Z423" s="20">
        <f>Tabela1[[#This Row],[PESO TOTAL]]-Tabela1[[#This Row],[Peso Expedido]]</f>
        <v>0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75"/>
        <v>T-072974-1/1073-TC-006</v>
      </c>
      <c r="AP423" t="str">
        <f>Tabela1[[#This Row],[TAG]]&amp;Tabela1[[#This Row],[PEDIDO]]&amp;Tabela1[[#This Row],[PRODUTO]]</f>
        <v>1073-TC-006P-188RMF</v>
      </c>
      <c r="AQ423" s="22" t="str">
        <f>Tabela1[[#This Row],[PRODUTO]]&amp;Tabela1[[#This Row],[TAG]]</f>
        <v>RMF1073-TC-006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80"/>
        <v>72</v>
      </c>
      <c r="AV423" s="37">
        <f t="shared" si="81"/>
        <v>72</v>
      </c>
      <c r="AW423" s="37"/>
    </row>
    <row r="424" spans="1:49" ht="15.75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76"/>
        <v>36</v>
      </c>
      <c r="S424" s="18">
        <f t="shared" si="74"/>
        <v>36</v>
      </c>
      <c r="T424" s="19">
        <f t="shared" si="78"/>
        <v>0</v>
      </c>
      <c r="U424" s="16">
        <v>24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36</v>
      </c>
      <c r="Y424" s="14">
        <f t="shared" si="79"/>
        <v>0</v>
      </c>
      <c r="Z424" s="20">
        <f>Tabela1[[#This Row],[PESO TOTAL]]-Tabela1[[#This Row],[Peso Expedido]]</f>
        <v>0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75"/>
        <v>T-072974-1/1073-TC-007</v>
      </c>
      <c r="AP424" t="str">
        <f>Tabela1[[#This Row],[TAG]]&amp;Tabela1[[#This Row],[PEDIDO]]&amp;Tabela1[[#This Row],[PRODUTO]]</f>
        <v>1073-TC-007P-188RMF</v>
      </c>
      <c r="AQ424" s="22" t="str">
        <f>Tabela1[[#This Row],[PRODUTO]]&amp;Tabela1[[#This Row],[TAG]]</f>
        <v>RMF1073-TC-007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80"/>
        <v>36</v>
      </c>
      <c r="AV424" s="37">
        <f t="shared" si="81"/>
        <v>36</v>
      </c>
      <c r="AW424" s="37"/>
    </row>
    <row r="425" spans="1:49" ht="15.75" customHeight="1" x14ac:dyDescent="0.25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>Tabela1[[#This Row],[QTDE/ Fabricação]]-Tabela1[[#This Row],[QTE]]</f>
        <v>-2</v>
      </c>
      <c r="R425" s="18">
        <f t="shared" si="76"/>
        <v>37.6</v>
      </c>
      <c r="S425" s="18">
        <f t="shared" si="74"/>
        <v>37.6</v>
      </c>
      <c r="T425" s="19">
        <f t="shared" si="78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37.6</v>
      </c>
      <c r="Y425" s="14">
        <f t="shared" si="79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si="77"/>
        <v>ok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75"/>
        <v>T-072966-1/1073-TC-006/007</v>
      </c>
      <c r="AP425" t="str">
        <f>Tabela1[[#This Row],[TAG]]&amp;Tabela1[[#This Row],[PEDIDO]]&amp;Tabela1[[#This Row],[PRODUTO]]</f>
        <v>1073-TC-006/007P-188RMF</v>
      </c>
      <c r="AQ425" s="22" t="str">
        <f>Tabela1[[#This Row],[PRODUTO]]&amp;Tabela1[[#This Row],[TAG]]</f>
        <v>RMF1073-TC-006/007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80"/>
        <v>37.6</v>
      </c>
      <c r="AV425" s="37">
        <f t="shared" si="81"/>
        <v>37.6</v>
      </c>
      <c r="AW425" s="37"/>
    </row>
    <row r="426" spans="1:49" ht="15.75" customHeight="1" x14ac:dyDescent="0.25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76"/>
        <v>56.6</v>
      </c>
      <c r="S426" s="18">
        <f t="shared" si="74"/>
        <v>56.6</v>
      </c>
      <c r="T426" s="19">
        <f t="shared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56.6</v>
      </c>
      <c r="Y426" s="14">
        <f t="shared" si="79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77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75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80"/>
        <v>56.6</v>
      </c>
      <c r="AV426" s="37">
        <f t="shared" si="81"/>
        <v>56.6</v>
      </c>
      <c r="AW426" s="37"/>
    </row>
    <row r="427" spans="1:49" ht="15.75" customHeight="1" x14ac:dyDescent="0.25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-1</v>
      </c>
      <c r="R427" s="18">
        <f t="shared" si="76"/>
        <v>43.8</v>
      </c>
      <c r="S427" s="18">
        <f t="shared" si="74"/>
        <v>43.8</v>
      </c>
      <c r="T427" s="19">
        <f t="shared" si="78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43.8</v>
      </c>
      <c r="Y427" s="14">
        <f t="shared" si="79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77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75"/>
        <v>T-073005-1/1073-TC-006</v>
      </c>
      <c r="AP427" t="str">
        <f>Tabela1[[#This Row],[TAG]]&amp;Tabela1[[#This Row],[PEDIDO]]&amp;Tabela1[[#This Row],[PRODUTO]]</f>
        <v>1073-TC-006P-188RMF</v>
      </c>
      <c r="AQ427" s="22" t="str">
        <f>Tabela1[[#This Row],[PRODUTO]]&amp;Tabela1[[#This Row],[TAG]]</f>
        <v>RMF1073-TC-006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80"/>
        <v>43.8</v>
      </c>
      <c r="AV427" s="37">
        <f t="shared" si="81"/>
        <v>43.8</v>
      </c>
      <c r="AW427" s="37"/>
    </row>
    <row r="428" spans="1:49" ht="15.75" customHeight="1" x14ac:dyDescent="0.25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-4</v>
      </c>
      <c r="R428" s="18">
        <f t="shared" si="76"/>
        <v>1.6</v>
      </c>
      <c r="S428" s="18">
        <f t="shared" si="74"/>
        <v>1.6</v>
      </c>
      <c r="T428" s="19">
        <f t="shared" si="78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1.6</v>
      </c>
      <c r="Y428" s="14">
        <f t="shared" si="79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77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75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80"/>
        <v>1.6</v>
      </c>
      <c r="AV428" s="37">
        <f t="shared" si="81"/>
        <v>1.6</v>
      </c>
      <c r="AW428" s="37"/>
    </row>
    <row r="429" spans="1:49" ht="15.75" customHeight="1" x14ac:dyDescent="0.25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76"/>
        <v>3.6</v>
      </c>
      <c r="S429" s="18">
        <f t="shared" si="74"/>
        <v>3.6</v>
      </c>
      <c r="T429" s="19">
        <f t="shared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3.6</v>
      </c>
      <c r="Y429" s="14">
        <f t="shared" si="79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77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75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80"/>
        <v>3.6</v>
      </c>
      <c r="AV429" s="37">
        <f t="shared" si="81"/>
        <v>3.6</v>
      </c>
      <c r="AW429" s="37"/>
    </row>
    <row r="430" spans="1:49" ht="15.75" customHeight="1" x14ac:dyDescent="0.25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-1</v>
      </c>
      <c r="R430" s="18">
        <f t="shared" si="76"/>
        <v>4.4000000000000004</v>
      </c>
      <c r="S430" s="18">
        <f t="shared" si="74"/>
        <v>4.4000000000000004</v>
      </c>
      <c r="T430" s="19">
        <f t="shared" si="78"/>
        <v>0</v>
      </c>
      <c r="U430" s="16">
        <v>1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4.4000000000000004</v>
      </c>
      <c r="Y430" s="14">
        <f t="shared" si="79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77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75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80"/>
        <v>4.4000000000000004</v>
      </c>
      <c r="AV430" s="37">
        <f t="shared" si="81"/>
        <v>4.4000000000000004</v>
      </c>
      <c r="AW430" s="37"/>
    </row>
    <row r="431" spans="1:49" ht="15.75" customHeight="1" x14ac:dyDescent="0.25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76"/>
        <v>3.9</v>
      </c>
      <c r="S431" s="18">
        <f t="shared" si="74"/>
        <v>3.9</v>
      </c>
      <c r="T431" s="19">
        <f t="shared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3.9</v>
      </c>
      <c r="Y431" s="14">
        <f t="shared" si="79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77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75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80"/>
        <v>3.9</v>
      </c>
      <c r="AV431" s="37">
        <f t="shared" si="81"/>
        <v>3.9</v>
      </c>
      <c r="AW431" s="37"/>
    </row>
    <row r="432" spans="1:49" ht="15.75" customHeight="1" x14ac:dyDescent="0.25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76"/>
        <v>43.8</v>
      </c>
      <c r="S432" s="18">
        <f t="shared" si="74"/>
        <v>43.8</v>
      </c>
      <c r="T432" s="19">
        <f t="shared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43.8</v>
      </c>
      <c r="Y432" s="14">
        <f t="shared" si="79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77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75"/>
        <v>T-073005-1/1073-TC-007</v>
      </c>
      <c r="AP432" t="str">
        <f>Tabela1[[#This Row],[TAG]]&amp;Tabela1[[#This Row],[PEDIDO]]&amp;Tabela1[[#This Row],[PRODUTO]]</f>
        <v>1073-TC-007P-188RMF</v>
      </c>
      <c r="AQ432" s="22" t="str">
        <f>Tabela1[[#This Row],[PRODUTO]]&amp;Tabela1[[#This Row],[TAG]]</f>
        <v>RMF1073-TC-007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80"/>
        <v>43.8</v>
      </c>
      <c r="AV432" s="37">
        <f t="shared" si="81"/>
        <v>43.8</v>
      </c>
      <c r="AW432" s="37"/>
    </row>
    <row r="433" spans="1:49" ht="15.75" customHeight="1" x14ac:dyDescent="0.25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-4</v>
      </c>
      <c r="R433" s="18">
        <f t="shared" si="76"/>
        <v>1.6</v>
      </c>
      <c r="S433" s="18">
        <f t="shared" si="74"/>
        <v>1.6</v>
      </c>
      <c r="T433" s="19">
        <f t="shared" si="78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1.6</v>
      </c>
      <c r="Y433" s="14">
        <f t="shared" si="79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77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75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80"/>
        <v>1.6</v>
      </c>
      <c r="AV433" s="37">
        <f t="shared" si="81"/>
        <v>1.6</v>
      </c>
      <c r="AW433" s="37"/>
    </row>
    <row r="434" spans="1:49" ht="15.75" customHeight="1" x14ac:dyDescent="0.25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76"/>
        <v>3.6</v>
      </c>
      <c r="S434" s="18">
        <f t="shared" si="74"/>
        <v>3.6</v>
      </c>
      <c r="T434" s="19">
        <f t="shared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3.6</v>
      </c>
      <c r="Y434" s="14">
        <f t="shared" si="79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77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75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80"/>
        <v>3.6</v>
      </c>
      <c r="AV434" s="37">
        <f t="shared" si="81"/>
        <v>3.6</v>
      </c>
      <c r="AW434" s="37"/>
    </row>
    <row r="435" spans="1:49" ht="15.75" customHeight="1" x14ac:dyDescent="0.25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-1</v>
      </c>
      <c r="R435" s="18">
        <f t="shared" si="76"/>
        <v>4.4000000000000004</v>
      </c>
      <c r="S435" s="18">
        <f t="shared" si="74"/>
        <v>4.4000000000000004</v>
      </c>
      <c r="T435" s="19">
        <f t="shared" si="78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4.4000000000000004</v>
      </c>
      <c r="Y435" s="14">
        <f t="shared" si="79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77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75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80"/>
        <v>4.4000000000000004</v>
      </c>
      <c r="AV435" s="37">
        <f t="shared" si="81"/>
        <v>4.4000000000000004</v>
      </c>
      <c r="AW435" s="37"/>
    </row>
    <row r="436" spans="1:49" ht="15.75" customHeight="1" x14ac:dyDescent="0.25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76"/>
        <v>3.9</v>
      </c>
      <c r="S436" s="18">
        <f t="shared" si="74"/>
        <v>3.9</v>
      </c>
      <c r="T436" s="19">
        <f t="shared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3.9</v>
      </c>
      <c r="Y436" s="14">
        <f t="shared" si="79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77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75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80"/>
        <v>3.9</v>
      </c>
      <c r="AV436" s="37">
        <f t="shared" si="81"/>
        <v>3.9</v>
      </c>
      <c r="AW436" s="37"/>
    </row>
    <row r="437" spans="1:49" ht="15.75" customHeight="1" x14ac:dyDescent="0.25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>Tabela1[[#This Row],[QTDE/ Fabricação]]-Tabela1[[#This Row],[QTE]]</f>
        <v>-2</v>
      </c>
      <c r="R437" s="18">
        <f t="shared" si="76"/>
        <v>8.9600000000000009</v>
      </c>
      <c r="S437" s="18">
        <f t="shared" ref="S437:S506" si="82">IFERROR(H437*AG437,"")</f>
        <v>8.9600000000000009</v>
      </c>
      <c r="T437" s="19">
        <f t="shared" si="78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8.9600000000000009</v>
      </c>
      <c r="Y437" s="14">
        <f t="shared" si="79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75"/>
        <v>T-072962-1/1073-TC-006/007</v>
      </c>
      <c r="AP437" t="str">
        <f>Tabela1[[#This Row],[TAG]]&amp;Tabela1[[#This Row],[PEDIDO]]&amp;Tabela1[[#This Row],[PRODUTO]]</f>
        <v>1073-TC-006/007P-188RMF</v>
      </c>
      <c r="AQ437" s="22" t="str">
        <f>Tabela1[[#This Row],[PRODUTO]]&amp;Tabela1[[#This Row],[TAG]]</f>
        <v>RMF1073-TC-006/007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80"/>
        <v>8.9600000000000009</v>
      </c>
      <c r="AV437" s="37">
        <f t="shared" si="81"/>
        <v>8.9600000000000009</v>
      </c>
      <c r="AW437" s="37"/>
    </row>
    <row r="438" spans="1:49" ht="15.75" customHeight="1" x14ac:dyDescent="0.25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76"/>
        <v>117.3884</v>
      </c>
      <c r="S438" s="18">
        <f t="shared" si="82"/>
        <v>117.3884</v>
      </c>
      <c r="T438" s="19">
        <f t="shared" si="78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117.3884</v>
      </c>
      <c r="Y438" s="14">
        <f t="shared" si="79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75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80"/>
        <v>117.3884</v>
      </c>
      <c r="AV438" s="37">
        <f t="shared" si="81"/>
        <v>117.3884</v>
      </c>
      <c r="AW438" s="37"/>
    </row>
    <row r="439" spans="1:49" ht="15.75" customHeight="1" x14ac:dyDescent="0.25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>Tabela1[[#This Row],[QTDE/ Fabricação]]-Tabela1[[#This Row],[QTE]]</f>
        <v>-6</v>
      </c>
      <c r="R439" s="18">
        <f t="shared" ref="R439" si="83">IFERROR(H439*((AA439*0.25)+(AC439*0.25)+(AD439*0.225)+(AE439*0.225)+(AF439*0.05)),"")</f>
        <v>60</v>
      </c>
      <c r="S439" s="18">
        <f t="shared" si="82"/>
        <v>60</v>
      </c>
      <c r="T439" s="19">
        <f t="shared" ref="T439" si="84">IFERROR(S439-H439,"")</f>
        <v>0</v>
      </c>
      <c r="U439" s="16">
        <f>IFERROR(SUMIF('LISTA DE EMBARQUE'!B:B,MICRO!E:E,'LISTA DE EMBARQUE'!G:G),"")</f>
        <v>6</v>
      </c>
      <c r="V439" s="12">
        <f>IFERROR(VLOOKUP(Tabela1[[#This Row],[COD.MDE]],'LISTA DE EMBARQUE'!B:L,11,0),"")</f>
        <v>1</v>
      </c>
      <c r="W439" s="13" t="str">
        <f>IFERROR(COUNTIF(#REF!,Tabela1[[#This Row],[Colunas5]]),"")</f>
        <v/>
      </c>
      <c r="X439" s="14">
        <f>Tabela1[[#This Row],[QIANTIDADE EXPEDIDA]]*Tabela1[[#This Row],[PESO UNI]]</f>
        <v>60</v>
      </c>
      <c r="Y439" s="14">
        <f t="shared" ref="Y439" si="85">U439-C439</f>
        <v>0</v>
      </c>
      <c r="Z439" s="20">
        <f>Tabela1[[#This Row],[PESO TOTAL]]-Tabela1[[#This Row],[Peso Expedido]]</f>
        <v>0</v>
      </c>
      <c r="AA439" s="17">
        <v>1</v>
      </c>
      <c r="AB439" s="33"/>
      <c r="AC439" s="33">
        <v>1</v>
      </c>
      <c r="AD439" s="33">
        <v>1</v>
      </c>
      <c r="AE439" s="33">
        <v>1</v>
      </c>
      <c r="AF439" s="33">
        <v>1</v>
      </c>
      <c r="AG439" s="33">
        <v>1</v>
      </c>
      <c r="AH439" s="33">
        <v>1</v>
      </c>
      <c r="AI439" s="33" t="str">
        <f t="shared" si="77"/>
        <v>ok</v>
      </c>
      <c r="AJ439" s="5"/>
      <c r="AK439" t="str">
        <f>Tabela1[[#This Row],[Coluna1]]&amp;Tabela1[[#This Row],[PEDIDO]]</f>
        <v>P-208</v>
      </c>
      <c r="AL439"/>
      <c r="AM439"/>
      <c r="AN439"/>
      <c r="AO439" t="str">
        <f t="shared" ref="AO439" si="86">A439&amp;"/"&amp;J439</f>
        <v>R-1-4-10993/P208</v>
      </c>
      <c r="AP439" t="str">
        <f>Tabela1[[#This Row],[TAG]]&amp;Tabela1[[#This Row],[PEDIDO]]&amp;Tabela1[[#This Row],[PRODUTO]]</f>
        <v>P208P-208ROLOS</v>
      </c>
      <c r="AQ439" s="22" t="str">
        <f>Tabela1[[#This Row],[PRODUTO]]&amp;Tabela1[[#This Row],[TAG]]</f>
        <v>ROLOSP208</v>
      </c>
      <c r="AR439" s="24" t="str">
        <f>Tabela1[[#This Row],[PEDIDO]]&amp;Tabela1[[#This Row],[PRODUTO]]</f>
        <v>P-208ROLOS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0</v>
      </c>
      <c r="AU439" s="37">
        <f t="shared" ref="AU439" si="87">IF(AH439="",0,IF(ISTEXT(AH439),H439*VALUE(SUBSTITUTE(AH439,"%",""))/100,H439*AH439))</f>
        <v>60</v>
      </c>
      <c r="AV439" s="37">
        <f t="shared" ref="AV439" si="88">IF(AG439="",0,IF(ISTEXT(AG439),H439*VALUE(SUBSTITUTE(AG439,"%",""))/100,H439*AG439))</f>
        <v>60</v>
      </c>
      <c r="AW439" s="37"/>
    </row>
    <row r="440" spans="1:49" ht="15.75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:R509" si="89">IFERROR(H440*((AA440*0.25)+(AC440*0.25)+(AD440*0.225)+(AE440*0.225)+(AF440*0.05)),"")</f>
        <v>75</v>
      </c>
      <c r="S440" s="18">
        <f t="shared" si="82"/>
        <v>75</v>
      </c>
      <c r="T440" s="19">
        <f t="shared" ref="T440:T509" si="90">IFERROR(S440-H440,"")</f>
        <v>0</v>
      </c>
      <c r="U440" s="16">
        <f>IFERROR(SUMIF('LISTA DE EMBARQUE'!B:B,MICRO!E:E,'LISTA DE EMBARQUE'!G:G),"")</f>
        <v>6</v>
      </c>
      <c r="V440" s="12">
        <f>IFERROR(VLOOKUP(Tabela1[[#This Row],[COD.MDE]],'LISTA DE EMBARQUE'!B:L,11,0),"")</f>
        <v>1</v>
      </c>
      <c r="W440" s="13" t="str">
        <f>IFERROR(COUNTIF(#REF!,Tabela1[[#This Row],[Colunas5]]),"")</f>
        <v/>
      </c>
      <c r="X440" s="14">
        <f>Tabela1[[#This Row],[QIANTIDADE EXPEDIDA]]*Tabela1[[#This Row],[PESO UNI]]</f>
        <v>75</v>
      </c>
      <c r="Y440" s="14">
        <f t="shared" ref="Y440:Y509" si="91">U440-C440</f>
        <v>0</v>
      </c>
      <c r="Z440" s="20">
        <f>Tabela1[[#This Row],[PESO TOTAL]]-Tabela1[[#This Row],[Peso Expedido]]</f>
        <v>0</v>
      </c>
      <c r="AA440" s="17">
        <v>1</v>
      </c>
      <c r="AB440" s="33"/>
      <c r="AC440" s="33">
        <v>1</v>
      </c>
      <c r="AD440" s="33">
        <v>1</v>
      </c>
      <c r="AE440" s="33">
        <v>1</v>
      </c>
      <c r="AF440" s="33">
        <v>1</v>
      </c>
      <c r="AG440" s="33">
        <v>1</v>
      </c>
      <c r="AH440" s="33">
        <v>1</v>
      </c>
      <c r="AI440" s="33" t="str">
        <f t="shared" si="77"/>
        <v>ok</v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:AO509" si="92">A440&amp;"/"&amp;J440</f>
        <v>R-1-4-10996/P208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0</v>
      </c>
      <c r="AU440" s="37">
        <f t="shared" ref="AU440:AU509" si="93">IF(AH440="",0,IF(ISTEXT(AH440),H440*VALUE(SUBSTITUTE(AH440,"%",""))/100,H440*AH440))</f>
        <v>75</v>
      </c>
      <c r="AV440" s="37">
        <f t="shared" ref="AV440:AV509" si="94">IF(AG440="",0,IF(ISTEXT(AG440),H440*VALUE(SUBSTITUTE(AG440,"%",""))/100,H440*AG440))</f>
        <v>75</v>
      </c>
      <c r="AW440" s="37"/>
    </row>
    <row r="441" spans="1:49" ht="15.75" customHeight="1" x14ac:dyDescent="0.25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-4</v>
      </c>
      <c r="R441" s="18">
        <f t="shared" si="89"/>
        <v>100.16499999999999</v>
      </c>
      <c r="S441" s="18">
        <f t="shared" si="82"/>
        <v>0</v>
      </c>
      <c r="T441" s="19">
        <f t="shared" si="90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si="91"/>
        <v>-4</v>
      </c>
      <c r="Z441" s="20">
        <f>Tabela1[[#This Row],[PESO TOTAL]]-Tabela1[[#This Row],[Peso Expedido]]</f>
        <v>119.6</v>
      </c>
      <c r="AA441" s="17">
        <v>1</v>
      </c>
      <c r="AB441" s="33"/>
      <c r="AC441" s="33">
        <v>1</v>
      </c>
      <c r="AD441" s="33">
        <v>1</v>
      </c>
      <c r="AE441" s="33">
        <v>0.5</v>
      </c>
      <c r="AF441" s="33"/>
      <c r="AG441" s="33"/>
      <c r="AH441" s="33"/>
      <c r="AI441" s="33" t="str">
        <f t="shared" si="77"/>
        <v/>
      </c>
      <c r="AJ441" s="5"/>
      <c r="AK441" t="str">
        <f>Tabela1[[#This Row],[Coluna1]]&amp;Tabela1[[#This Row],[PEDIDO]]</f>
        <v>P-209</v>
      </c>
      <c r="AL441"/>
      <c r="AM441"/>
      <c r="AN441"/>
      <c r="AO441" t="str">
        <f t="shared" si="92"/>
        <v>T-009591-1/P209</v>
      </c>
      <c r="AP441" t="str">
        <f>Tabela1[[#This Row],[TAG]]&amp;Tabela1[[#This Row],[PEDIDO]]&amp;Tabela1[[#This Row],[PRODUTO]]</f>
        <v>P209P-209USINAGEM</v>
      </c>
      <c r="AQ441" s="22" t="str">
        <f>Tabela1[[#This Row],[PRODUTO]]&amp;Tabela1[[#This Row],[TAG]]</f>
        <v>USINAGEMP209</v>
      </c>
      <c r="AR441" s="24" t="str">
        <f>Tabela1[[#This Row],[PEDIDO]]&amp;Tabela1[[#This Row],[PRODUTO]]</f>
        <v>P-209USINAGEM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si="93"/>
        <v>0</v>
      </c>
      <c r="AV441" s="37">
        <f t="shared" si="94"/>
        <v>0</v>
      </c>
      <c r="AW441" s="37"/>
    </row>
    <row r="442" spans="1:49" ht="15.75" customHeight="1" x14ac:dyDescent="0.25">
      <c r="A442" s="6" t="s">
        <v>4310</v>
      </c>
      <c r="B442" s="21" t="s">
        <v>4311</v>
      </c>
      <c r="C442" s="7">
        <v>8</v>
      </c>
      <c r="D442" s="39" t="s">
        <v>4313</v>
      </c>
      <c r="E442" s="7">
        <v>4328</v>
      </c>
      <c r="F442" s="7">
        <v>32</v>
      </c>
      <c r="G442" s="23">
        <v>1.2</v>
      </c>
      <c r="H442" s="34">
        <f>Tabela1[[#This Row],[PESO UNI]]*Tabela1[[#This Row],[QTE]]</f>
        <v>9.6</v>
      </c>
      <c r="I442" s="7" t="s">
        <v>4841</v>
      </c>
      <c r="J442" s="8" t="s">
        <v>3045</v>
      </c>
      <c r="K442" s="8" t="s">
        <v>4320</v>
      </c>
      <c r="L442" s="9" t="s">
        <v>2984</v>
      </c>
      <c r="M442" s="10">
        <v>46211</v>
      </c>
      <c r="N442" s="8" t="s">
        <v>38</v>
      </c>
      <c r="O442" s="12"/>
      <c r="P442" s="13"/>
      <c r="Q442" s="14">
        <f>Tabela1[[#This Row],[QTDE/ Fabricação]]-Tabela1[[#This Row],[QTE]]</f>
        <v>-8</v>
      </c>
      <c r="R442" s="18">
        <f t="shared" ref="R442:R451" si="95">IFERROR(H442*((AA442*0.25)+(AC442*0.25)+(AD442*0.225)+(AE442*0.225)+(AF442*0.05)),"")</f>
        <v>9.6</v>
      </c>
      <c r="S442" s="18">
        <f t="shared" ref="S442:S451" si="96">IFERROR(H442*AG442,"")</f>
        <v>9.6</v>
      </c>
      <c r="T442" s="19">
        <f t="shared" ref="T442:T451" si="97">IFERROR(S442-H442,"")</f>
        <v>0</v>
      </c>
      <c r="U442" s="16">
        <f>IFERROR(SUMIF('LISTA DE EMBARQUE'!B:B,MICRO!E:E,'LISTA DE EMBARQUE'!G:G),"")</f>
        <v>8</v>
      </c>
      <c r="V442" s="12">
        <f>IFERROR(VLOOKUP(Tabela1[[#This Row],[COD.MDE]],'LISTA DE EMBARQUE'!B:L,11,0),"")</f>
        <v>6</v>
      </c>
      <c r="W442" s="13" t="str">
        <f>IFERROR(COUNTIF(#REF!,Tabela1[[#This Row],[Colunas5]]),"")</f>
        <v/>
      </c>
      <c r="X442" s="14">
        <f>Tabela1[[#This Row],[QIANTIDADE EXPEDIDA]]*Tabela1[[#This Row],[PESO UNI]]</f>
        <v>9.6</v>
      </c>
      <c r="Y442" s="14">
        <f t="shared" ref="Y442:Y451" si="98">U442-C442</f>
        <v>0</v>
      </c>
      <c r="Z442" s="20">
        <f>Tabela1[[#This Row],[PESO TOTAL]]-Tabela1[[#This Row],[Peso Expedido]]</f>
        <v>0</v>
      </c>
      <c r="AA442" s="17">
        <v>1</v>
      </c>
      <c r="AB442" s="33"/>
      <c r="AC442" s="17">
        <v>1</v>
      </c>
      <c r="AD442" s="17">
        <v>1</v>
      </c>
      <c r="AE442" s="17">
        <v>1</v>
      </c>
      <c r="AF442" s="17">
        <v>1</v>
      </c>
      <c r="AG442" s="17">
        <v>1</v>
      </c>
      <c r="AH442" s="17">
        <v>1</v>
      </c>
      <c r="AI442" s="33" t="str">
        <f t="shared" ref="AI442:AI451" si="99">IF(Z442&lt;=0,"ok","")</f>
        <v>ok</v>
      </c>
      <c r="AJ442" s="5"/>
      <c r="AK442" t="str">
        <f>Tabela1[[#This Row],[Coluna1]]&amp;Tabela1[[#This Row],[PEDIDO]]</f>
        <v>P-198</v>
      </c>
      <c r="AL442"/>
      <c r="AM442"/>
      <c r="AN442"/>
      <c r="AO442" t="str">
        <f t="shared" si="92"/>
        <v>T-073242-1/14-CV-0001</v>
      </c>
      <c r="AP442" t="str">
        <f>Tabela1[[#This Row],[TAG]]&amp;Tabela1[[#This Row],[PEDIDO]]&amp;Tabela1[[#This Row],[PRODUTO]]</f>
        <v xml:space="preserve">14-CV-0001P-198ESTRUTURA </v>
      </c>
      <c r="AQ442" s="22" t="str">
        <f>Tabela1[[#This Row],[PRODUTO]]&amp;Tabela1[[#This Row],[TAG]]</f>
        <v>ESTRUTURA 14-CV-0001</v>
      </c>
      <c r="AR442" s="24" t="str">
        <f>Tabela1[[#This Row],[PEDIDO]]&amp;Tabela1[[#This Row],[PRODUTO]]</f>
        <v xml:space="preserve">P-198ESTRUTURA 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93"/>
        <v>9.6</v>
      </c>
      <c r="AV442" s="37">
        <f t="shared" si="94"/>
        <v>9.6</v>
      </c>
      <c r="AW442" s="37"/>
    </row>
    <row r="443" spans="1:49" ht="15.75" customHeight="1" x14ac:dyDescent="0.25">
      <c r="A443" s="6" t="s">
        <v>4310</v>
      </c>
      <c r="B443" s="21" t="s">
        <v>4311</v>
      </c>
      <c r="C443" s="7">
        <v>8</v>
      </c>
      <c r="D443" s="39" t="s">
        <v>4312</v>
      </c>
      <c r="E443" s="7">
        <v>4329</v>
      </c>
      <c r="F443" s="7">
        <v>32</v>
      </c>
      <c r="G443" s="23">
        <v>11.4</v>
      </c>
      <c r="H443" s="34">
        <f>Tabela1[[#This Row],[PESO UNI]]*Tabela1[[#This Row],[QTE]]</f>
        <v>91.2</v>
      </c>
      <c r="I443" s="7" t="s">
        <v>4841</v>
      </c>
      <c r="J443" s="8" t="s">
        <v>3045</v>
      </c>
      <c r="K443" s="8" t="s">
        <v>4320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95"/>
        <v>91.2</v>
      </c>
      <c r="S443" s="18">
        <f t="shared" si="96"/>
        <v>91.2</v>
      </c>
      <c r="T443" s="19">
        <f t="shared" si="97"/>
        <v>0</v>
      </c>
      <c r="U443" s="16">
        <f>IFERROR(SUMIF('LISTA DE EMBARQUE'!B:B,MICRO!E:E,'LISTA DE EMBARQUE'!G:G),"")</f>
        <v>8</v>
      </c>
      <c r="V443" s="12">
        <f>IFERROR(VLOOKUP(Tabela1[[#This Row],[COD.MDE]],'LISTA DE EMBARQUE'!B:L,11,0),"")</f>
        <v>3</v>
      </c>
      <c r="W443" s="13" t="str">
        <f>IFERROR(COUNTIF(#REF!,Tabela1[[#This Row],[Colunas5]]),"")</f>
        <v/>
      </c>
      <c r="X443" s="14">
        <f>Tabela1[[#This Row],[QIANTIDADE EXPEDIDA]]*Tabela1[[#This Row],[PESO UNI]]</f>
        <v>91.2</v>
      </c>
      <c r="Y443" s="14">
        <f t="shared" si="98"/>
        <v>0</v>
      </c>
      <c r="Z443" s="20">
        <f>Tabela1[[#This Row],[PESO TOTAL]]-Tabela1[[#This Row],[Peso Expedido]]</f>
        <v>0</v>
      </c>
      <c r="AA443" s="17">
        <v>1</v>
      </c>
      <c r="AB443" s="33"/>
      <c r="AC443" s="33">
        <v>1</v>
      </c>
      <c r="AD443" s="33">
        <v>1</v>
      </c>
      <c r="AE443" s="33">
        <v>1</v>
      </c>
      <c r="AF443" s="33">
        <v>1</v>
      </c>
      <c r="AG443" s="33">
        <v>1</v>
      </c>
      <c r="AH443" s="33">
        <v>1</v>
      </c>
      <c r="AI443" s="33" t="str">
        <f t="shared" si="99"/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92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93"/>
        <v>91.2</v>
      </c>
      <c r="AV443" s="37">
        <f t="shared" si="94"/>
        <v>91.2</v>
      </c>
      <c r="AW443" s="37"/>
    </row>
    <row r="444" spans="1:49" ht="15.75" customHeight="1" x14ac:dyDescent="0.25">
      <c r="A444" s="6" t="s">
        <v>4310</v>
      </c>
      <c r="B444" s="21" t="s">
        <v>4311</v>
      </c>
      <c r="C444" s="7">
        <v>4</v>
      </c>
      <c r="D444" s="39" t="s">
        <v>4314</v>
      </c>
      <c r="E444" s="7">
        <v>4330</v>
      </c>
      <c r="F444" s="7">
        <v>32</v>
      </c>
      <c r="G444" s="23">
        <v>51.3</v>
      </c>
      <c r="H444" s="34">
        <f>Tabela1[[#This Row],[PESO UNI]]*Tabela1[[#This Row],[QTE]]</f>
        <v>205.2</v>
      </c>
      <c r="I444" s="7" t="s">
        <v>4841</v>
      </c>
      <c r="J444" s="8" t="s">
        <v>3045</v>
      </c>
      <c r="K444" s="8" t="s">
        <v>4320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-4</v>
      </c>
      <c r="R444" s="18">
        <f t="shared" si="95"/>
        <v>205.2</v>
      </c>
      <c r="S444" s="18">
        <f t="shared" si="96"/>
        <v>205.2</v>
      </c>
      <c r="T444" s="19">
        <f t="shared" si="97"/>
        <v>0</v>
      </c>
      <c r="U444" s="16">
        <f>IFERROR(SUMIF('LISTA DE EMBARQUE'!B:B,MICRO!E:E,'LISTA DE EMBARQUE'!G:G),"")</f>
        <v>4</v>
      </c>
      <c r="V444" s="12">
        <f>IFERROR(VLOOKUP(Tabela1[[#This Row],[COD.MDE]],'LISTA DE EMBARQUE'!B:L,11,0),"")</f>
        <v>5</v>
      </c>
      <c r="W444" s="13" t="str">
        <f>IFERROR(COUNTIF(#REF!,Tabela1[[#This Row],[Colunas5]]),"")</f>
        <v/>
      </c>
      <c r="X444" s="14">
        <f>Tabela1[[#This Row],[QIANTIDADE EXPEDIDA]]*Tabela1[[#This Row],[PESO UNI]]</f>
        <v>205.2</v>
      </c>
      <c r="Y444" s="14">
        <f t="shared" si="98"/>
        <v>0</v>
      </c>
      <c r="Z444" s="20">
        <f>Tabela1[[#This Row],[PESO TOTAL]]-Tabela1[[#This Row],[Peso Expedido]]</f>
        <v>0</v>
      </c>
      <c r="AA444" s="17">
        <v>1</v>
      </c>
      <c r="AB444" s="33"/>
      <c r="AC444" s="33">
        <v>1</v>
      </c>
      <c r="AD444" s="33">
        <v>1</v>
      </c>
      <c r="AE444" s="33">
        <v>1</v>
      </c>
      <c r="AF444" s="33">
        <v>1</v>
      </c>
      <c r="AG444" s="33">
        <v>1</v>
      </c>
      <c r="AH444" s="33">
        <v>1</v>
      </c>
      <c r="AI444" s="33" t="str">
        <f t="shared" si="99"/>
        <v>ok</v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92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93"/>
        <v>205.2</v>
      </c>
      <c r="AV444" s="37">
        <f t="shared" si="94"/>
        <v>205.2</v>
      </c>
      <c r="AW444" s="37"/>
    </row>
    <row r="445" spans="1:49" ht="15.75" customHeight="1" x14ac:dyDescent="0.25">
      <c r="A445" s="6" t="s">
        <v>4310</v>
      </c>
      <c r="B445" s="21" t="s">
        <v>4311</v>
      </c>
      <c r="C445" s="7">
        <v>8</v>
      </c>
      <c r="D445" s="39" t="s">
        <v>4315</v>
      </c>
      <c r="E445" s="7">
        <v>4331</v>
      </c>
      <c r="F445" s="7">
        <v>32</v>
      </c>
      <c r="G445" s="23">
        <v>4.8</v>
      </c>
      <c r="H445" s="34">
        <f>Tabela1[[#This Row],[PESO UNI]]*Tabela1[[#This Row],[QTE]]</f>
        <v>38.4</v>
      </c>
      <c r="I445" s="7" t="s">
        <v>4841</v>
      </c>
      <c r="J445" s="8" t="s">
        <v>3045</v>
      </c>
      <c r="K445" s="8" t="s">
        <v>4320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-8</v>
      </c>
      <c r="R445" s="18">
        <f t="shared" si="95"/>
        <v>38.4</v>
      </c>
      <c r="S445" s="18">
        <f t="shared" si="96"/>
        <v>38.4</v>
      </c>
      <c r="T445" s="19">
        <f t="shared" si="97"/>
        <v>0</v>
      </c>
      <c r="U445" s="16">
        <f>IFERROR(SUMIF('LISTA DE EMBARQUE'!B:B,MICRO!E:E,'LISTA DE EMBARQUE'!G:G),"")</f>
        <v>8</v>
      </c>
      <c r="V445" s="12">
        <f>IFERROR(VLOOKUP(Tabela1[[#This Row],[COD.MDE]],'LISTA DE EMBARQUE'!B:L,11,0),"")</f>
        <v>6</v>
      </c>
      <c r="W445" s="13" t="str">
        <f>IFERROR(COUNTIF(#REF!,Tabela1[[#This Row],[Colunas5]]),"")</f>
        <v/>
      </c>
      <c r="X445" s="14">
        <f>Tabela1[[#This Row],[QIANTIDADE EXPEDIDA]]*Tabela1[[#This Row],[PESO UNI]]</f>
        <v>38.4</v>
      </c>
      <c r="Y445" s="14">
        <f t="shared" si="98"/>
        <v>0</v>
      </c>
      <c r="Z445" s="20">
        <f>Tabela1[[#This Row],[PESO TOTAL]]-Tabela1[[#This Row],[Peso Expedido]]</f>
        <v>0</v>
      </c>
      <c r="AA445" s="17">
        <v>1</v>
      </c>
      <c r="AB445" s="33"/>
      <c r="AC445" s="17">
        <v>1</v>
      </c>
      <c r="AD445" s="17">
        <v>1</v>
      </c>
      <c r="AE445" s="17">
        <v>1</v>
      </c>
      <c r="AF445" s="17">
        <v>1</v>
      </c>
      <c r="AG445" s="17">
        <v>1</v>
      </c>
      <c r="AH445" s="17">
        <v>1</v>
      </c>
      <c r="AI445" s="33" t="str">
        <f t="shared" si="99"/>
        <v>ok</v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92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93"/>
        <v>38.4</v>
      </c>
      <c r="AV445" s="37">
        <f t="shared" si="94"/>
        <v>38.4</v>
      </c>
      <c r="AW445" s="37"/>
    </row>
    <row r="446" spans="1:49" ht="15.75" customHeight="1" x14ac:dyDescent="0.25">
      <c r="A446" s="6" t="s">
        <v>4310</v>
      </c>
      <c r="B446" s="21" t="s">
        <v>4311</v>
      </c>
      <c r="C446" s="7">
        <v>22</v>
      </c>
      <c r="D446" s="39" t="s">
        <v>4316</v>
      </c>
      <c r="E446" s="7">
        <v>4333</v>
      </c>
      <c r="F446" s="7">
        <v>32</v>
      </c>
      <c r="G446" s="23">
        <v>7.6</v>
      </c>
      <c r="H446" s="34">
        <f>Tabela1[[#This Row],[PESO UNI]]*Tabela1[[#This Row],[QTE]]</f>
        <v>167.2</v>
      </c>
      <c r="I446" s="7" t="s">
        <v>4841</v>
      </c>
      <c r="J446" s="8" t="s">
        <v>3045</v>
      </c>
      <c r="K446" s="8" t="s">
        <v>4320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-22</v>
      </c>
      <c r="R446" s="18">
        <f t="shared" si="95"/>
        <v>167.2</v>
      </c>
      <c r="S446" s="18">
        <f t="shared" si="96"/>
        <v>167.2</v>
      </c>
      <c r="T446" s="19">
        <f t="shared" si="97"/>
        <v>0</v>
      </c>
      <c r="U446" s="16">
        <f>IFERROR(SUMIF('LISTA DE EMBARQUE'!B:B,MICRO!E:E,'LISTA DE EMBARQUE'!G:G),"")</f>
        <v>22</v>
      </c>
      <c r="V446" s="12">
        <f>IFERROR(VLOOKUP(Tabela1[[#This Row],[COD.MDE]],'LISTA DE EMBARQUE'!B:L,11,0),"")</f>
        <v>5</v>
      </c>
      <c r="W446" s="13" t="str">
        <f>IFERROR(COUNTIF(#REF!,Tabela1[[#This Row],[Colunas5]]),"")</f>
        <v/>
      </c>
      <c r="X446" s="14">
        <f>Tabela1[[#This Row],[QIANTIDADE EXPEDIDA]]*Tabela1[[#This Row],[PESO UNI]]</f>
        <v>167.2</v>
      </c>
      <c r="Y446" s="14">
        <f t="shared" si="98"/>
        <v>0</v>
      </c>
      <c r="Z446" s="20">
        <f>Tabela1[[#This Row],[PESO TOTAL]]-Tabela1[[#This Row],[Peso Expedido]]</f>
        <v>0</v>
      </c>
      <c r="AA446" s="17">
        <v>1</v>
      </c>
      <c r="AB446" s="33"/>
      <c r="AC446" s="33">
        <v>1</v>
      </c>
      <c r="AD446" s="33">
        <v>1</v>
      </c>
      <c r="AE446" s="33">
        <v>1</v>
      </c>
      <c r="AF446" s="33">
        <v>1</v>
      </c>
      <c r="AG446" s="33">
        <v>1</v>
      </c>
      <c r="AH446" s="33">
        <v>1</v>
      </c>
      <c r="AI446" s="33" t="str">
        <f t="shared" si="99"/>
        <v>ok</v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92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93"/>
        <v>167.2</v>
      </c>
      <c r="AV446" s="37">
        <f t="shared" si="94"/>
        <v>167.2</v>
      </c>
      <c r="AW446" s="37"/>
    </row>
    <row r="447" spans="1:49" ht="15.75" customHeight="1" x14ac:dyDescent="0.25">
      <c r="A447" s="6" t="s">
        <v>4310</v>
      </c>
      <c r="B447" s="21" t="s">
        <v>4311</v>
      </c>
      <c r="C447" s="7">
        <v>1</v>
      </c>
      <c r="D447" s="39" t="s">
        <v>4317</v>
      </c>
      <c r="E447" s="7">
        <v>4334</v>
      </c>
      <c r="F447" s="7">
        <v>32</v>
      </c>
      <c r="G447" s="23">
        <v>25.9</v>
      </c>
      <c r="H447" s="34">
        <f>Tabela1[[#This Row],[PESO UNI]]*Tabela1[[#This Row],[QTE]]</f>
        <v>25.9</v>
      </c>
      <c r="I447" s="7" t="s">
        <v>4841</v>
      </c>
      <c r="J447" s="8" t="s">
        <v>3045</v>
      </c>
      <c r="K447" s="8" t="s">
        <v>4320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-1</v>
      </c>
      <c r="R447" s="18">
        <f t="shared" si="95"/>
        <v>25.9</v>
      </c>
      <c r="S447" s="18">
        <f t="shared" si="96"/>
        <v>25.9</v>
      </c>
      <c r="T447" s="19">
        <f t="shared" si="97"/>
        <v>0</v>
      </c>
      <c r="U447" s="16">
        <f>IFERROR(SUMIF('LISTA DE EMBARQUE'!B:B,MICRO!E:E,'LISTA DE EMBARQUE'!G:G),"")</f>
        <v>1</v>
      </c>
      <c r="V447" s="12">
        <f>IFERROR(VLOOKUP(Tabela1[[#This Row],[COD.MDE]],'LISTA DE EMBARQUE'!B:L,11,0),"")</f>
        <v>5</v>
      </c>
      <c r="W447" s="13" t="str">
        <f>IFERROR(COUNTIF(#REF!,Tabela1[[#This Row],[Colunas5]]),"")</f>
        <v/>
      </c>
      <c r="X447" s="14">
        <f>Tabela1[[#This Row],[QIANTIDADE EXPEDIDA]]*Tabela1[[#This Row],[PESO UNI]]</f>
        <v>25.9</v>
      </c>
      <c r="Y447" s="14">
        <f t="shared" si="98"/>
        <v>0</v>
      </c>
      <c r="Z447" s="20">
        <f>Tabela1[[#This Row],[PESO TOTAL]]-Tabela1[[#This Row],[Peso Expedido]]</f>
        <v>0</v>
      </c>
      <c r="AA447" s="17">
        <v>1</v>
      </c>
      <c r="AB447" s="33"/>
      <c r="AC447" s="33">
        <v>1</v>
      </c>
      <c r="AD447" s="33">
        <v>1</v>
      </c>
      <c r="AE447" s="33">
        <v>1</v>
      </c>
      <c r="AF447" s="33">
        <v>1</v>
      </c>
      <c r="AG447" s="33">
        <v>1</v>
      </c>
      <c r="AH447" s="33">
        <v>1</v>
      </c>
      <c r="AI447" s="33" t="str">
        <f t="shared" si="99"/>
        <v>ok</v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92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93"/>
        <v>25.9</v>
      </c>
      <c r="AV447" s="37">
        <f t="shared" si="94"/>
        <v>25.9</v>
      </c>
      <c r="AW447" s="37"/>
    </row>
    <row r="448" spans="1:49" ht="15.75" customHeight="1" x14ac:dyDescent="0.25">
      <c r="A448" s="6" t="s">
        <v>4310</v>
      </c>
      <c r="B448" s="21" t="s">
        <v>4311</v>
      </c>
      <c r="C448" s="7">
        <v>1</v>
      </c>
      <c r="D448" s="39" t="s">
        <v>4318</v>
      </c>
      <c r="E448" s="7">
        <v>4335</v>
      </c>
      <c r="F448" s="7">
        <v>32</v>
      </c>
      <c r="G448" s="23">
        <v>2.6</v>
      </c>
      <c r="H448" s="34">
        <f>Tabela1[[#This Row],[PESO UNI]]*Tabela1[[#This Row],[QTE]]</f>
        <v>2.6</v>
      </c>
      <c r="I448" s="7" t="s">
        <v>4841</v>
      </c>
      <c r="J448" s="8" t="s">
        <v>3045</v>
      </c>
      <c r="K448" s="8" t="s">
        <v>4320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 t="shared" si="95"/>
        <v>2.6</v>
      </c>
      <c r="S448" s="18">
        <f t="shared" si="96"/>
        <v>2.6</v>
      </c>
      <c r="T448" s="19">
        <f t="shared" si="97"/>
        <v>0</v>
      </c>
      <c r="U448" s="16">
        <f>IFERROR(SUMIF('LISTA DE EMBARQUE'!B:B,MICRO!E:E,'LISTA DE EMBARQUE'!G:G),"")</f>
        <v>1</v>
      </c>
      <c r="V448" s="12">
        <f>IFERROR(VLOOKUP(Tabela1[[#This Row],[COD.MDE]],'LISTA DE EMBARQUE'!B:L,11,0),"")</f>
        <v>6</v>
      </c>
      <c r="W448" s="13" t="str">
        <f>IFERROR(COUNTIF(#REF!,Tabela1[[#This Row],[Colunas5]]),"")</f>
        <v/>
      </c>
      <c r="X448" s="14">
        <f>Tabela1[[#This Row],[QIANTIDADE EXPEDIDA]]*Tabela1[[#This Row],[PESO UNI]]</f>
        <v>2.6</v>
      </c>
      <c r="Y448" s="14">
        <f t="shared" si="98"/>
        <v>0</v>
      </c>
      <c r="Z448" s="20">
        <f>Tabela1[[#This Row],[PESO TOTAL]]-Tabela1[[#This Row],[Peso Expedido]]</f>
        <v>0</v>
      </c>
      <c r="AA448" s="17">
        <v>1</v>
      </c>
      <c r="AB448" s="33"/>
      <c r="AC448" s="17">
        <v>1</v>
      </c>
      <c r="AD448" s="17">
        <v>1</v>
      </c>
      <c r="AE448" s="17">
        <v>1</v>
      </c>
      <c r="AF448" s="17">
        <v>1</v>
      </c>
      <c r="AG448" s="17">
        <v>1</v>
      </c>
      <c r="AH448" s="17">
        <v>1</v>
      </c>
      <c r="AI448" s="33" t="str">
        <f t="shared" si="99"/>
        <v>ok</v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92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93"/>
        <v>2.6</v>
      </c>
      <c r="AV448" s="37">
        <f t="shared" si="94"/>
        <v>2.6</v>
      </c>
      <c r="AW448" s="37"/>
    </row>
    <row r="449" spans="1:49" ht="15.75" customHeight="1" x14ac:dyDescent="0.25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-2</v>
      </c>
      <c r="R449" s="18">
        <f t="shared" si="95"/>
        <v>22.799999999999997</v>
      </c>
      <c r="S449" s="18">
        <f t="shared" si="96"/>
        <v>0</v>
      </c>
      <c r="T449" s="19">
        <f t="shared" si="97"/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98"/>
        <v>-2</v>
      </c>
      <c r="Z449" s="20">
        <f>Tabela1[[#This Row],[PESO TOTAL]]-Tabela1[[#This Row],[Peso Expedido]]</f>
        <v>24</v>
      </c>
      <c r="AA449" s="17">
        <v>1</v>
      </c>
      <c r="AB449" s="33"/>
      <c r="AC449" s="33">
        <v>1</v>
      </c>
      <c r="AD449" s="33">
        <v>1</v>
      </c>
      <c r="AE449" s="33">
        <v>1</v>
      </c>
      <c r="AF449" s="33"/>
      <c r="AG449" s="33"/>
      <c r="AH449" s="33"/>
      <c r="AI449" s="33" t="str">
        <f t="shared" si="9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>A449&amp;"/"&amp;J449</f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>IF(AH449="",0,IF(ISTEXT(AH449),H449*VALUE(SUBSTITUTE(AH449,"%",""))/100,H449*AH449))</f>
        <v>0</v>
      </c>
      <c r="AV449" s="37">
        <f>IF(AG449="",0,IF(ISTEXT(AG449),H449*VALUE(SUBSTITUTE(AG449,"%",""))/100,H449*AG449))</f>
        <v>0</v>
      </c>
      <c r="AW449" s="37"/>
    </row>
    <row r="450" spans="1:49" ht="15.75" customHeight="1" x14ac:dyDescent="0.25">
      <c r="A450" s="6" t="s">
        <v>4417</v>
      </c>
      <c r="B450" s="21" t="s">
        <v>4418</v>
      </c>
      <c r="C450" s="7">
        <v>1</v>
      </c>
      <c r="D450" s="39" t="s">
        <v>4419</v>
      </c>
      <c r="E450" s="7">
        <v>4338</v>
      </c>
      <c r="F450" s="7">
        <v>35</v>
      </c>
      <c r="G450" s="23">
        <v>748.2</v>
      </c>
      <c r="H450" s="34">
        <f>Tabela1[[#This Row],[PESO UNI]]*Tabela1[[#This Row],[QTE]]</f>
        <v>748.2</v>
      </c>
      <c r="I450" s="7" t="s">
        <v>4950</v>
      </c>
      <c r="J450" s="8" t="s">
        <v>3045</v>
      </c>
      <c r="K450" s="8" t="s">
        <v>31</v>
      </c>
      <c r="L450" s="9" t="s">
        <v>2984</v>
      </c>
      <c r="M450" s="10">
        <v>46218</v>
      </c>
      <c r="N450" s="8" t="s">
        <v>38</v>
      </c>
      <c r="O450" s="14"/>
      <c r="P450" s="18"/>
      <c r="Q450" s="14">
        <f>Tabela1[[#This Row],[QTDE/ Fabricação]]-Tabela1[[#This Row],[QTE]]</f>
        <v>-1</v>
      </c>
      <c r="R450" s="18">
        <f t="shared" si="95"/>
        <v>748.2</v>
      </c>
      <c r="S450" s="18">
        <f t="shared" si="96"/>
        <v>748.2</v>
      </c>
      <c r="T450" s="19">
        <f t="shared" si="97"/>
        <v>0</v>
      </c>
      <c r="U450" s="16">
        <f>IFERROR(SUMIF('LISTA DE EMBARQUE'!B:B,MICRO!E:E,'LISTA DE EMBARQUE'!G:G),"")</f>
        <v>1</v>
      </c>
      <c r="V450" s="12">
        <f>IFERROR(VLOOKUP(Tabela1[[#This Row],[COD.MDE]],'LISTA DE EMBARQUE'!B:L,11,0),"")</f>
        <v>4</v>
      </c>
      <c r="W450" s="13"/>
      <c r="X450" s="14">
        <f>IFERROR(Tabela1[[#This Row],[QIANTIDADE EXPEDIDA]]*Tabela1[[#This Row],[PESO UNI]],"")</f>
        <v>748.2</v>
      </c>
      <c r="Y450" s="14">
        <f t="shared" si="98"/>
        <v>0</v>
      </c>
      <c r="Z450" s="20">
        <f>Tabela1[[#This Row],[PESO TOTAL]]-Tabela1[[#This Row],[Peso Expedido]]</f>
        <v>0</v>
      </c>
      <c r="AA450" s="33">
        <v>1</v>
      </c>
      <c r="AB450" s="33"/>
      <c r="AC450" s="33">
        <v>1</v>
      </c>
      <c r="AD450" s="33">
        <v>1</v>
      </c>
      <c r="AE450" s="33">
        <v>1</v>
      </c>
      <c r="AF450" s="33">
        <v>1</v>
      </c>
      <c r="AG450" s="33">
        <v>1</v>
      </c>
      <c r="AH450" s="33">
        <v>1</v>
      </c>
      <c r="AI450" s="33" t="str">
        <f t="shared" si="99"/>
        <v>ok</v>
      </c>
    </row>
    <row r="451" spans="1:49" ht="15.75" customHeight="1" x14ac:dyDescent="0.25">
      <c r="A451" s="6" t="s">
        <v>4420</v>
      </c>
      <c r="B451" s="21" t="s">
        <v>4421</v>
      </c>
      <c r="C451" s="7">
        <v>5</v>
      </c>
      <c r="D451" s="39" t="s">
        <v>4422</v>
      </c>
      <c r="E451" s="7">
        <v>4339</v>
      </c>
      <c r="F451" s="7">
        <v>35</v>
      </c>
      <c r="G451" s="23">
        <v>730.2</v>
      </c>
      <c r="H451" s="34">
        <f>Tabela1[[#This Row],[PESO UNI]]*Tabela1[[#This Row],[QTE]]</f>
        <v>3651</v>
      </c>
      <c r="I451" s="7" t="s">
        <v>4441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-5</v>
      </c>
      <c r="R451" s="18">
        <f t="shared" si="95"/>
        <v>3651</v>
      </c>
      <c r="S451" s="18">
        <f t="shared" si="96"/>
        <v>3651</v>
      </c>
      <c r="T451" s="19">
        <f t="shared" si="97"/>
        <v>0</v>
      </c>
      <c r="U451" s="16">
        <f>IFERROR(SUMIF('LISTA DE EMBARQUE'!B:B,MICRO!E:E,'LISTA DE EMBARQUE'!G:G),"")</f>
        <v>5</v>
      </c>
      <c r="V451" s="12">
        <f>IFERROR(VLOOKUP(Tabela1[[#This Row],[COD.MDE]],'LISTA DE EMBARQUE'!B:L,11,0),"")</f>
        <v>4</v>
      </c>
      <c r="W451" s="13"/>
      <c r="X451" s="14">
        <f>IFERROR(Tabela1[[#This Row],[QIANTIDADE EXPEDIDA]]*Tabela1[[#This Row],[PESO UNI]],"")</f>
        <v>3651</v>
      </c>
      <c r="Y451" s="14">
        <f t="shared" si="98"/>
        <v>0</v>
      </c>
      <c r="Z451" s="20">
        <f>Tabela1[[#This Row],[PESO TOTAL]]-Tabela1[[#This Row],[Peso Expedido]]</f>
        <v>0</v>
      </c>
      <c r="AA451" s="33">
        <v>1</v>
      </c>
      <c r="AB451" s="33"/>
      <c r="AC451" s="33">
        <v>1</v>
      </c>
      <c r="AD451" s="33">
        <v>1</v>
      </c>
      <c r="AE451" s="33">
        <v>1</v>
      </c>
      <c r="AF451" s="33">
        <v>1</v>
      </c>
      <c r="AG451" s="33">
        <v>1</v>
      </c>
      <c r="AH451" s="33">
        <v>1</v>
      </c>
      <c r="AI451" s="33" t="str">
        <f t="shared" si="99"/>
        <v>ok</v>
      </c>
    </row>
    <row r="452" spans="1:49" ht="15.75" customHeight="1" x14ac:dyDescent="0.25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238">
        <v>1</v>
      </c>
      <c r="H452" s="34">
        <f>Tabela1[[#This Row],[PESO UNI]]*Tabela1[[#This Row],[QTE]]</f>
        <v>18</v>
      </c>
      <c r="I452" s="7" t="s">
        <v>2</v>
      </c>
      <c r="J452" s="8" t="s">
        <v>4423</v>
      </c>
      <c r="K452" s="7" t="s">
        <v>23</v>
      </c>
      <c r="L452" s="7" t="s">
        <v>4424</v>
      </c>
      <c r="M452" s="7">
        <v>46218</v>
      </c>
      <c r="N452" s="7" t="s">
        <v>38</v>
      </c>
      <c r="O452" s="14"/>
      <c r="P452" s="18"/>
      <c r="Q452" s="7">
        <f>Tabela1[[#This Row],[QTDE/ Fabricação]]-Tabela1[[#This Row],[QTE]]</f>
        <v>-18</v>
      </c>
      <c r="R452" s="18">
        <f t="shared" si="89"/>
        <v>18</v>
      </c>
      <c r="S452" s="18">
        <f t="shared" ref="S452:S458" si="100">IFERROR(H452*AG452,"")</f>
        <v>18</v>
      </c>
      <c r="T452" s="19">
        <f t="shared" ref="T452:T458" si="101">IFERROR(S452-H452,"")</f>
        <v>0</v>
      </c>
      <c r="U452" s="16">
        <f>IFERROR(SUMIF('LISTA DE EMBARQUE'!B:B,MICRO!E:E,'LISTA DE EMBARQUE'!G:G),"")</f>
        <v>18</v>
      </c>
      <c r="V452" s="12">
        <f>IFERROR(VLOOKUP(Tabela1[[#This Row],[COD.MDE]],'LISTA DE EMBARQUE'!B:L,11,0),"")</f>
        <v>1</v>
      </c>
      <c r="W452" s="13"/>
      <c r="X452" s="14">
        <f>IFERROR(Tabela1[[#This Row],[QIANTIDADE EXPEDIDA]]*Tabela1[[#This Row],[PESO UNI]],"")</f>
        <v>18</v>
      </c>
      <c r="Y452" s="14">
        <f t="shared" ref="Y452:Y458" si="102">U452-C452</f>
        <v>0</v>
      </c>
      <c r="Z452" s="20">
        <f>Tabela1[[#This Row],[PESO TOTAL]]-Tabela1[[#This Row],[Peso Expedido]]</f>
        <v>0</v>
      </c>
      <c r="AA452" s="33">
        <v>1</v>
      </c>
      <c r="AB452" s="33">
        <v>1</v>
      </c>
      <c r="AC452" s="33">
        <v>1</v>
      </c>
      <c r="AD452" s="33">
        <v>1</v>
      </c>
      <c r="AE452" s="33">
        <v>1</v>
      </c>
      <c r="AF452" s="33">
        <v>1</v>
      </c>
      <c r="AG452" s="33">
        <v>1</v>
      </c>
      <c r="AH452" s="33">
        <v>1</v>
      </c>
      <c r="AI452" s="33" t="str">
        <f t="shared" si="77"/>
        <v>ok</v>
      </c>
    </row>
    <row r="453" spans="1:49" ht="15.75" customHeight="1" x14ac:dyDescent="0.25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238">
        <v>5.2</v>
      </c>
      <c r="H453" s="34">
        <f>Tabela1[[#This Row],[PESO UNI]]*Tabela1[[#This Row],[QTE]]</f>
        <v>275.60000000000002</v>
      </c>
      <c r="I453" s="7" t="s">
        <v>2</v>
      </c>
      <c r="J453" s="8" t="s">
        <v>4423</v>
      </c>
      <c r="K453" s="7" t="s">
        <v>23</v>
      </c>
      <c r="L453" s="7" t="s">
        <v>4424</v>
      </c>
      <c r="M453" s="7">
        <v>46218</v>
      </c>
      <c r="N453" s="7" t="s">
        <v>38</v>
      </c>
      <c r="O453" s="14"/>
      <c r="P453" s="18"/>
      <c r="Q453" s="7">
        <f>Tabela1[[#This Row],[QTDE/ Fabricação]]-Tabela1[[#This Row],[QTE]]</f>
        <v>-53</v>
      </c>
      <c r="R453" s="18">
        <f>IFERROR(H453*((AA453*0.25)+(AC453*0.25)+(AD453*0.225)+(AE453*0.225)+(AF453*0.05)),"")</f>
        <v>275.60000000000002</v>
      </c>
      <c r="S453" s="18">
        <f t="shared" si="100"/>
        <v>275.60000000000002</v>
      </c>
      <c r="T453" s="19">
        <f t="shared" si="101"/>
        <v>0</v>
      </c>
      <c r="U453" s="16">
        <f>IFERROR(SUMIF('LISTA DE EMBARQUE'!B:B,MICRO!E:E,'LISTA DE EMBARQUE'!G:G),"")</f>
        <v>53</v>
      </c>
      <c r="V453" s="12">
        <f>IFERROR(VLOOKUP(Tabela1[[#This Row],[COD.MDE]],'LISTA DE EMBARQUE'!B:L,11,0),"")</f>
        <v>1</v>
      </c>
      <c r="W453" s="13"/>
      <c r="X453" s="14">
        <f>IFERROR(Tabela1[[#This Row],[QIANTIDADE EXPEDIDA]]*Tabela1[[#This Row],[PESO UNI]],"")</f>
        <v>275.60000000000002</v>
      </c>
      <c r="Y453" s="14">
        <f t="shared" si="102"/>
        <v>0</v>
      </c>
      <c r="Z453" s="20">
        <f>Tabela1[[#This Row],[PESO TOTAL]]-Tabela1[[#This Row],[Peso Expedido]]</f>
        <v>0</v>
      </c>
      <c r="AA453" s="33">
        <v>1</v>
      </c>
      <c r="AB453" s="33">
        <v>1</v>
      </c>
      <c r="AC453" s="33">
        <v>1</v>
      </c>
      <c r="AD453" s="33">
        <v>1</v>
      </c>
      <c r="AE453" s="33">
        <v>1</v>
      </c>
      <c r="AF453" s="33">
        <v>1</v>
      </c>
      <c r="AG453" s="33">
        <v>1</v>
      </c>
      <c r="AH453" s="33">
        <v>1</v>
      </c>
      <c r="AI453" s="33" t="str">
        <f t="shared" si="77"/>
        <v>ok</v>
      </c>
    </row>
    <row r="454" spans="1:49" ht="15.75" customHeight="1" x14ac:dyDescent="0.25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238">
        <v>19.100000000000001</v>
      </c>
      <c r="H454" s="34">
        <f>Tabela1[[#This Row],[PESO UNI]]*Tabela1[[#This Row],[QTE]]</f>
        <v>133.70000000000002</v>
      </c>
      <c r="I454" s="7" t="s">
        <v>746</v>
      </c>
      <c r="J454" s="8" t="s">
        <v>4423</v>
      </c>
      <c r="K454" s="7" t="s">
        <v>33</v>
      </c>
      <c r="L454" s="7" t="s">
        <v>4424</v>
      </c>
      <c r="M454" s="7">
        <v>46218</v>
      </c>
      <c r="N454" s="7" t="s">
        <v>38</v>
      </c>
      <c r="O454" s="14"/>
      <c r="P454" s="18"/>
      <c r="Q454" s="7">
        <f>Tabela1[[#This Row],[QTDE/ Fabricação]]-Tabela1[[#This Row],[QTE]]</f>
        <v>-7</v>
      </c>
      <c r="R454" s="18">
        <f>IFERROR(H454*((AA454*0.25)+(AB454*0.25)+(AD454*0.225)+(AE454*0.225)+(AF454*0.05)),"")</f>
        <v>133.70000000000002</v>
      </c>
      <c r="S454" s="18">
        <f t="shared" si="100"/>
        <v>133.70000000000002</v>
      </c>
      <c r="T454" s="19">
        <f t="shared" si="101"/>
        <v>0</v>
      </c>
      <c r="U454" s="16">
        <f>IFERROR(SUMIF('LISTA DE EMBARQUE'!B:B,MICRO!E:E,'LISTA DE EMBARQUE'!G:G),"")</f>
        <v>7</v>
      </c>
      <c r="V454" s="12">
        <f>IFERROR(VLOOKUP(Tabela1[[#This Row],[COD.MDE]],'LISTA DE EMBARQUE'!B:L,11,0),"")</f>
        <v>1</v>
      </c>
      <c r="W454" s="13"/>
      <c r="X454" s="14">
        <f>IFERROR(Tabela1[[#This Row],[QIANTIDADE EXPEDIDA]]*Tabela1[[#This Row],[PESO UNI]],"")</f>
        <v>133.70000000000002</v>
      </c>
      <c r="Y454" s="14">
        <f t="shared" si="102"/>
        <v>0</v>
      </c>
      <c r="Z454" s="20">
        <f>Tabela1[[#This Row],[PESO TOTAL]]-Tabela1[[#This Row],[Peso Expedido]]</f>
        <v>0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33">
        <v>1</v>
      </c>
      <c r="AI454" s="33" t="str">
        <f t="shared" si="77"/>
        <v>ok</v>
      </c>
    </row>
    <row r="455" spans="1:49" ht="15.75" customHeight="1" x14ac:dyDescent="0.25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238">
        <v>18.2</v>
      </c>
      <c r="H455" s="34">
        <f>Tabela1[[#This Row],[PESO UNI]]*Tabela1[[#This Row],[QTE]]</f>
        <v>109.19999999999999</v>
      </c>
      <c r="I455" s="7" t="s">
        <v>746</v>
      </c>
      <c r="J455" s="8" t="s">
        <v>4423</v>
      </c>
      <c r="K455" s="7" t="s">
        <v>33</v>
      </c>
      <c r="L455" s="7" t="s">
        <v>4424</v>
      </c>
      <c r="M455" s="7">
        <v>46218</v>
      </c>
      <c r="N455" s="7" t="s">
        <v>38</v>
      </c>
      <c r="O455" s="14"/>
      <c r="P455" s="18"/>
      <c r="Q455" s="7">
        <f>Tabela1[[#This Row],[QTDE/ Fabricação]]-Tabela1[[#This Row],[QTE]]</f>
        <v>-6</v>
      </c>
      <c r="R455" s="18">
        <f>IFERROR(H455*((AA455*0.25)+(AB455*0.25)+(AD455*0.225)+(AE455*0.225)+(AF455*0.05)),"")</f>
        <v>109.19999999999999</v>
      </c>
      <c r="S455" s="18">
        <f t="shared" si="100"/>
        <v>109.19999999999999</v>
      </c>
      <c r="T455" s="19">
        <f t="shared" si="101"/>
        <v>0</v>
      </c>
      <c r="U455" s="16">
        <f>IFERROR(SUMIF('LISTA DE EMBARQUE'!B:B,MICRO!E:E,'LISTA DE EMBARQUE'!G:G),"")</f>
        <v>6</v>
      </c>
      <c r="V455" s="12">
        <f>IFERROR(VLOOKUP(Tabela1[[#This Row],[COD.MDE]],'LISTA DE EMBARQUE'!B:L,11,0),"")</f>
        <v>1</v>
      </c>
      <c r="W455" s="13"/>
      <c r="X455" s="14">
        <f>IFERROR(Tabela1[[#This Row],[QIANTIDADE EXPEDIDA]]*Tabela1[[#This Row],[PESO UNI]],"")</f>
        <v>109.19999999999999</v>
      </c>
      <c r="Y455" s="14">
        <f t="shared" si="102"/>
        <v>0</v>
      </c>
      <c r="Z455" s="20">
        <f>Tabela1[[#This Row],[PESO TOTAL]]-Tabela1[[#This Row],[Peso Expedido]]</f>
        <v>0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33">
        <v>1</v>
      </c>
      <c r="AI455" s="33" t="str">
        <f t="shared" si="77"/>
        <v>ok</v>
      </c>
    </row>
    <row r="456" spans="1:49" ht="15.75" customHeight="1" x14ac:dyDescent="0.25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238">
        <v>6</v>
      </c>
      <c r="H456" s="34">
        <f>Tabela1[[#This Row],[PESO UNI]]*Tabela1[[#This Row],[QTE]]</f>
        <v>48</v>
      </c>
      <c r="I456" s="7" t="s">
        <v>746</v>
      </c>
      <c r="J456" s="8" t="s">
        <v>4423</v>
      </c>
      <c r="K456" s="7" t="s">
        <v>33</v>
      </c>
      <c r="L456" s="7" t="s">
        <v>4424</v>
      </c>
      <c r="M456" s="7">
        <v>46218</v>
      </c>
      <c r="N456" s="7" t="s">
        <v>38</v>
      </c>
      <c r="O456" s="14"/>
      <c r="P456" s="18"/>
      <c r="Q456" s="7">
        <f>Tabela1[[#This Row],[QTDE/ Fabricação]]-Tabela1[[#This Row],[QTE]]</f>
        <v>-8</v>
      </c>
      <c r="R456" s="18">
        <f>IFERROR(H456*((AA456*0.25)+(AB456*0.25)+(AD456*0.225)+(AE456*0.225)+(AF456*0.05)),"")</f>
        <v>48</v>
      </c>
      <c r="S456" s="18">
        <f t="shared" si="100"/>
        <v>48</v>
      </c>
      <c r="T456" s="19">
        <f t="shared" si="101"/>
        <v>0</v>
      </c>
      <c r="U456" s="16">
        <f>IFERROR(SUMIF('LISTA DE EMBARQUE'!B:B,MICRO!E:E,'LISTA DE EMBARQUE'!G:G),"")</f>
        <v>8</v>
      </c>
      <c r="V456" s="12">
        <f>IFERROR(VLOOKUP(Tabela1[[#This Row],[COD.MDE]],'LISTA DE EMBARQUE'!B:L,11,0),"")</f>
        <v>1</v>
      </c>
      <c r="W456" s="13"/>
      <c r="X456" s="14">
        <f>IFERROR(Tabela1[[#This Row],[QIANTIDADE EXPEDIDA]]*Tabela1[[#This Row],[PESO UNI]],"")</f>
        <v>48</v>
      </c>
      <c r="Y456" s="14">
        <f t="shared" si="102"/>
        <v>0</v>
      </c>
      <c r="Z456" s="20">
        <f>Tabela1[[#This Row],[PESO TOTAL]]-Tabela1[[#This Row],[Peso Expedido]]</f>
        <v>0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33">
        <v>1</v>
      </c>
      <c r="AI456" s="33" t="str">
        <f t="shared" si="77"/>
        <v>ok</v>
      </c>
    </row>
    <row r="457" spans="1:49" ht="15.75" customHeight="1" x14ac:dyDescent="0.25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238">
        <v>5</v>
      </c>
      <c r="H457" s="34">
        <f>Tabela1[[#This Row],[PESO UNI]]*Tabela1[[#This Row],[QTE]]</f>
        <v>70</v>
      </c>
      <c r="I457" s="7" t="s">
        <v>746</v>
      </c>
      <c r="J457" s="8" t="s">
        <v>4423</v>
      </c>
      <c r="K457" s="7" t="s">
        <v>33</v>
      </c>
      <c r="L457" s="7" t="s">
        <v>4424</v>
      </c>
      <c r="M457" s="7">
        <v>46218</v>
      </c>
      <c r="N457" s="7" t="s">
        <v>38</v>
      </c>
      <c r="O457" s="14"/>
      <c r="P457" s="18"/>
      <c r="Q457" s="7">
        <f>Tabela1[[#This Row],[QTDE/ Fabricação]]-Tabela1[[#This Row],[QTE]]</f>
        <v>-14</v>
      </c>
      <c r="R457" s="18">
        <f>IFERROR(H457*((AA457*0.25)+(AB457*0.25)+(AD457*0.225)+(AE457*0.225)+(AF457*0.05)),"")</f>
        <v>70</v>
      </c>
      <c r="S457" s="18">
        <f t="shared" si="100"/>
        <v>70</v>
      </c>
      <c r="T457" s="19">
        <f t="shared" si="101"/>
        <v>0</v>
      </c>
      <c r="U457" s="16">
        <f>IFERROR(SUMIF('LISTA DE EMBARQUE'!B:B,MICRO!E:E,'LISTA DE EMBARQUE'!G:G),"")</f>
        <v>14</v>
      </c>
      <c r="V457" s="12">
        <f>IFERROR(VLOOKUP(Tabela1[[#This Row],[COD.MDE]],'LISTA DE EMBARQUE'!B:L,11,0),"")</f>
        <v>1</v>
      </c>
      <c r="W457" s="13"/>
      <c r="X457" s="14">
        <f>IFERROR(Tabela1[[#This Row],[QIANTIDADE EXPEDIDA]]*Tabela1[[#This Row],[PESO UNI]],"")</f>
        <v>70</v>
      </c>
      <c r="Y457" s="14">
        <f t="shared" si="102"/>
        <v>0</v>
      </c>
      <c r="Z457" s="20">
        <f>Tabela1[[#This Row],[PESO TOTAL]]-Tabela1[[#This Row],[Peso Expedido]]</f>
        <v>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33">
        <v>1</v>
      </c>
      <c r="AI457" s="33" t="str">
        <f t="shared" si="77"/>
        <v>ok</v>
      </c>
    </row>
    <row r="458" spans="1:49" ht="15.75" customHeight="1" x14ac:dyDescent="0.25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238">
        <v>6</v>
      </c>
      <c r="H458" s="34">
        <f>Tabela1[[#This Row],[PESO UNI]]*Tabela1[[#This Row],[QTE]]</f>
        <v>138</v>
      </c>
      <c r="I458" s="7" t="s">
        <v>746</v>
      </c>
      <c r="J458" s="8" t="s">
        <v>4423</v>
      </c>
      <c r="K458" s="7" t="s">
        <v>33</v>
      </c>
      <c r="L458" s="7" t="s">
        <v>4424</v>
      </c>
      <c r="M458" s="7">
        <v>46218</v>
      </c>
      <c r="N458" s="7" t="s">
        <v>38</v>
      </c>
      <c r="O458" s="14"/>
      <c r="P458" s="18"/>
      <c r="Q458" s="7">
        <f>Tabela1[[#This Row],[QTDE/ Fabricação]]-Tabela1[[#This Row],[QTE]]</f>
        <v>-23</v>
      </c>
      <c r="R458" s="18" t="str">
        <f>IFERROR(H458*((AA458*0.25)+(AB458*0.25)+(AD458*0.225)+(#REF!*0.225)+(AF458*0.05)),"")</f>
        <v/>
      </c>
      <c r="S458" s="18">
        <f t="shared" si="100"/>
        <v>138</v>
      </c>
      <c r="T458" s="19">
        <f t="shared" si="101"/>
        <v>0</v>
      </c>
      <c r="U458" s="16">
        <f>IFERROR(SUMIF('LISTA DE EMBARQUE'!B:B,MICRO!E:E,'LISTA DE EMBARQUE'!G:G),"")</f>
        <v>23</v>
      </c>
      <c r="V458" s="12">
        <f>IFERROR(VLOOKUP(Tabela1[[#This Row],[COD.MDE]],'LISTA DE EMBARQUE'!B:L,11,0),"")</f>
        <v>1</v>
      </c>
      <c r="W458" s="13"/>
      <c r="X458" s="14">
        <f>IFERROR(Tabela1[[#This Row],[QIANTIDADE EXPEDIDA]]*Tabela1[[#This Row],[PESO UNI]],"")</f>
        <v>138</v>
      </c>
      <c r="Y458" s="14">
        <f t="shared" si="102"/>
        <v>0</v>
      </c>
      <c r="Z458" s="20">
        <f>Tabela1[[#This Row],[PESO TOTAL]]-Tabela1[[#This Row],[Peso Expedido]]</f>
        <v>0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33">
        <v>1</v>
      </c>
      <c r="AI458" s="33" t="str">
        <f t="shared" si="77"/>
        <v>ok</v>
      </c>
    </row>
    <row r="459" spans="1:49" ht="15.75" customHeight="1" x14ac:dyDescent="0.25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>Tabela1[[#This Row],[QTDE/ Fabricação]]-Tabela1[[#This Row],[QTE]]</f>
        <v>-1</v>
      </c>
      <c r="R459" s="18">
        <f t="shared" si="89"/>
        <v>13.1</v>
      </c>
      <c r="S459" s="18">
        <f t="shared" si="82"/>
        <v>13.1</v>
      </c>
      <c r="T459" s="19">
        <f t="shared" si="90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>IFERROR(COUNTIF(#REF!,Tabela1[[#This Row],[Colunas5]]),"")</f>
        <v/>
      </c>
      <c r="X459" s="14">
        <f>Tabela1[[#This Row],[QIANTIDADE EXPEDIDA]]*Tabela1[[#This Row],[PESO UNI]]</f>
        <v>13.1</v>
      </c>
      <c r="Y459" s="14">
        <f t="shared" si="91"/>
        <v>0</v>
      </c>
      <c r="Z459" s="20">
        <f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>Tabela1[[#This Row],[Coluna1]]&amp;Tabela1[[#This Row],[PEDIDO]]</f>
        <v>P-190</v>
      </c>
      <c r="AL459"/>
      <c r="AM459"/>
      <c r="AN459"/>
      <c r="AO459" t="str">
        <f t="shared" si="92"/>
        <v>P-073081-1/P190</v>
      </c>
      <c r="AP459" t="str">
        <f>Tabela1[[#This Row],[TAG]]&amp;Tabela1[[#This Row],[PEDIDO]]&amp;Tabela1[[#This Row],[PRODUTO]]</f>
        <v>P190P-190TECMETAL</v>
      </c>
      <c r="AQ459" s="22" t="str">
        <f>Tabela1[[#This Row],[PRODUTO]]&amp;Tabela1[[#This Row],[TAG]]</f>
        <v>TECMETALP190</v>
      </c>
      <c r="AR459" s="24" t="str">
        <f>Tabela1[[#This Row],[PEDIDO]]&amp;Tabela1[[#This Row],[PRODUTO]]</f>
        <v>P-190TECMETAL</v>
      </c>
      <c r="AS459" s="37">
        <f>IF(AF459="",0,IF(ISTEXT(AF459),H459*VALUE(SUBSTITUTE(AF459,"%",""))/100,H459*AF459))-Tabela1[[#This Row],[PRONTO ACABADO2]]</f>
        <v>0</v>
      </c>
      <c r="AT459" s="37">
        <f>IF(AG459="",0,IF(ISTEXT(AG459),H459*VALUE(SUBSTITUTE(AG459,"%",""))/100,H459*AG459))-Tabela1[[#This Row],[PESO EXPEDIDO2]]</f>
        <v>0</v>
      </c>
      <c r="AU459" s="37">
        <f t="shared" si="93"/>
        <v>13.1</v>
      </c>
      <c r="AV459" s="37">
        <f t="shared" si="94"/>
        <v>13.1</v>
      </c>
      <c r="AW459" s="37"/>
    </row>
    <row r="460" spans="1:49" ht="15.75" customHeight="1" x14ac:dyDescent="0.25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9"/>
        <v>13.1</v>
      </c>
      <c r="S460" s="18">
        <f t="shared" si="82"/>
        <v>13.1</v>
      </c>
      <c r="T460" s="19">
        <f t="shared" si="90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91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92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93"/>
        <v>13.1</v>
      </c>
      <c r="AV460" s="37">
        <f t="shared" si="94"/>
        <v>13.1</v>
      </c>
      <c r="AW460" s="37"/>
    </row>
    <row r="461" spans="1:49" ht="15.75" customHeight="1" x14ac:dyDescent="0.25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9"/>
        <v>6.2</v>
      </c>
      <c r="S461" s="18">
        <f t="shared" si="82"/>
        <v>6.2</v>
      </c>
      <c r="T461" s="19">
        <f t="shared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6.2</v>
      </c>
      <c r="Y461" s="14">
        <f t="shared" si="91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92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93"/>
        <v>6.2</v>
      </c>
      <c r="AV461" s="37">
        <f t="shared" si="94"/>
        <v>6.2</v>
      </c>
      <c r="AW461" s="37"/>
    </row>
    <row r="462" spans="1:49" ht="15.75" customHeight="1" x14ac:dyDescent="0.25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9"/>
        <v>17.5</v>
      </c>
      <c r="S462" s="18">
        <f t="shared" si="82"/>
        <v>17.5</v>
      </c>
      <c r="T462" s="19">
        <f t="shared" si="90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17.5</v>
      </c>
      <c r="Y462" s="14">
        <f t="shared" si="91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92"/>
        <v>P-073080-1/P190</v>
      </c>
      <c r="AP462" t="str">
        <f>Tabela1[[#This Row],[TAG]]&amp;Tabela1[[#This Row],[PEDIDO]]&amp;Tabela1[[#This Row],[PRODUTO]]</f>
        <v>P190P-190ESTRUTURA</v>
      </c>
      <c r="AQ462" s="22" t="str">
        <f>Tabela1[[#This Row],[PRODUTO]]&amp;Tabela1[[#This Row],[TAG]]</f>
        <v>ESTRUTURAP190</v>
      </c>
      <c r="AR462" s="24" t="str">
        <f>Tabela1[[#This Row],[PEDIDO]]&amp;Tabela1[[#This Row],[PRODUTO]]</f>
        <v>P-190ESTRUTURA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93"/>
        <v>17.5</v>
      </c>
      <c r="AV462" s="37">
        <f t="shared" si="94"/>
        <v>17.5</v>
      </c>
      <c r="AW462" s="37"/>
    </row>
    <row r="463" spans="1:49" ht="15.75" customHeight="1" x14ac:dyDescent="0.25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>Tabela1[[#This Row],[QTDE/ Fabricação]]-Tabela1[[#This Row],[QTE]]</f>
        <v>-4</v>
      </c>
      <c r="R463" s="18">
        <f t="shared" si="89"/>
        <v>344.4</v>
      </c>
      <c r="S463" s="18">
        <f t="shared" si="82"/>
        <v>344.4</v>
      </c>
      <c r="T463" s="19">
        <f t="shared" si="90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>IFERROR(COUNTIF(#REF!,Tabela1[[#This Row],[Colunas5]]),"")</f>
        <v/>
      </c>
      <c r="X463" s="14">
        <f>Tabela1[[#This Row],[QIANTIDADE EXPEDIDA]]*Tabela1[[#This Row],[PESO UNI]]</f>
        <v>344.4</v>
      </c>
      <c r="Y463" s="14">
        <f t="shared" si="91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92"/>
        <v>P-073061-1/P190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93"/>
        <v>344.4</v>
      </c>
      <c r="AV463" s="37">
        <f t="shared" si="94"/>
        <v>344.4</v>
      </c>
      <c r="AW463" s="37"/>
    </row>
    <row r="464" spans="1:49" ht="15.75" customHeight="1" x14ac:dyDescent="0.25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9"/>
        <v>1.4</v>
      </c>
      <c r="S464" s="18">
        <f t="shared" si="82"/>
        <v>1.4</v>
      </c>
      <c r="T464" s="19">
        <f t="shared" si="90"/>
        <v>0</v>
      </c>
      <c r="U464" s="16">
        <v>1</v>
      </c>
      <c r="V464" s="12" t="str">
        <f>IFERROR(VLOOKUP(Tabela1[[#This Row],[COD.MDE]],'LISTA DE EMBARQUE'!B:L,11,0),"")</f>
        <v/>
      </c>
      <c r="W464" s="13" t="str">
        <f>IFERROR(COUNTIF(#REF!,Tabela1[[#This Row],[Colunas5]]),"")</f>
        <v/>
      </c>
      <c r="X464" s="14">
        <f>Tabela1[[#This Row],[QIANTIDADE EXPEDIDA]]*Tabela1[[#This Row],[PESO UNI]]</f>
        <v>1.4</v>
      </c>
      <c r="Y464" s="14">
        <f t="shared" si="91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92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93"/>
        <v>1.4</v>
      </c>
      <c r="AV464" s="37">
        <f t="shared" si="94"/>
        <v>1.4</v>
      </c>
      <c r="AW464" s="37"/>
    </row>
    <row r="465" spans="1:49" ht="15.75" customHeight="1" x14ac:dyDescent="0.25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9"/>
        <v>4.5999999999999996</v>
      </c>
      <c r="S465" s="18">
        <f t="shared" si="82"/>
        <v>4.5999999999999996</v>
      </c>
      <c r="T465" s="19">
        <f t="shared" si="90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4.5999999999999996</v>
      </c>
      <c r="Y465" s="14">
        <f t="shared" si="91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92"/>
        <v>P-073076-1/P190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93"/>
        <v>4.5999999999999996</v>
      </c>
      <c r="AV465" s="37">
        <f t="shared" si="94"/>
        <v>4.5999999999999996</v>
      </c>
      <c r="AW465" s="37"/>
    </row>
    <row r="466" spans="1:49" ht="15.75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9"/>
        <v>50.8</v>
      </c>
      <c r="S466" s="18">
        <f t="shared" si="82"/>
        <v>50.8</v>
      </c>
      <c r="T466" s="19">
        <f t="shared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50.8</v>
      </c>
      <c r="Y466" s="14">
        <f t="shared" si="91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92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93"/>
        <v>50.8</v>
      </c>
      <c r="AV466" s="37">
        <f t="shared" si="94"/>
        <v>50.8</v>
      </c>
      <c r="AW466" s="37"/>
    </row>
    <row r="467" spans="1:49" ht="15.75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9"/>
        <v>1.1000000000000001</v>
      </c>
      <c r="S467" s="18">
        <f t="shared" si="82"/>
        <v>1.1000000000000001</v>
      </c>
      <c r="T467" s="19">
        <f t="shared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1.1000000000000001</v>
      </c>
      <c r="Y467" s="14">
        <f t="shared" si="91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92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93"/>
        <v>1.1000000000000001</v>
      </c>
      <c r="AV467" s="37">
        <f t="shared" si="94"/>
        <v>1.1000000000000001</v>
      </c>
      <c r="AW467" s="37"/>
    </row>
    <row r="468" spans="1:49" ht="15.75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9"/>
        <v>23.6</v>
      </c>
      <c r="S468" s="18">
        <f t="shared" si="82"/>
        <v>23.6</v>
      </c>
      <c r="T468" s="19">
        <f t="shared" si="90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23.6</v>
      </c>
      <c r="Y468" s="14">
        <f t="shared" si="91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92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93"/>
        <v>23.6</v>
      </c>
      <c r="AV468" s="37">
        <f t="shared" si="94"/>
        <v>23.6</v>
      </c>
      <c r="AW468" s="37"/>
    </row>
    <row r="469" spans="1:49" ht="15.75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9"/>
        <v>1.1000000000000001</v>
      </c>
      <c r="S469" s="18">
        <f t="shared" si="82"/>
        <v>1.1000000000000001</v>
      </c>
      <c r="T469" s="19">
        <f t="shared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1.1000000000000001</v>
      </c>
      <c r="Y469" s="14">
        <f t="shared" si="91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92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93"/>
        <v>1.1000000000000001</v>
      </c>
      <c r="AV469" s="37">
        <f t="shared" si="94"/>
        <v>1.1000000000000001</v>
      </c>
      <c r="AW469" s="37"/>
    </row>
    <row r="470" spans="1:49" ht="15.75" customHeight="1" x14ac:dyDescent="0.25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-19</v>
      </c>
      <c r="R470" s="18">
        <f t="shared" si="89"/>
        <v>133</v>
      </c>
      <c r="S470" s="18">
        <f t="shared" si="82"/>
        <v>133</v>
      </c>
      <c r="T470" s="19">
        <f t="shared" si="90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>IFERROR(COUNTIF(#REF!,Tabela1[[#This Row],[Colunas5]]),"")</f>
        <v/>
      </c>
      <c r="X470" s="14">
        <f>Tabela1[[#This Row],[QIANTIDADE EXPEDIDA]]*Tabela1[[#This Row],[PESO UNI]]</f>
        <v>133</v>
      </c>
      <c r="Y470" s="14">
        <f t="shared" si="91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92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93"/>
        <v>133</v>
      </c>
      <c r="AV470" s="37">
        <f t="shared" si="94"/>
        <v>133</v>
      </c>
      <c r="AW470" s="37"/>
    </row>
    <row r="471" spans="1:49" ht="15.75" customHeight="1" x14ac:dyDescent="0.25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-2</v>
      </c>
      <c r="R471" s="18">
        <f t="shared" si="89"/>
        <v>8</v>
      </c>
      <c r="S471" s="18">
        <f t="shared" si="82"/>
        <v>8</v>
      </c>
      <c r="T471" s="19">
        <f t="shared" si="90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>IFERROR(COUNTIF(#REF!,Tabela1[[#This Row],[Colunas5]]),"")</f>
        <v/>
      </c>
      <c r="X471" s="14">
        <f>Tabela1[[#This Row],[QIANTIDADE EXPEDIDA]]*Tabela1[[#This Row],[PESO UNI]]</f>
        <v>8</v>
      </c>
      <c r="Y471" s="14">
        <f t="shared" si="91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92"/>
        <v>P-024507-1/P190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93"/>
        <v>8</v>
      </c>
      <c r="AV471" s="37">
        <f t="shared" si="94"/>
        <v>8</v>
      </c>
      <c r="AW471" s="37"/>
    </row>
    <row r="472" spans="1:49" ht="15.75" customHeight="1" x14ac:dyDescent="0.25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-4</v>
      </c>
      <c r="R472" s="18">
        <f t="shared" si="89"/>
        <v>16</v>
      </c>
      <c r="S472" s="18">
        <f t="shared" si="82"/>
        <v>16</v>
      </c>
      <c r="T472" s="19">
        <f t="shared" si="90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16</v>
      </c>
      <c r="Y472" s="14">
        <f t="shared" si="91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92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93"/>
        <v>16</v>
      </c>
      <c r="AV472" s="37">
        <f t="shared" si="94"/>
        <v>16</v>
      </c>
      <c r="AW472" s="37"/>
    </row>
    <row r="473" spans="1:49" ht="15.75" customHeight="1" x14ac:dyDescent="0.25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9"/>
        <v>95.2</v>
      </c>
      <c r="S473" s="18">
        <f t="shared" si="82"/>
        <v>95.2</v>
      </c>
      <c r="T473" s="19">
        <f t="shared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95.2</v>
      </c>
      <c r="Y473" s="14">
        <f t="shared" si="91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92"/>
        <v>P-073074-1/P190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93"/>
        <v>95.2</v>
      </c>
      <c r="AV473" s="37">
        <f t="shared" si="94"/>
        <v>95.2</v>
      </c>
      <c r="AW473" s="37"/>
    </row>
    <row r="474" spans="1:49" ht="15.75" customHeight="1" x14ac:dyDescent="0.25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9"/>
        <v>114</v>
      </c>
      <c r="S474" s="18">
        <f t="shared" si="82"/>
        <v>114</v>
      </c>
      <c r="T474" s="19">
        <f t="shared" si="90"/>
        <v>0</v>
      </c>
      <c r="U474" s="16">
        <f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>IFERROR(COUNTIF(#REF!,Tabela1[[#This Row],[Colunas5]]),"")</f>
        <v/>
      </c>
      <c r="X474" s="14">
        <f>Tabela1[[#This Row],[QIANTIDADE EXPEDIDA]]*Tabela1[[#This Row],[PESO UNI]]</f>
        <v>114</v>
      </c>
      <c r="Y474" s="14">
        <f t="shared" si="91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92"/>
        <v>P-024502-1/P190</v>
      </c>
      <c r="AP474" t="str">
        <f>Tabela1[[#This Row],[TAG]]&amp;Tabela1[[#This Row],[PEDIDO]]&amp;Tabela1[[#This Row],[PRODUTO]]</f>
        <v>P190P-190USINAGEM</v>
      </c>
      <c r="AQ474" s="22" t="str">
        <f>Tabela1[[#This Row],[PRODUTO]]&amp;Tabela1[[#This Row],[TAG]]</f>
        <v>USINAGEMP190</v>
      </c>
      <c r="AR474" s="24" t="str">
        <f>Tabela1[[#This Row],[PEDIDO]]&amp;Tabela1[[#This Row],[PRODUTO]]</f>
        <v>P-190USINAGEM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93"/>
        <v>114</v>
      </c>
      <c r="AV474" s="37">
        <f t="shared" si="94"/>
        <v>114</v>
      </c>
      <c r="AW474" s="37"/>
    </row>
    <row r="475" spans="1:49" ht="15.75" customHeight="1" x14ac:dyDescent="0.25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-1</v>
      </c>
      <c r="R475" s="18">
        <f t="shared" si="89"/>
        <v>29.1</v>
      </c>
      <c r="S475" s="18">
        <f t="shared" si="82"/>
        <v>29.1</v>
      </c>
      <c r="T475" s="19">
        <f t="shared" si="90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29.1</v>
      </c>
      <c r="Y475" s="14">
        <f t="shared" si="91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92"/>
        <v>P-024504-1/P190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93"/>
        <v>29.1</v>
      </c>
      <c r="AV475" s="37">
        <f t="shared" si="94"/>
        <v>29.1</v>
      </c>
      <c r="AW475" s="37"/>
    </row>
    <row r="476" spans="1:49" ht="15.75" customHeight="1" x14ac:dyDescent="0.25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9"/>
        <v>0.5</v>
      </c>
      <c r="S476" s="18">
        <f t="shared" si="82"/>
        <v>0.5</v>
      </c>
      <c r="T476" s="19">
        <f t="shared" si="90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0.5</v>
      </c>
      <c r="Y476" s="14">
        <f t="shared" si="91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92"/>
        <v>P-024937-1/P190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93"/>
        <v>0.5</v>
      </c>
      <c r="AV476" s="37">
        <f t="shared" si="94"/>
        <v>0.5</v>
      </c>
      <c r="AW476" s="37"/>
    </row>
    <row r="477" spans="1:49" ht="15.75" customHeight="1" x14ac:dyDescent="0.25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9"/>
        <v>5</v>
      </c>
      <c r="S477" s="18">
        <f t="shared" si="82"/>
        <v>5</v>
      </c>
      <c r="T477" s="19">
        <f t="shared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5</v>
      </c>
      <c r="Y477" s="14">
        <f t="shared" si="91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92"/>
        <v>P-024936-1/P190</v>
      </c>
      <c r="AP477" t="str">
        <f>Tabela1[[#This Row],[TAG]]&amp;Tabela1[[#This Row],[PEDIDO]]&amp;Tabela1[[#This Row],[PRODUTO]]</f>
        <v>P190P-190ESTRUTURA</v>
      </c>
      <c r="AQ477" s="22" t="str">
        <f>Tabela1[[#This Row],[PRODUTO]]&amp;Tabela1[[#This Row],[TAG]]</f>
        <v>ESTRUTURAP190</v>
      </c>
      <c r="AR477" s="24" t="str">
        <f>Tabela1[[#This Row],[PEDIDO]]&amp;Tabela1[[#This Row],[PRODUTO]]</f>
        <v>P-190ESTRUTURA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93"/>
        <v>5</v>
      </c>
      <c r="AV477" s="37">
        <f t="shared" si="94"/>
        <v>5</v>
      </c>
      <c r="AW477" s="37"/>
    </row>
    <row r="478" spans="1:49" ht="15.75" customHeight="1" x14ac:dyDescent="0.25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9"/>
        <v>2</v>
      </c>
      <c r="S478" s="18">
        <f t="shared" si="82"/>
        <v>2</v>
      </c>
      <c r="T478" s="19">
        <f t="shared" si="90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</v>
      </c>
      <c r="Y478" s="14">
        <f t="shared" si="91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92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93"/>
        <v>2</v>
      </c>
      <c r="AV478" s="37">
        <f t="shared" si="94"/>
        <v>2</v>
      </c>
      <c r="AW478" s="37"/>
    </row>
    <row r="479" spans="1:49" ht="15.75" customHeight="1" x14ac:dyDescent="0.25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9"/>
        <v>5.0999999999999996</v>
      </c>
      <c r="S479" s="18">
        <f t="shared" si="82"/>
        <v>5.0999999999999996</v>
      </c>
      <c r="T479" s="19">
        <f t="shared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5.0999999999999996</v>
      </c>
      <c r="Y479" s="14">
        <f t="shared" si="91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92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93"/>
        <v>5.0999999999999996</v>
      </c>
      <c r="AV479" s="37">
        <f t="shared" si="94"/>
        <v>5.0999999999999996</v>
      </c>
      <c r="AW479" s="37"/>
    </row>
    <row r="480" spans="1:49" ht="15.75" customHeight="1" x14ac:dyDescent="0.25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9"/>
        <v>628.70000000000005</v>
      </c>
      <c r="S480" s="18">
        <f t="shared" si="82"/>
        <v>628.70000000000005</v>
      </c>
      <c r="T480" s="19">
        <f t="shared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628.70000000000005</v>
      </c>
      <c r="Y480" s="14">
        <f t="shared" si="91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92"/>
        <v>P-073062-1/P190</v>
      </c>
      <c r="AP480" t="str">
        <f>Tabela1[[#This Row],[TAG]]&amp;Tabela1[[#This Row],[PEDIDO]]&amp;Tabela1[[#This Row],[PRODUTO]]</f>
        <v>P190P-190TAMBOR</v>
      </c>
      <c r="AQ480" s="22" t="str">
        <f>Tabela1[[#This Row],[PRODUTO]]&amp;Tabela1[[#This Row],[TAG]]</f>
        <v>TAMBORP190</v>
      </c>
      <c r="AR480" s="24" t="str">
        <f>Tabela1[[#This Row],[PEDIDO]]&amp;Tabela1[[#This Row],[PRODUTO]]</f>
        <v>P-190TAMBOR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93"/>
        <v>628.70000000000005</v>
      </c>
      <c r="AV480" s="37">
        <f t="shared" si="94"/>
        <v>628.70000000000005</v>
      </c>
      <c r="AW480" s="37"/>
    </row>
    <row r="481" spans="1:49" ht="15.75" customHeight="1" x14ac:dyDescent="0.25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9"/>
        <v>11.1</v>
      </c>
      <c r="S481" s="18">
        <f t="shared" si="82"/>
        <v>11.1</v>
      </c>
      <c r="T481" s="19">
        <f t="shared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11.1</v>
      </c>
      <c r="Y481" s="14">
        <f t="shared" si="91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92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93"/>
        <v>11.1</v>
      </c>
      <c r="AV481" s="37">
        <f t="shared" si="94"/>
        <v>11.1</v>
      </c>
      <c r="AW481" s="37"/>
    </row>
    <row r="482" spans="1:49" ht="15.75" customHeight="1" x14ac:dyDescent="0.25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9"/>
        <v>25.3</v>
      </c>
      <c r="S482" s="18">
        <f t="shared" si="82"/>
        <v>25.3</v>
      </c>
      <c r="T482" s="19">
        <f t="shared" si="90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>IFERROR(COUNTIF(#REF!,Tabela1[[#This Row],[Colunas5]]),"")</f>
        <v/>
      </c>
      <c r="X482" s="14">
        <f>Tabela1[[#This Row],[QIANTIDADE EXPEDIDA]]*Tabela1[[#This Row],[PESO UNI]]</f>
        <v>25.3</v>
      </c>
      <c r="Y482" s="14">
        <f t="shared" si="91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92"/>
        <v>P-024506-1/P190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93"/>
        <v>25.3</v>
      </c>
      <c r="AV482" s="37">
        <f t="shared" si="94"/>
        <v>25.3</v>
      </c>
      <c r="AW482" s="37"/>
    </row>
    <row r="483" spans="1:49" ht="15.75" customHeight="1" x14ac:dyDescent="0.25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9"/>
        <v>12.3</v>
      </c>
      <c r="S483" s="18">
        <f t="shared" si="82"/>
        <v>12.3</v>
      </c>
      <c r="T483" s="19">
        <f t="shared" si="90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12.3</v>
      </c>
      <c r="Y483" s="14">
        <f t="shared" si="91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92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93"/>
        <v>12.3</v>
      </c>
      <c r="AV483" s="37">
        <f t="shared" si="94"/>
        <v>12.3</v>
      </c>
      <c r="AW483" s="37"/>
    </row>
    <row r="484" spans="1:49" ht="15.75" customHeight="1" x14ac:dyDescent="0.25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9"/>
        <v>4.2</v>
      </c>
      <c r="S484" s="18">
        <f t="shared" si="82"/>
        <v>4.2</v>
      </c>
      <c r="T484" s="19">
        <f t="shared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4.2</v>
      </c>
      <c r="Y484" s="14">
        <f t="shared" si="91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92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93"/>
        <v>4.2</v>
      </c>
      <c r="AV484" s="37">
        <f t="shared" si="94"/>
        <v>4.2</v>
      </c>
      <c r="AW484" s="37"/>
    </row>
    <row r="485" spans="1:49" ht="15.75" customHeight="1" x14ac:dyDescent="0.25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9"/>
        <v>0.5</v>
      </c>
      <c r="S485" s="18">
        <f t="shared" si="82"/>
        <v>0.5</v>
      </c>
      <c r="T485" s="19">
        <f t="shared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0.5</v>
      </c>
      <c r="Y485" s="14">
        <f t="shared" si="91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92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93"/>
        <v>0.5</v>
      </c>
      <c r="AV485" s="37">
        <f t="shared" si="94"/>
        <v>0.5</v>
      </c>
      <c r="AW485" s="37"/>
    </row>
    <row r="486" spans="1:49" ht="15.75" customHeight="1" x14ac:dyDescent="0.25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9"/>
        <v>0.2</v>
      </c>
      <c r="S486" s="18">
        <f t="shared" si="82"/>
        <v>0.2</v>
      </c>
      <c r="T486" s="19">
        <f t="shared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0.2</v>
      </c>
      <c r="Y486" s="14">
        <f t="shared" si="91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92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93"/>
        <v>0.2</v>
      </c>
      <c r="AV486" s="37">
        <f t="shared" si="94"/>
        <v>0.2</v>
      </c>
      <c r="AW486" s="37"/>
    </row>
    <row r="487" spans="1:49" ht="15.75" customHeight="1" x14ac:dyDescent="0.25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-2</v>
      </c>
      <c r="R487" s="18">
        <f t="shared" si="89"/>
        <v>14</v>
      </c>
      <c r="S487" s="18">
        <f t="shared" si="82"/>
        <v>14</v>
      </c>
      <c r="T487" s="19">
        <f t="shared" si="90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14</v>
      </c>
      <c r="Y487" s="14">
        <f t="shared" si="91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92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93"/>
        <v>14</v>
      </c>
      <c r="AV487" s="37">
        <f t="shared" si="94"/>
        <v>14</v>
      </c>
      <c r="AW487" s="37"/>
    </row>
    <row r="488" spans="1:49" ht="15.75" customHeight="1" x14ac:dyDescent="0.25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9"/>
        <v>1.6</v>
      </c>
      <c r="S488" s="18">
        <f t="shared" si="82"/>
        <v>1.6</v>
      </c>
      <c r="T488" s="19">
        <f t="shared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1.6</v>
      </c>
      <c r="Y488" s="14">
        <f t="shared" si="91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92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93"/>
        <v>1.6</v>
      </c>
      <c r="AV488" s="37">
        <f t="shared" si="94"/>
        <v>1.6</v>
      </c>
      <c r="AW488" s="37"/>
    </row>
    <row r="489" spans="1:49" ht="15.75" customHeight="1" x14ac:dyDescent="0.25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9"/>
        <v>0.6</v>
      </c>
      <c r="S489" s="18">
        <f t="shared" si="82"/>
        <v>0.6</v>
      </c>
      <c r="T489" s="19">
        <f t="shared" si="90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0.6</v>
      </c>
      <c r="Y489" s="14">
        <f t="shared" si="91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92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93"/>
        <v>0.6</v>
      </c>
      <c r="AV489" s="37">
        <f t="shared" si="94"/>
        <v>0.6</v>
      </c>
      <c r="AW489" s="37"/>
    </row>
    <row r="490" spans="1:49" ht="15.75" customHeight="1" x14ac:dyDescent="0.25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9"/>
        <v>0.1</v>
      </c>
      <c r="S490" s="18">
        <f t="shared" si="82"/>
        <v>0.1</v>
      </c>
      <c r="T490" s="19">
        <f t="shared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0.1</v>
      </c>
      <c r="Y490" s="14">
        <f t="shared" si="91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92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93"/>
        <v>0.1</v>
      </c>
      <c r="AV490" s="37">
        <f t="shared" si="94"/>
        <v>0.1</v>
      </c>
      <c r="AW490" s="37"/>
    </row>
    <row r="491" spans="1:49" ht="15.75" customHeight="1" x14ac:dyDescent="0.25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9"/>
        <v>0.1</v>
      </c>
      <c r="S491" s="18">
        <f t="shared" si="82"/>
        <v>0.1</v>
      </c>
      <c r="T491" s="19">
        <f t="shared" si="90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91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92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93"/>
        <v>0.1</v>
      </c>
      <c r="AV491" s="37">
        <f t="shared" si="94"/>
        <v>0.1</v>
      </c>
      <c r="AW491" s="37"/>
    </row>
    <row r="492" spans="1:49" ht="15.75" customHeight="1" x14ac:dyDescent="0.25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9"/>
        <v>0.1</v>
      </c>
      <c r="S492" s="18">
        <f t="shared" si="82"/>
        <v>0.1</v>
      </c>
      <c r="T492" s="19">
        <f t="shared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91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92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93"/>
        <v>0.1</v>
      </c>
      <c r="AV492" s="37">
        <f t="shared" si="94"/>
        <v>0.1</v>
      </c>
      <c r="AW492" s="37"/>
    </row>
    <row r="493" spans="1:49" ht="15.75" customHeight="1" x14ac:dyDescent="0.25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9"/>
        <v>0.2</v>
      </c>
      <c r="S493" s="18">
        <f t="shared" si="82"/>
        <v>0.2</v>
      </c>
      <c r="T493" s="19">
        <f t="shared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0.2</v>
      </c>
      <c r="Y493" s="14">
        <f t="shared" si="91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92"/>
        <v>P-024527-1/P190</v>
      </c>
      <c r="AP493" t="str">
        <f>Tabela1[[#This Row],[TAG]]&amp;Tabela1[[#This Row],[PEDIDO]]&amp;Tabela1[[#This Row],[PRODUTO]]</f>
        <v>P190P-190COMERCIAL</v>
      </c>
      <c r="AQ493" s="22" t="str">
        <f>Tabela1[[#This Row],[PRODUTO]]&amp;Tabela1[[#This Row],[TAG]]</f>
        <v>COMERCIALP190</v>
      </c>
      <c r="AR493" s="24" t="str">
        <f>Tabela1[[#This Row],[PEDIDO]]&amp;Tabela1[[#This Row],[PRODUTO]]</f>
        <v>P-190COMERCIAL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93"/>
        <v>0.2</v>
      </c>
      <c r="AV493" s="37">
        <f t="shared" si="94"/>
        <v>0.2</v>
      </c>
      <c r="AW493" s="37"/>
    </row>
    <row r="494" spans="1:49" ht="15.75" customHeight="1" x14ac:dyDescent="0.25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9"/>
        <v>0.4</v>
      </c>
      <c r="S494" s="18">
        <f t="shared" si="82"/>
        <v>0.4</v>
      </c>
      <c r="T494" s="19">
        <f t="shared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0.4</v>
      </c>
      <c r="Y494" s="14">
        <f t="shared" si="91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92"/>
        <v>P-024527-1/P190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93"/>
        <v>0.4</v>
      </c>
      <c r="AV494" s="37">
        <f t="shared" si="94"/>
        <v>0.4</v>
      </c>
      <c r="AW494" s="37"/>
    </row>
    <row r="495" spans="1:49" ht="15.75" customHeight="1" x14ac:dyDescent="0.25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9"/>
        <v>0.6</v>
      </c>
      <c r="S495" s="18">
        <f t="shared" si="82"/>
        <v>0.6</v>
      </c>
      <c r="T495" s="19">
        <f t="shared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0.6</v>
      </c>
      <c r="Y495" s="14">
        <f t="shared" si="91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92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93"/>
        <v>0.6</v>
      </c>
      <c r="AV495" s="37">
        <f t="shared" si="94"/>
        <v>0.6</v>
      </c>
      <c r="AW495" s="37"/>
    </row>
    <row r="496" spans="1:49" ht="15.75" customHeight="1" x14ac:dyDescent="0.25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9"/>
        <v>0.4</v>
      </c>
      <c r="S496" s="18">
        <f t="shared" si="82"/>
        <v>0.4</v>
      </c>
      <c r="T496" s="19">
        <f t="shared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0.4</v>
      </c>
      <c r="Y496" s="14">
        <f t="shared" si="91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92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93"/>
        <v>0.4</v>
      </c>
      <c r="AV496" s="37">
        <f t="shared" si="94"/>
        <v>0.4</v>
      </c>
      <c r="AW496" s="37"/>
    </row>
    <row r="497" spans="1:49" ht="15.75" customHeight="1" x14ac:dyDescent="0.25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9"/>
        <v>9</v>
      </c>
      <c r="S497" s="18">
        <f t="shared" si="82"/>
        <v>9</v>
      </c>
      <c r="T497" s="19">
        <f t="shared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9</v>
      </c>
      <c r="Y497" s="14">
        <f t="shared" si="91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92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93"/>
        <v>9</v>
      </c>
      <c r="AV497" s="37">
        <f t="shared" si="94"/>
        <v>9</v>
      </c>
      <c r="AW497" s="37"/>
    </row>
    <row r="498" spans="1:49" ht="15.75" customHeight="1" x14ac:dyDescent="0.25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-2</v>
      </c>
      <c r="R498" s="18">
        <f t="shared" si="89"/>
        <v>10</v>
      </c>
      <c r="S498" s="18">
        <f t="shared" si="82"/>
        <v>10</v>
      </c>
      <c r="T498" s="19">
        <f t="shared" si="90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10</v>
      </c>
      <c r="Y498" s="14">
        <f t="shared" si="91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92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93"/>
        <v>10</v>
      </c>
      <c r="AV498" s="37">
        <f t="shared" si="94"/>
        <v>10</v>
      </c>
      <c r="AW498" s="37"/>
    </row>
    <row r="499" spans="1:49" ht="15.75" customHeight="1" x14ac:dyDescent="0.25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9"/>
        <v>23.4</v>
      </c>
      <c r="S499" s="18">
        <f t="shared" si="82"/>
        <v>23.4</v>
      </c>
      <c r="T499" s="19">
        <f t="shared" si="90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23.4</v>
      </c>
      <c r="Y499" s="14">
        <f t="shared" si="91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92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93"/>
        <v>23.4</v>
      </c>
      <c r="AV499" s="37">
        <f t="shared" si="94"/>
        <v>23.4</v>
      </c>
      <c r="AW499" s="37"/>
    </row>
    <row r="500" spans="1:49" ht="15.75" customHeight="1" x14ac:dyDescent="0.25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9"/>
        <v>51.7</v>
      </c>
      <c r="S500" s="18">
        <f t="shared" si="82"/>
        <v>51.7</v>
      </c>
      <c r="T500" s="19">
        <f t="shared" si="90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>IFERROR(COUNTIF(#REF!,Tabela1[[#This Row],[Colunas5]]),"")</f>
        <v/>
      </c>
      <c r="X500" s="14">
        <f>Tabela1[[#This Row],[QIANTIDADE EXPEDIDA]]*Tabela1[[#This Row],[PESO UNI]]</f>
        <v>51.7</v>
      </c>
      <c r="Y500" s="14">
        <f t="shared" si="91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92"/>
        <v>P-073059-1/P190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93"/>
        <v>51.7</v>
      </c>
      <c r="AV500" s="37">
        <f t="shared" si="94"/>
        <v>51.7</v>
      </c>
      <c r="AW500" s="37"/>
    </row>
    <row r="501" spans="1:49" ht="15.75" customHeight="1" x14ac:dyDescent="0.25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9"/>
        <v>232.8</v>
      </c>
      <c r="S501" s="18">
        <f t="shared" si="82"/>
        <v>232.8</v>
      </c>
      <c r="T501" s="19">
        <f t="shared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232.8</v>
      </c>
      <c r="Y501" s="14">
        <f t="shared" si="91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92"/>
        <v>P-073058-1/P190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93"/>
        <v>232.8</v>
      </c>
      <c r="AV501" s="37">
        <f t="shared" si="94"/>
        <v>232.8</v>
      </c>
      <c r="AW501" s="37"/>
    </row>
    <row r="502" spans="1:49" ht="15.75" customHeight="1" x14ac:dyDescent="0.25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-2</v>
      </c>
      <c r="R502" s="18">
        <f t="shared" si="89"/>
        <v>62</v>
      </c>
      <c r="S502" s="18">
        <f t="shared" si="82"/>
        <v>62</v>
      </c>
      <c r="T502" s="19">
        <f t="shared" si="90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62</v>
      </c>
      <c r="Y502" s="14">
        <f t="shared" si="91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92"/>
        <v>P-024529-1/P190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93"/>
        <v>62</v>
      </c>
      <c r="AV502" s="37">
        <f t="shared" si="94"/>
        <v>62</v>
      </c>
      <c r="AW502" s="37"/>
    </row>
    <row r="503" spans="1:49" ht="15.75" customHeight="1" x14ac:dyDescent="0.25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9"/>
        <v>45.4</v>
      </c>
      <c r="S503" s="18">
        <f t="shared" si="82"/>
        <v>45.4</v>
      </c>
      <c r="T503" s="19">
        <f t="shared" si="90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45.4</v>
      </c>
      <c r="Y503" s="14">
        <f t="shared" si="91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92"/>
        <v>P-024526-1/P190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93"/>
        <v>45.4</v>
      </c>
      <c r="AV503" s="37">
        <f t="shared" si="94"/>
        <v>45.4</v>
      </c>
      <c r="AW503" s="37"/>
    </row>
    <row r="504" spans="1:49" ht="15.75" customHeight="1" x14ac:dyDescent="0.25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-2</v>
      </c>
      <c r="R504" s="18">
        <f t="shared" si="89"/>
        <v>48</v>
      </c>
      <c r="S504" s="18">
        <f t="shared" si="82"/>
        <v>48</v>
      </c>
      <c r="T504" s="19">
        <f t="shared" si="90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48</v>
      </c>
      <c r="Y504" s="14">
        <f t="shared" si="91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92"/>
        <v>P-024528-1/P190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93"/>
        <v>48</v>
      </c>
      <c r="AV504" s="37">
        <f t="shared" si="94"/>
        <v>48</v>
      </c>
      <c r="AW504" s="37"/>
    </row>
    <row r="505" spans="1:49" ht="15.75" customHeight="1" x14ac:dyDescent="0.25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-1</v>
      </c>
      <c r="R505" s="18">
        <f t="shared" si="89"/>
        <v>28.1</v>
      </c>
      <c r="S505" s="18">
        <f t="shared" si="82"/>
        <v>28.1</v>
      </c>
      <c r="T505" s="19">
        <f t="shared" si="90"/>
        <v>0</v>
      </c>
      <c r="U505" s="16">
        <v>1</v>
      </c>
      <c r="V505" s="12">
        <f>IFERROR(VLOOKUP(Tabela1[[#This Row],[COD.MDE]],'LISTA DE EMBARQUE'!B:L,11,0),"")</f>
        <v>4</v>
      </c>
      <c r="W505" s="13" t="str">
        <f>IFERROR(COUNTIF(#REF!,Tabela1[[#This Row],[Colunas5]]),"")</f>
        <v/>
      </c>
      <c r="X505" s="14">
        <f>Tabela1[[#This Row],[QIANTIDADE EXPEDIDA]]*Tabela1[[#This Row],[PESO UNI]]</f>
        <v>28.1</v>
      </c>
      <c r="Y505" s="14">
        <f t="shared" si="91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92"/>
        <v>P-024518-1/P190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93"/>
        <v>28.1</v>
      </c>
      <c r="AV505" s="37">
        <f t="shared" si="94"/>
        <v>28.1</v>
      </c>
      <c r="AW505" s="37"/>
    </row>
    <row r="506" spans="1:49" ht="15.75" customHeight="1" x14ac:dyDescent="0.25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9"/>
        <v>2.9</v>
      </c>
      <c r="S506" s="18">
        <f t="shared" si="82"/>
        <v>2.9</v>
      </c>
      <c r="T506" s="19">
        <f t="shared" si="90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2.9</v>
      </c>
      <c r="Y506" s="14">
        <f t="shared" si="91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92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93"/>
        <v>2.9</v>
      </c>
      <c r="AV506" s="37">
        <f t="shared" si="94"/>
        <v>2.9</v>
      </c>
      <c r="AW506" s="37"/>
    </row>
    <row r="507" spans="1:49" ht="15.75" customHeight="1" x14ac:dyDescent="0.25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9"/>
        <v>3.3</v>
      </c>
      <c r="S507" s="18">
        <f t="shared" ref="S507:S570" si="103">IFERROR(H507*AG507,"")</f>
        <v>3.3</v>
      </c>
      <c r="T507" s="19">
        <f t="shared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3.3</v>
      </c>
      <c r="Y507" s="14">
        <f t="shared" si="91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92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93"/>
        <v>3.3</v>
      </c>
      <c r="AV507" s="37">
        <f t="shared" si="94"/>
        <v>3.3</v>
      </c>
      <c r="AW507" s="37"/>
    </row>
    <row r="508" spans="1:49" ht="15.75" customHeight="1" x14ac:dyDescent="0.25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9"/>
        <v>0.1</v>
      </c>
      <c r="S508" s="18">
        <f t="shared" si="103"/>
        <v>0.1</v>
      </c>
      <c r="T508" s="19">
        <f t="shared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0.1</v>
      </c>
      <c r="Y508" s="14">
        <f t="shared" si="91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92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93"/>
        <v>0.1</v>
      </c>
      <c r="AV508" s="37">
        <f t="shared" si="94"/>
        <v>0.1</v>
      </c>
      <c r="AW508" s="37"/>
    </row>
    <row r="509" spans="1:49" ht="15.75" customHeight="1" x14ac:dyDescent="0.25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9"/>
        <v>0.1</v>
      </c>
      <c r="S509" s="18">
        <f t="shared" si="103"/>
        <v>0.1</v>
      </c>
      <c r="T509" s="19">
        <f t="shared" si="90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91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92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93"/>
        <v>0.1</v>
      </c>
      <c r="AV509" s="37">
        <f t="shared" si="94"/>
        <v>0.1</v>
      </c>
      <c r="AW509" s="37"/>
    </row>
    <row r="510" spans="1:49" ht="15.75" customHeight="1" x14ac:dyDescent="0.25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ref="R510:R573" si="104">IFERROR(H510*((AA510*0.25)+(AC510*0.25)+(AD510*0.225)+(AE510*0.225)+(AF510*0.05)),"")</f>
        <v>0.1</v>
      </c>
      <c r="S510" s="18">
        <f t="shared" si="103"/>
        <v>0.1</v>
      </c>
      <c r="T510" s="19">
        <f t="shared" ref="T510:T573" si="105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ref="Y510:Y573" si="106">U510-C510</f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ref="AO510:AO573" si="107">A510&amp;"/"&amp;J510</f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ref="AU510:AU573" si="108">IF(AH510="",0,IF(ISTEXT(AH510),H510*VALUE(SUBSTITUTE(AH510,"%",""))/100,H510*AH510))</f>
        <v>0.1</v>
      </c>
      <c r="AV510" s="37">
        <f t="shared" ref="AV510:AV573" si="109">IF(AG510="",0,IF(ISTEXT(AG510),H510*VALUE(SUBSTITUTE(AG510,"%",""))/100,H510*AG510))</f>
        <v>0.1</v>
      </c>
      <c r="AW510" s="37"/>
    </row>
    <row r="511" spans="1:49" ht="15.75" customHeight="1" x14ac:dyDescent="0.25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104"/>
        <v>0.1</v>
      </c>
      <c r="S511" s="18">
        <f t="shared" si="103"/>
        <v>0.1</v>
      </c>
      <c r="T511" s="19">
        <f t="shared" si="105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106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107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108"/>
        <v>0.1</v>
      </c>
      <c r="AV511" s="37">
        <f t="shared" si="109"/>
        <v>0.1</v>
      </c>
      <c r="AW511" s="37"/>
    </row>
    <row r="512" spans="1:49" ht="15.75" customHeight="1" x14ac:dyDescent="0.25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104"/>
        <v>0.1</v>
      </c>
      <c r="S512" s="18">
        <f t="shared" si="103"/>
        <v>0.1</v>
      </c>
      <c r="T512" s="19">
        <f t="shared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106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107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108"/>
        <v>0.1</v>
      </c>
      <c r="AV512" s="37">
        <f t="shared" si="109"/>
        <v>0.1</v>
      </c>
      <c r="AW512" s="37"/>
    </row>
    <row r="513" spans="1:49" ht="15.75" customHeight="1" x14ac:dyDescent="0.25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104"/>
        <v>0.1</v>
      </c>
      <c r="S513" s="18">
        <f t="shared" si="103"/>
        <v>0.1</v>
      </c>
      <c r="T513" s="19">
        <f t="shared" si="105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106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107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108"/>
        <v>0.1</v>
      </c>
      <c r="AV513" s="37">
        <f t="shared" si="109"/>
        <v>0.1</v>
      </c>
      <c r="AW513" s="37"/>
    </row>
    <row r="514" spans="1:49" ht="15.75" customHeight="1" x14ac:dyDescent="0.25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-2</v>
      </c>
      <c r="R514" s="18">
        <f t="shared" si="104"/>
        <v>0.2</v>
      </c>
      <c r="S514" s="18">
        <f t="shared" si="103"/>
        <v>0.2</v>
      </c>
      <c r="T514" s="19">
        <f t="shared" si="105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0.2</v>
      </c>
      <c r="Y514" s="14">
        <f t="shared" si="106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107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108"/>
        <v>0.2</v>
      </c>
      <c r="AV514" s="37">
        <f t="shared" si="109"/>
        <v>0.2</v>
      </c>
      <c r="AW514" s="37"/>
    </row>
    <row r="515" spans="1:49" ht="15.75" customHeight="1" x14ac:dyDescent="0.25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104"/>
        <v>2.4</v>
      </c>
      <c r="S515" s="18">
        <f t="shared" si="103"/>
        <v>2.4</v>
      </c>
      <c r="T515" s="19">
        <f t="shared" si="105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2.4</v>
      </c>
      <c r="Y515" s="14">
        <f t="shared" si="106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107"/>
        <v>P-024533-1/P190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108"/>
        <v>2.4</v>
      </c>
      <c r="AV515" s="37">
        <f t="shared" si="109"/>
        <v>2.4</v>
      </c>
      <c r="AW515" s="37"/>
    </row>
    <row r="516" spans="1:49" ht="15.75" customHeight="1" x14ac:dyDescent="0.25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-4</v>
      </c>
      <c r="R516" s="18">
        <f t="shared" si="104"/>
        <v>24</v>
      </c>
      <c r="S516" s="18">
        <f t="shared" si="103"/>
        <v>24</v>
      </c>
      <c r="T516" s="19">
        <f t="shared" si="105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>IFERROR(COUNTIF(#REF!,Tabela1[[#This Row],[Colunas5]]),"")</f>
        <v/>
      </c>
      <c r="X516" s="14">
        <f>Tabela1[[#This Row],[QIANTIDADE EXPEDIDA]]*Tabela1[[#This Row],[PESO UNI]]</f>
        <v>24</v>
      </c>
      <c r="Y516" s="14">
        <f t="shared" si="106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107"/>
        <v>P-024530-1/P190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108"/>
        <v>24</v>
      </c>
      <c r="AV516" s="37">
        <f t="shared" si="109"/>
        <v>24</v>
      </c>
      <c r="AW516" s="37"/>
    </row>
    <row r="517" spans="1:49" ht="15.75" customHeight="1" x14ac:dyDescent="0.25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104"/>
        <v>16.399999999999999</v>
      </c>
      <c r="S517" s="18">
        <f t="shared" si="103"/>
        <v>16.399999999999999</v>
      </c>
      <c r="T517" s="19">
        <f t="shared" si="105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16.399999999999999</v>
      </c>
      <c r="Y517" s="14">
        <f t="shared" si="106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107"/>
        <v>P-024531-1/P190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108"/>
        <v>16.399999999999999</v>
      </c>
      <c r="AV517" s="37">
        <f t="shared" si="109"/>
        <v>16.399999999999999</v>
      </c>
      <c r="AW517" s="37"/>
    </row>
    <row r="518" spans="1:49" ht="15.75" customHeight="1" x14ac:dyDescent="0.25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-2</v>
      </c>
      <c r="R518" s="18">
        <f t="shared" si="104"/>
        <v>852</v>
      </c>
      <c r="S518" s="18">
        <f t="shared" si="103"/>
        <v>852</v>
      </c>
      <c r="T518" s="19">
        <f t="shared" si="105"/>
        <v>0</v>
      </c>
      <c r="U518" s="16">
        <f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>IFERROR(COUNTIF(#REF!,Tabela1[[#This Row],[Colunas5]]),"")</f>
        <v/>
      </c>
      <c r="X518" s="14">
        <f>Tabela1[[#This Row],[QIANTIDADE EXPEDIDA]]*Tabela1[[#This Row],[PESO UNI]]</f>
        <v>852</v>
      </c>
      <c r="Y518" s="14">
        <f t="shared" si="106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107"/>
        <v>P-024514-1/P190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108"/>
        <v>852</v>
      </c>
      <c r="AV518" s="37">
        <f t="shared" si="109"/>
        <v>852</v>
      </c>
      <c r="AW518" s="37"/>
    </row>
    <row r="519" spans="1:49" ht="15.75" customHeight="1" x14ac:dyDescent="0.25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-1</v>
      </c>
      <c r="R519" s="18">
        <f t="shared" si="104"/>
        <v>24</v>
      </c>
      <c r="S519" s="18">
        <f t="shared" si="103"/>
        <v>24</v>
      </c>
      <c r="T519" s="19">
        <f t="shared" si="105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106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107"/>
        <v>P-024500-1/P190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108"/>
        <v>24</v>
      </c>
      <c r="AV519" s="37">
        <f t="shared" si="109"/>
        <v>24</v>
      </c>
      <c r="AW519" s="37"/>
    </row>
    <row r="520" spans="1:49" ht="15.75" customHeight="1" x14ac:dyDescent="0.25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104"/>
        <v>20</v>
      </c>
      <c r="S520" s="18">
        <f t="shared" si="103"/>
        <v>20</v>
      </c>
      <c r="T520" s="19">
        <f t="shared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20</v>
      </c>
      <c r="Y520" s="14">
        <f t="shared" si="106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107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108"/>
        <v>20</v>
      </c>
      <c r="AV520" s="37">
        <f t="shared" si="109"/>
        <v>20</v>
      </c>
      <c r="AW520" s="37"/>
    </row>
    <row r="521" spans="1:49" ht="15.75" customHeight="1" x14ac:dyDescent="0.25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104"/>
        <v>6</v>
      </c>
      <c r="S521" s="18">
        <f t="shared" si="103"/>
        <v>6</v>
      </c>
      <c r="T521" s="19">
        <f t="shared" si="105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6</v>
      </c>
      <c r="Y521" s="14">
        <f t="shared" si="106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107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108"/>
        <v>6</v>
      </c>
      <c r="AV521" s="37">
        <f t="shared" si="109"/>
        <v>6</v>
      </c>
      <c r="AW521" s="37"/>
    </row>
    <row r="522" spans="1:49" ht="15.75" customHeight="1" x14ac:dyDescent="0.25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104"/>
        <v>6</v>
      </c>
      <c r="S522" s="18">
        <f t="shared" si="103"/>
        <v>6</v>
      </c>
      <c r="T522" s="19">
        <f t="shared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106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107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108"/>
        <v>6</v>
      </c>
      <c r="AV522" s="37">
        <f t="shared" si="109"/>
        <v>6</v>
      </c>
      <c r="AW522" s="37"/>
    </row>
    <row r="523" spans="1:49" ht="15.75" customHeight="1" x14ac:dyDescent="0.25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104"/>
        <v>0.2</v>
      </c>
      <c r="S523" s="18">
        <f t="shared" si="103"/>
        <v>0.2</v>
      </c>
      <c r="T523" s="19">
        <f t="shared" si="105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0.2</v>
      </c>
      <c r="Y523" s="14">
        <f t="shared" si="106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107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108"/>
        <v>0.2</v>
      </c>
      <c r="AV523" s="37">
        <f t="shared" si="109"/>
        <v>0.2</v>
      </c>
      <c r="AW523" s="37"/>
    </row>
    <row r="524" spans="1:49" ht="15.75" customHeight="1" x14ac:dyDescent="0.25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104"/>
        <v>0.4</v>
      </c>
      <c r="S524" s="18">
        <f t="shared" si="103"/>
        <v>0.4</v>
      </c>
      <c r="T524" s="19">
        <f t="shared" si="105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0.4</v>
      </c>
      <c r="Y524" s="14">
        <f t="shared" si="106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107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108"/>
        <v>0.4</v>
      </c>
      <c r="AV524" s="37">
        <f t="shared" si="109"/>
        <v>0.4</v>
      </c>
      <c r="AW524" s="37"/>
    </row>
    <row r="525" spans="1:49" ht="15.75" customHeight="1" x14ac:dyDescent="0.25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104"/>
        <v>0.4</v>
      </c>
      <c r="S525" s="18">
        <f t="shared" si="103"/>
        <v>0.4</v>
      </c>
      <c r="T525" s="19">
        <f t="shared" si="105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106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107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108"/>
        <v>0.4</v>
      </c>
      <c r="AV525" s="37">
        <f t="shared" si="109"/>
        <v>0.4</v>
      </c>
      <c r="AW525" s="37"/>
    </row>
    <row r="526" spans="1:49" ht="15.75" customHeight="1" x14ac:dyDescent="0.25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104"/>
        <v>28.4</v>
      </c>
      <c r="S526" s="18">
        <f t="shared" si="103"/>
        <v>28.4</v>
      </c>
      <c r="T526" s="19">
        <f t="shared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28.4</v>
      </c>
      <c r="Y526" s="14">
        <f t="shared" si="106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107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108"/>
        <v>28.4</v>
      </c>
      <c r="AV526" s="37">
        <f t="shared" si="109"/>
        <v>28.4</v>
      </c>
      <c r="AW526" s="37"/>
    </row>
    <row r="527" spans="1:49" ht="15.75" customHeight="1" x14ac:dyDescent="0.25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104"/>
        <v>143.19999999999999</v>
      </c>
      <c r="S527" s="18">
        <f t="shared" si="103"/>
        <v>143.19999999999999</v>
      </c>
      <c r="T527" s="19">
        <f t="shared" si="105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>IFERROR(COUNTIF(#REF!,Tabela1[[#This Row],[Colunas5]]),"")</f>
        <v/>
      </c>
      <c r="X527" s="14">
        <f>Tabela1[[#This Row],[QIANTIDADE EXPEDIDA]]*Tabela1[[#This Row],[PESO UNI]]</f>
        <v>143.19999999999999</v>
      </c>
      <c r="Y527" s="14">
        <f t="shared" si="106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107"/>
        <v>P-024499-1/P190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108"/>
        <v>143.19999999999999</v>
      </c>
      <c r="AV527" s="37">
        <f t="shared" si="109"/>
        <v>143.19999999999999</v>
      </c>
      <c r="AW527" s="37"/>
    </row>
    <row r="528" spans="1:49" ht="15.75" customHeight="1" x14ac:dyDescent="0.25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-1</v>
      </c>
      <c r="R528" s="18">
        <f t="shared" si="104"/>
        <v>24</v>
      </c>
      <c r="S528" s="18">
        <f t="shared" si="103"/>
        <v>24</v>
      </c>
      <c r="T528" s="19">
        <f t="shared" si="105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24</v>
      </c>
      <c r="Y528" s="14">
        <f t="shared" si="106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107"/>
        <v>P-024498-1/P190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108"/>
        <v>24</v>
      </c>
      <c r="AV528" s="37">
        <f t="shared" si="109"/>
        <v>24</v>
      </c>
      <c r="AW528" s="37"/>
    </row>
    <row r="529" spans="1:49" ht="15.75" customHeight="1" x14ac:dyDescent="0.25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104"/>
        <v>27</v>
      </c>
      <c r="S529" s="18">
        <f t="shared" si="103"/>
        <v>27</v>
      </c>
      <c r="T529" s="19">
        <f t="shared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27</v>
      </c>
      <c r="Y529" s="14">
        <f t="shared" si="106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107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108"/>
        <v>27</v>
      </c>
      <c r="AV529" s="37">
        <f t="shared" si="109"/>
        <v>27</v>
      </c>
      <c r="AW529" s="37"/>
    </row>
    <row r="530" spans="1:49" ht="15.75" customHeight="1" x14ac:dyDescent="0.25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104"/>
        <v>1.5</v>
      </c>
      <c r="S530" s="18">
        <f t="shared" si="103"/>
        <v>1.5</v>
      </c>
      <c r="T530" s="19">
        <f t="shared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1.5</v>
      </c>
      <c r="Y530" s="14">
        <f t="shared" si="106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107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108"/>
        <v>1.5</v>
      </c>
      <c r="AV530" s="37">
        <f t="shared" si="109"/>
        <v>1.5</v>
      </c>
      <c r="AW530" s="37"/>
    </row>
    <row r="531" spans="1:49" ht="15.75" customHeight="1" x14ac:dyDescent="0.25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104"/>
        <v>1.5</v>
      </c>
      <c r="S531" s="18">
        <f t="shared" si="103"/>
        <v>1.5</v>
      </c>
      <c r="T531" s="19">
        <f t="shared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106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107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108"/>
        <v>1.5</v>
      </c>
      <c r="AV531" s="37">
        <f t="shared" si="109"/>
        <v>1.5</v>
      </c>
      <c r="AW531" s="37"/>
    </row>
    <row r="532" spans="1:49" ht="15.75" customHeight="1" x14ac:dyDescent="0.25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-2</v>
      </c>
      <c r="R532" s="18">
        <f t="shared" si="104"/>
        <v>6</v>
      </c>
      <c r="S532" s="18">
        <f t="shared" si="103"/>
        <v>6</v>
      </c>
      <c r="T532" s="19">
        <f t="shared" si="105"/>
        <v>0</v>
      </c>
      <c r="U532" s="16">
        <v>2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6</v>
      </c>
      <c r="Y532" s="14">
        <f t="shared" si="106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107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108"/>
        <v>6</v>
      </c>
      <c r="AV532" s="37">
        <f t="shared" si="109"/>
        <v>6</v>
      </c>
      <c r="AW532" s="37"/>
    </row>
    <row r="533" spans="1:49" ht="15.75" customHeight="1" x14ac:dyDescent="0.25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104"/>
        <v>0.1</v>
      </c>
      <c r="S533" s="18">
        <f t="shared" si="103"/>
        <v>0.1</v>
      </c>
      <c r="T533" s="19">
        <f t="shared" si="105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0.1</v>
      </c>
      <c r="Y533" s="14">
        <f t="shared" si="106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107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108"/>
        <v>0.1</v>
      </c>
      <c r="AV533" s="37">
        <f t="shared" si="109"/>
        <v>0.1</v>
      </c>
      <c r="AW533" s="37"/>
    </row>
    <row r="534" spans="1:49" ht="15.75" customHeight="1" x14ac:dyDescent="0.25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104"/>
        <v>0.2</v>
      </c>
      <c r="S534" s="18">
        <f t="shared" si="103"/>
        <v>0.2</v>
      </c>
      <c r="T534" s="19">
        <f t="shared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0.2</v>
      </c>
      <c r="Y534" s="14">
        <f t="shared" si="106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107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108"/>
        <v>0.2</v>
      </c>
      <c r="AV534" s="37">
        <f t="shared" si="109"/>
        <v>0.2</v>
      </c>
      <c r="AW534" s="37"/>
    </row>
    <row r="535" spans="1:49" ht="15.75" customHeight="1" x14ac:dyDescent="0.25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104"/>
        <v>0.1</v>
      </c>
      <c r="S535" s="18">
        <f t="shared" si="103"/>
        <v>0.1</v>
      </c>
      <c r="T535" s="19">
        <f t="shared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0.1</v>
      </c>
      <c r="Y535" s="14">
        <f t="shared" si="106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107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108"/>
        <v>0.1</v>
      </c>
      <c r="AV535" s="37">
        <f t="shared" si="109"/>
        <v>0.1</v>
      </c>
      <c r="AW535" s="37"/>
    </row>
    <row r="536" spans="1:49" ht="15.75" customHeight="1" x14ac:dyDescent="0.25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104"/>
        <v>0.1</v>
      </c>
      <c r="S536" s="18">
        <f t="shared" si="103"/>
        <v>0.1</v>
      </c>
      <c r="T536" s="19">
        <f t="shared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106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107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108"/>
        <v>0.1</v>
      </c>
      <c r="AV536" s="37">
        <f t="shared" si="109"/>
        <v>0.1</v>
      </c>
      <c r="AW536" s="37"/>
    </row>
    <row r="537" spans="1:49" ht="15.75" customHeight="1" x14ac:dyDescent="0.25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-2</v>
      </c>
      <c r="R537" s="18">
        <f t="shared" si="104"/>
        <v>14.2</v>
      </c>
      <c r="S537" s="18">
        <f t="shared" si="103"/>
        <v>14.2</v>
      </c>
      <c r="T537" s="19">
        <f t="shared" si="105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14.2</v>
      </c>
      <c r="Y537" s="14">
        <f t="shared" si="106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107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108"/>
        <v>14.2</v>
      </c>
      <c r="AV537" s="37">
        <f t="shared" si="109"/>
        <v>14.2</v>
      </c>
      <c r="AW537" s="37"/>
    </row>
    <row r="538" spans="1:49" ht="15.75" customHeight="1" x14ac:dyDescent="0.25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104"/>
        <v>0.1</v>
      </c>
      <c r="S538" s="18">
        <f t="shared" si="103"/>
        <v>0.1</v>
      </c>
      <c r="T538" s="19">
        <f t="shared" si="105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106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107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108"/>
        <v>0.1</v>
      </c>
      <c r="AV538" s="37">
        <f t="shared" si="109"/>
        <v>0.1</v>
      </c>
      <c r="AW538" s="37"/>
    </row>
    <row r="539" spans="1:49" ht="15.75" customHeight="1" x14ac:dyDescent="0.25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-2</v>
      </c>
      <c r="R539" s="18">
        <f t="shared" si="104"/>
        <v>48</v>
      </c>
      <c r="S539" s="18">
        <f t="shared" si="103"/>
        <v>48</v>
      </c>
      <c r="T539" s="19">
        <f t="shared" si="105"/>
        <v>0</v>
      </c>
      <c r="U539" s="16">
        <f>IFERROR(SUMIF('LISTA DE EMBARQUE'!B:B,MICRO!E:E,'LISTA DE EMBARQUE'!G:G),"")</f>
        <v>2</v>
      </c>
      <c r="V539" s="12">
        <f>IFERROR(VLOOKUP(Tabela1[[#This Row],[COD.MDE]],'LISTA DE EMBARQUE'!B:L,11,0),"")</f>
        <v>2</v>
      </c>
      <c r="W539" s="13" t="str">
        <f>IFERROR(COUNTIF(#REF!,Tabela1[[#This Row],[Colunas5]]),"")</f>
        <v/>
      </c>
      <c r="X539" s="14">
        <f>Tabela1[[#This Row],[QIANTIDADE EXPEDIDA]]*Tabela1[[#This Row],[PESO UNI]]</f>
        <v>48</v>
      </c>
      <c r="Y539" s="14">
        <f t="shared" si="106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107"/>
        <v>P-024497-1/P190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108"/>
        <v>48</v>
      </c>
      <c r="AV539" s="37">
        <f t="shared" si="109"/>
        <v>48</v>
      </c>
      <c r="AW539" s="37"/>
    </row>
    <row r="540" spans="1:49" ht="15.75" customHeight="1" x14ac:dyDescent="0.25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-1</v>
      </c>
      <c r="R540" s="18">
        <f t="shared" si="104"/>
        <v>951.2</v>
      </c>
      <c r="S540" s="18">
        <f t="shared" si="103"/>
        <v>951.2</v>
      </c>
      <c r="T540" s="19">
        <f t="shared" si="105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951.2</v>
      </c>
      <c r="Y540" s="14">
        <f t="shared" si="106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107"/>
        <v>P-024513-1/P190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108"/>
        <v>951.2</v>
      </c>
      <c r="AV540" s="37">
        <f t="shared" si="109"/>
        <v>951.2</v>
      </c>
      <c r="AW540" s="37"/>
    </row>
    <row r="541" spans="1:49" ht="15.75" customHeight="1" x14ac:dyDescent="0.25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-2</v>
      </c>
      <c r="R541" s="18">
        <f t="shared" si="104"/>
        <v>6.8</v>
      </c>
      <c r="S541" s="18">
        <f t="shared" si="103"/>
        <v>6.8</v>
      </c>
      <c r="T541" s="19">
        <f t="shared" si="105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6.8</v>
      </c>
      <c r="Y541" s="14">
        <f t="shared" si="106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107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108"/>
        <v>6.8</v>
      </c>
      <c r="AV541" s="37">
        <f t="shared" si="109"/>
        <v>6.8</v>
      </c>
      <c r="AW541" s="37"/>
    </row>
    <row r="542" spans="1:49" ht="15.75" customHeight="1" x14ac:dyDescent="0.25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104"/>
        <v>6</v>
      </c>
      <c r="S542" s="18">
        <f t="shared" si="103"/>
        <v>6</v>
      </c>
      <c r="T542" s="19">
        <f t="shared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</v>
      </c>
      <c r="Y542" s="14">
        <f t="shared" si="106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107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108"/>
        <v>6</v>
      </c>
      <c r="AV542" s="37">
        <f t="shared" si="109"/>
        <v>6</v>
      </c>
      <c r="AW542" s="37"/>
    </row>
    <row r="543" spans="1:49" ht="15.75" customHeight="1" x14ac:dyDescent="0.25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-12</v>
      </c>
      <c r="R543" s="18">
        <f t="shared" si="104"/>
        <v>273.60000000000002</v>
      </c>
      <c r="S543" s="18">
        <f t="shared" si="103"/>
        <v>273.60000000000002</v>
      </c>
      <c r="T543" s="19">
        <f t="shared" si="105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273.60000000000002</v>
      </c>
      <c r="Y543" s="14">
        <f t="shared" si="106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107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108"/>
        <v>273.60000000000002</v>
      </c>
      <c r="AV543" s="37">
        <f t="shared" si="109"/>
        <v>273.60000000000002</v>
      </c>
      <c r="AW543" s="37"/>
    </row>
    <row r="544" spans="1:49" ht="15.75" customHeight="1" x14ac:dyDescent="0.25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104"/>
        <v>244.79999999999998</v>
      </c>
      <c r="S544" s="18">
        <f t="shared" si="103"/>
        <v>244.79999999999998</v>
      </c>
      <c r="T544" s="19">
        <f t="shared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244.79999999999998</v>
      </c>
      <c r="Y544" s="14">
        <f t="shared" si="106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107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108"/>
        <v>244.79999999999998</v>
      </c>
      <c r="AV544" s="37">
        <f t="shared" si="109"/>
        <v>244.79999999999998</v>
      </c>
      <c r="AW544" s="37"/>
    </row>
    <row r="545" spans="1:49" ht="15.75" customHeight="1" x14ac:dyDescent="0.25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</v>
      </c>
      <c r="R545" s="18">
        <f t="shared" si="104"/>
        <v>961</v>
      </c>
      <c r="S545" s="18">
        <f t="shared" si="103"/>
        <v>961</v>
      </c>
      <c r="T545" s="19">
        <f t="shared" si="105"/>
        <v>0</v>
      </c>
      <c r="U545" s="16">
        <f>IFERROR(SUMIF('LISTA DE EMBARQUE'!B:B,MICRO!E:E,'LISTA DE EMBARQUE'!G:G),"")</f>
        <v>1</v>
      </c>
      <c r="V545" s="12">
        <f>IFERROR(VLOOKUP(Tabela1[[#This Row],[COD.MDE]],'LISTA DE EMBARQUE'!B:L,11,0),"")</f>
        <v>3</v>
      </c>
      <c r="W545" s="13" t="str">
        <f>IFERROR(COUNTIF(#REF!,Tabela1[[#This Row],[Colunas5]]),"")</f>
        <v/>
      </c>
      <c r="X545" s="14">
        <f>Tabela1[[#This Row],[QIANTIDADE EXPEDIDA]]*Tabela1[[#This Row],[PESO UNI]]</f>
        <v>961</v>
      </c>
      <c r="Y545" s="14">
        <f t="shared" si="106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107"/>
        <v>P-024512-1/P190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108"/>
        <v>961</v>
      </c>
      <c r="AV545" s="37">
        <f t="shared" si="109"/>
        <v>961</v>
      </c>
      <c r="AW545" s="37"/>
    </row>
    <row r="546" spans="1:49" ht="15.75" customHeight="1" x14ac:dyDescent="0.25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-4</v>
      </c>
      <c r="R546" s="18">
        <f t="shared" si="104"/>
        <v>27.2</v>
      </c>
      <c r="S546" s="18">
        <f t="shared" si="103"/>
        <v>27.2</v>
      </c>
      <c r="T546" s="19">
        <f t="shared" si="105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27.2</v>
      </c>
      <c r="Y546" s="14">
        <f t="shared" si="106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107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108"/>
        <v>27.2</v>
      </c>
      <c r="AV546" s="37">
        <f t="shared" si="109"/>
        <v>27.2</v>
      </c>
      <c r="AW546" s="37"/>
    </row>
    <row r="547" spans="1:49" ht="15.75" customHeight="1" x14ac:dyDescent="0.25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104"/>
        <v>273.60000000000002</v>
      </c>
      <c r="S547" s="18">
        <f t="shared" si="103"/>
        <v>273.60000000000002</v>
      </c>
      <c r="T547" s="19">
        <f t="shared" si="105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273.60000000000002</v>
      </c>
      <c r="Y547" s="14">
        <f t="shared" si="106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107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108"/>
        <v>273.60000000000002</v>
      </c>
      <c r="AV547" s="37">
        <f t="shared" si="109"/>
        <v>273.60000000000002</v>
      </c>
      <c r="AW547" s="37"/>
    </row>
    <row r="548" spans="1:49" ht="15.75" customHeight="1" x14ac:dyDescent="0.25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104"/>
        <v>288</v>
      </c>
      <c r="S548" s="18">
        <f t="shared" si="103"/>
        <v>288</v>
      </c>
      <c r="T548" s="19">
        <f t="shared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288</v>
      </c>
      <c r="Y548" s="14">
        <f t="shared" si="106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107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108"/>
        <v>288</v>
      </c>
      <c r="AV548" s="37">
        <f t="shared" si="109"/>
        <v>288</v>
      </c>
      <c r="AW548" s="37"/>
    </row>
    <row r="549" spans="1:49" ht="15.75" customHeight="1" x14ac:dyDescent="0.25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-2</v>
      </c>
      <c r="R549" s="18">
        <f t="shared" si="104"/>
        <v>3797.4</v>
      </c>
      <c r="S549" s="18">
        <f t="shared" si="103"/>
        <v>3797.4</v>
      </c>
      <c r="T549" s="19">
        <f t="shared" si="105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>IFERROR(COUNTIF(#REF!,Tabela1[[#This Row],[Colunas5]]),"")</f>
        <v/>
      </c>
      <c r="X549" s="14">
        <f>Tabela1[[#This Row],[QIANTIDADE EXPEDIDA]]*Tabela1[[#This Row],[PESO UNI]]</f>
        <v>3797.4</v>
      </c>
      <c r="Y549" s="14">
        <f t="shared" si="106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107"/>
        <v>P-024511-1/P190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108"/>
        <v>3797.4</v>
      </c>
      <c r="AV549" s="37">
        <f t="shared" si="109"/>
        <v>3797.4</v>
      </c>
      <c r="AW549" s="37"/>
    </row>
    <row r="550" spans="1:49" ht="15.75" customHeight="1" x14ac:dyDescent="0.25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>Tabela1[[#This Row],[QTDE/ Fabricação]]-Tabela1[[#This Row],[QTE]]</f>
        <v>-1</v>
      </c>
      <c r="R550" s="18">
        <f t="shared" si="104"/>
        <v>13</v>
      </c>
      <c r="S550" s="18">
        <f t="shared" si="103"/>
        <v>13</v>
      </c>
      <c r="T550" s="19">
        <f t="shared" si="105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13</v>
      </c>
      <c r="Y550" s="14">
        <f t="shared" si="106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107"/>
        <v>P-073081-1/P190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108"/>
        <v>13</v>
      </c>
      <c r="AV550" s="37">
        <f t="shared" si="109"/>
        <v>13</v>
      </c>
      <c r="AW550" s="37"/>
    </row>
    <row r="551" spans="1:49" ht="15.75" customHeight="1" x14ac:dyDescent="0.25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104"/>
        <v>13</v>
      </c>
      <c r="S551" s="18">
        <f t="shared" si="103"/>
        <v>13</v>
      </c>
      <c r="T551" s="19">
        <f t="shared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106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107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108"/>
        <v>13</v>
      </c>
      <c r="AV551" s="37">
        <f t="shared" si="109"/>
        <v>13</v>
      </c>
      <c r="AW551" s="37"/>
    </row>
    <row r="552" spans="1:49" ht="15.75" customHeight="1" x14ac:dyDescent="0.25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104"/>
        <v>6</v>
      </c>
      <c r="S552" s="18">
        <f t="shared" si="103"/>
        <v>6</v>
      </c>
      <c r="T552" s="19">
        <f t="shared" si="105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6</v>
      </c>
      <c r="Y552" s="14">
        <f t="shared" si="106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107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108"/>
        <v>6</v>
      </c>
      <c r="AV552" s="37">
        <f t="shared" si="109"/>
        <v>6</v>
      </c>
      <c r="AW552" s="37"/>
    </row>
    <row r="553" spans="1:49" ht="15.75" customHeight="1" x14ac:dyDescent="0.25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104"/>
        <v>192.3</v>
      </c>
      <c r="S553" s="18">
        <f t="shared" si="103"/>
        <v>192.3</v>
      </c>
      <c r="T553" s="19">
        <f t="shared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192.3</v>
      </c>
      <c r="Y553" s="14">
        <f t="shared" si="106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107"/>
        <v>P-024507-1/P190</v>
      </c>
      <c r="AP553" t="str">
        <f>Tabela1[[#This Row],[TAG]]&amp;Tabela1[[#This Row],[PEDIDO]]&amp;Tabela1[[#This Row],[PRODUTO]]</f>
        <v>P190P-190TECMETAL</v>
      </c>
      <c r="AQ553" s="22" t="str">
        <f>Tabela1[[#This Row],[PRODUTO]]&amp;Tabela1[[#This Row],[TAG]]</f>
        <v>TECMETALP190</v>
      </c>
      <c r="AR553" s="24" t="str">
        <f>Tabela1[[#This Row],[PEDIDO]]&amp;Tabela1[[#This Row],[PRODUTO]]</f>
        <v>P-190TECMETAL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108"/>
        <v>192.3</v>
      </c>
      <c r="AV553" s="37">
        <f t="shared" si="109"/>
        <v>192.3</v>
      </c>
      <c r="AW553" s="37"/>
    </row>
    <row r="554" spans="1:49" ht="15.75" customHeight="1" x14ac:dyDescent="0.25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104"/>
        <v>4</v>
      </c>
      <c r="S554" s="18">
        <f t="shared" si="103"/>
        <v>4</v>
      </c>
      <c r="T554" s="19">
        <f t="shared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4</v>
      </c>
      <c r="Y554" s="14">
        <f t="shared" si="106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107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108"/>
        <v>4</v>
      </c>
      <c r="AV554" s="37">
        <f t="shared" si="109"/>
        <v>4</v>
      </c>
      <c r="AW554" s="37"/>
    </row>
    <row r="555" spans="1:49" ht="15.75" customHeight="1" x14ac:dyDescent="0.25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104"/>
        <v>4</v>
      </c>
      <c r="S555" s="18">
        <f t="shared" si="103"/>
        <v>4</v>
      </c>
      <c r="T555" s="19">
        <f t="shared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106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107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108"/>
        <v>4</v>
      </c>
      <c r="AV555" s="37">
        <f t="shared" si="109"/>
        <v>4</v>
      </c>
      <c r="AW555" s="37"/>
    </row>
    <row r="556" spans="1:49" ht="15.75" customHeight="1" x14ac:dyDescent="0.25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-2</v>
      </c>
      <c r="R556" s="18">
        <f t="shared" si="104"/>
        <v>90</v>
      </c>
      <c r="S556" s="18">
        <f t="shared" si="103"/>
        <v>90</v>
      </c>
      <c r="T556" s="19">
        <f t="shared" si="105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>IFERROR(COUNTIF(#REF!,Tabela1[[#This Row],[Colunas5]]),"")</f>
        <v/>
      </c>
      <c r="X556" s="14">
        <f>Tabela1[[#This Row],[QIANTIDADE EXPEDIDA]]*Tabela1[[#This Row],[PESO UNI]]</f>
        <v>90</v>
      </c>
      <c r="Y556" s="14">
        <f t="shared" si="106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107"/>
        <v>P-073057/P190</v>
      </c>
      <c r="AP556" t="str">
        <f>Tabela1[[#This Row],[TAG]]&amp;Tabela1[[#This Row],[PEDIDO]]&amp;Tabela1[[#This Row],[PRODUTO]]</f>
        <v>P190P-190COMERCIAL</v>
      </c>
      <c r="AQ556" s="22" t="str">
        <f>Tabela1[[#This Row],[PRODUTO]]&amp;Tabela1[[#This Row],[TAG]]</f>
        <v>COMERCIALP190</v>
      </c>
      <c r="AR556" s="24" t="str">
        <f>Tabela1[[#This Row],[PEDIDO]]&amp;Tabela1[[#This Row],[PRODUTO]]</f>
        <v>P-190COMERCIAL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108"/>
        <v>90</v>
      </c>
      <c r="AV556" s="37">
        <f t="shared" si="109"/>
        <v>90</v>
      </c>
      <c r="AW556" s="37"/>
    </row>
    <row r="557" spans="1:49" ht="15.75" customHeight="1" x14ac:dyDescent="0.25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104"/>
        <v>85</v>
      </c>
      <c r="S557" s="18">
        <f t="shared" si="103"/>
        <v>85</v>
      </c>
      <c r="T557" s="19">
        <f t="shared" si="105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85</v>
      </c>
      <c r="Y557" s="14">
        <f t="shared" si="106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107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108"/>
        <v>85</v>
      </c>
      <c r="AV557" s="37">
        <f t="shared" si="109"/>
        <v>85</v>
      </c>
      <c r="AW557" s="37"/>
    </row>
    <row r="558" spans="1:49" ht="15.75" customHeight="1" x14ac:dyDescent="0.25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104"/>
        <v>65</v>
      </c>
      <c r="S558" s="18">
        <f t="shared" si="103"/>
        <v>65</v>
      </c>
      <c r="T558" s="19">
        <f t="shared" si="105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65</v>
      </c>
      <c r="Y558" s="14">
        <f t="shared" si="106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107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108"/>
        <v>65</v>
      </c>
      <c r="AV558" s="37">
        <f t="shared" si="109"/>
        <v>65</v>
      </c>
      <c r="AW558" s="37"/>
    </row>
    <row r="559" spans="1:49" ht="15.75" customHeight="1" x14ac:dyDescent="0.25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104"/>
        <v>7.2</v>
      </c>
      <c r="S559" s="18">
        <f t="shared" si="103"/>
        <v>7.2</v>
      </c>
      <c r="T559" s="19">
        <f t="shared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7.2</v>
      </c>
      <c r="Y559" s="14">
        <f t="shared" si="106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107"/>
        <v>P-073057-1/P190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108"/>
        <v>7.2</v>
      </c>
      <c r="AV559" s="37">
        <f t="shared" si="109"/>
        <v>7.2</v>
      </c>
      <c r="AW559" s="37"/>
    </row>
    <row r="560" spans="1:49" ht="15.75" customHeight="1" x14ac:dyDescent="0.25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104"/>
        <v>0.03</v>
      </c>
      <c r="S560" s="18">
        <f t="shared" si="103"/>
        <v>0.03</v>
      </c>
      <c r="T560" s="19">
        <f t="shared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0.03</v>
      </c>
      <c r="Y560" s="14">
        <f t="shared" si="106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107"/>
        <v>P-024533-1/P190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108"/>
        <v>0.03</v>
      </c>
      <c r="AV560" s="37">
        <f t="shared" si="109"/>
        <v>0.03</v>
      </c>
      <c r="AW560" s="37"/>
    </row>
    <row r="561" spans="1:49" ht="15.75" customHeight="1" x14ac:dyDescent="0.25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-4</v>
      </c>
      <c r="R561" s="18">
        <f t="shared" si="104"/>
        <v>0.08</v>
      </c>
      <c r="S561" s="18">
        <f t="shared" si="103"/>
        <v>0.08</v>
      </c>
      <c r="T561" s="19">
        <f t="shared" si="105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0.08</v>
      </c>
      <c r="Y561" s="14">
        <f t="shared" si="106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107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108"/>
        <v>0.08</v>
      </c>
      <c r="AV561" s="37">
        <f t="shared" si="109"/>
        <v>0.08</v>
      </c>
      <c r="AW561" s="37"/>
    </row>
    <row r="562" spans="1:49" ht="15.75" customHeight="1" x14ac:dyDescent="0.25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-2</v>
      </c>
      <c r="R562" s="18">
        <f t="shared" si="104"/>
        <v>0.04</v>
      </c>
      <c r="S562" s="18">
        <f t="shared" si="103"/>
        <v>0.04</v>
      </c>
      <c r="T562" s="19">
        <f t="shared" si="105"/>
        <v>0</v>
      </c>
      <c r="U562" s="16">
        <f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0.04</v>
      </c>
      <c r="Y562" s="14">
        <f t="shared" si="106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107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108"/>
        <v>0.04</v>
      </c>
      <c r="AV562" s="37">
        <f t="shared" si="109"/>
        <v>0.04</v>
      </c>
      <c r="AW562" s="37"/>
    </row>
    <row r="563" spans="1:49" ht="15.75" customHeight="1" x14ac:dyDescent="0.25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-110</v>
      </c>
      <c r="R563" s="18">
        <f t="shared" si="104"/>
        <v>170.5</v>
      </c>
      <c r="S563" s="18">
        <f t="shared" si="103"/>
        <v>170.5</v>
      </c>
      <c r="T563" s="19">
        <f t="shared" si="105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170.5</v>
      </c>
      <c r="Y563" s="14">
        <f t="shared" si="106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107"/>
        <v>P-073057-1/P190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108"/>
        <v>170.5</v>
      </c>
      <c r="AV563" s="37">
        <f t="shared" si="109"/>
        <v>170.5</v>
      </c>
      <c r="AW563" s="37"/>
    </row>
    <row r="564" spans="1:49" ht="15.75" customHeight="1" x14ac:dyDescent="0.25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-40</v>
      </c>
      <c r="R564" s="18">
        <f t="shared" si="104"/>
        <v>11.6</v>
      </c>
      <c r="S564" s="18">
        <f t="shared" si="103"/>
        <v>11.6</v>
      </c>
      <c r="T564" s="19">
        <f t="shared" si="105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11.6</v>
      </c>
      <c r="Y564" s="14">
        <f t="shared" si="106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107"/>
        <v>P-073056-1/P190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108"/>
        <v>11.6</v>
      </c>
      <c r="AV564" s="37">
        <f t="shared" si="109"/>
        <v>11.6</v>
      </c>
      <c r="AW564" s="37"/>
    </row>
    <row r="565" spans="1:49" ht="15.75" customHeight="1" x14ac:dyDescent="0.25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104"/>
        <v>0.8</v>
      </c>
      <c r="S565" s="18">
        <f t="shared" si="103"/>
        <v>0.8</v>
      </c>
      <c r="T565" s="19">
        <f t="shared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0.8</v>
      </c>
      <c r="Y565" s="14">
        <f t="shared" si="106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107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108"/>
        <v>0.8</v>
      </c>
      <c r="AV565" s="37">
        <f t="shared" si="109"/>
        <v>0.8</v>
      </c>
      <c r="AW565" s="37"/>
    </row>
    <row r="566" spans="1:49" ht="15.75" customHeight="1" x14ac:dyDescent="0.25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104"/>
        <v>2.2000000000000002</v>
      </c>
      <c r="S566" s="18">
        <f t="shared" si="103"/>
        <v>2.2000000000000002</v>
      </c>
      <c r="T566" s="19">
        <f t="shared" si="105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2.2000000000000002</v>
      </c>
      <c r="Y566" s="14">
        <f t="shared" si="106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107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108"/>
        <v>2.2000000000000002</v>
      </c>
      <c r="AV566" s="37">
        <f t="shared" si="109"/>
        <v>2.2000000000000002</v>
      </c>
      <c r="AW566" s="37"/>
    </row>
    <row r="567" spans="1:49" ht="15.75" customHeight="1" x14ac:dyDescent="0.25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-1</v>
      </c>
      <c r="R567" s="18">
        <f t="shared" si="104"/>
        <v>6.5</v>
      </c>
      <c r="S567" s="18">
        <f t="shared" si="103"/>
        <v>6.5</v>
      </c>
      <c r="T567" s="19">
        <f t="shared" si="105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6.5</v>
      </c>
      <c r="Y567" s="14">
        <f t="shared" si="106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107"/>
        <v xml:space="preserve"> P-073060-1/P190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108"/>
        <v>6.5</v>
      </c>
      <c r="AV567" s="37">
        <f t="shared" si="109"/>
        <v>6.5</v>
      </c>
      <c r="AW567" s="37"/>
    </row>
    <row r="568" spans="1:49" ht="15.75" customHeight="1" x14ac:dyDescent="0.25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-18</v>
      </c>
      <c r="R568" s="18">
        <f t="shared" si="104"/>
        <v>0.36</v>
      </c>
      <c r="S568" s="18">
        <f t="shared" si="103"/>
        <v>0.36</v>
      </c>
      <c r="T568" s="19">
        <f t="shared" si="105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0.36</v>
      </c>
      <c r="Y568" s="14">
        <f t="shared" si="106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107"/>
        <v>(CONFORME ET:BBR-D-DF-1073-MDE-K-0017)/P190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108"/>
        <v>0.36</v>
      </c>
      <c r="AV568" s="37">
        <f t="shared" si="109"/>
        <v>0.36</v>
      </c>
      <c r="AW568" s="37"/>
    </row>
    <row r="569" spans="1:49" ht="15.75" customHeight="1" x14ac:dyDescent="0.25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104"/>
        <v>0.54</v>
      </c>
      <c r="S569" s="18">
        <f t="shared" si="103"/>
        <v>0.54</v>
      </c>
      <c r="T569" s="19">
        <f t="shared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0.54</v>
      </c>
      <c r="Y569" s="14">
        <f t="shared" si="106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107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108"/>
        <v>0.54</v>
      </c>
      <c r="AV569" s="37">
        <f t="shared" si="109"/>
        <v>0.54</v>
      </c>
      <c r="AW569" s="37"/>
    </row>
    <row r="570" spans="1:49" ht="15.75" customHeight="1" x14ac:dyDescent="0.25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-5</v>
      </c>
      <c r="R570" s="18">
        <f t="shared" si="104"/>
        <v>0.1</v>
      </c>
      <c r="S570" s="18">
        <f t="shared" si="103"/>
        <v>0.1</v>
      </c>
      <c r="T570" s="19">
        <f t="shared" si="105"/>
        <v>0</v>
      </c>
      <c r="U570" s="16">
        <f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0.1</v>
      </c>
      <c r="Y570" s="14">
        <f t="shared" si="106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107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108"/>
        <v>0.1</v>
      </c>
      <c r="AV570" s="37">
        <f t="shared" si="109"/>
        <v>0.1</v>
      </c>
      <c r="AW570" s="37"/>
    </row>
    <row r="571" spans="1:49" ht="15.75" customHeight="1" x14ac:dyDescent="0.25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-3</v>
      </c>
      <c r="R571" s="18">
        <f t="shared" si="104"/>
        <v>0.12</v>
      </c>
      <c r="S571" s="18">
        <f t="shared" ref="S571:S603" si="110">IFERROR(H571*AG571,"")</f>
        <v>0.12</v>
      </c>
      <c r="T571" s="19">
        <f t="shared" si="105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0.12</v>
      </c>
      <c r="Y571" s="14">
        <f t="shared" si="106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107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108"/>
        <v>0.12</v>
      </c>
      <c r="AV571" s="37">
        <f t="shared" si="109"/>
        <v>0.12</v>
      </c>
      <c r="AW571" s="37"/>
    </row>
    <row r="572" spans="1:49" ht="15.75" customHeight="1" x14ac:dyDescent="0.25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104"/>
        <v>0.15000000000000002</v>
      </c>
      <c r="S572" s="18">
        <f t="shared" si="110"/>
        <v>0.15000000000000002</v>
      </c>
      <c r="T572" s="19">
        <f t="shared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0.15000000000000002</v>
      </c>
      <c r="Y572" s="14">
        <f t="shared" si="106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107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108"/>
        <v>0.15000000000000002</v>
      </c>
      <c r="AV572" s="37">
        <f t="shared" si="109"/>
        <v>0.15000000000000002</v>
      </c>
      <c r="AW572" s="37"/>
    </row>
    <row r="573" spans="1:49" ht="15.75" customHeight="1" x14ac:dyDescent="0.25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-10</v>
      </c>
      <c r="R573" s="18">
        <f t="shared" si="104"/>
        <v>0.5</v>
      </c>
      <c r="S573" s="18">
        <f t="shared" si="110"/>
        <v>0.5</v>
      </c>
      <c r="T573" s="19">
        <f t="shared" si="105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0.5</v>
      </c>
      <c r="Y573" s="14">
        <f t="shared" si="106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107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108"/>
        <v>0.5</v>
      </c>
      <c r="AV573" s="37">
        <f t="shared" si="109"/>
        <v>0.5</v>
      </c>
      <c r="AW573" s="37"/>
    </row>
    <row r="574" spans="1:49" ht="15.75" customHeight="1" x14ac:dyDescent="0.25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ref="R574:R603" si="111">IFERROR(H574*((AA574*0.25)+(AC574*0.25)+(AD574*0.225)+(AE574*0.225)+(AF574*0.05)),"")</f>
        <v>0.6</v>
      </c>
      <c r="S574" s="18">
        <f t="shared" si="110"/>
        <v>0.6</v>
      </c>
      <c r="T574" s="19">
        <f t="shared" ref="T574:T603" si="112">IFERROR(S574-H574,"")</f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0.6</v>
      </c>
      <c r="Y574" s="14">
        <f t="shared" ref="Y574:Y603" si="113">U574-C574</f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ref="AO574:AO604" si="114">A574&amp;"/"&amp;J574</f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ref="AU574:AU604" si="115">IF(AH574="",0,IF(ISTEXT(AH574),H574*VALUE(SUBSTITUTE(AH574,"%",""))/100,H574*AH574))</f>
        <v>0.6</v>
      </c>
      <c r="AV574" s="37">
        <f t="shared" ref="AV574:AV604" si="116">IF(AG574="",0,IF(ISTEXT(AG574),H574*VALUE(SUBSTITUTE(AG574,"%",""))/100,H574*AG574))</f>
        <v>0.6</v>
      </c>
      <c r="AW574" s="37"/>
    </row>
    <row r="575" spans="1:49" ht="15.75" customHeight="1" x14ac:dyDescent="0.25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-2</v>
      </c>
      <c r="R575" s="18">
        <f t="shared" si="111"/>
        <v>0.06</v>
      </c>
      <c r="S575" s="18">
        <f t="shared" si="110"/>
        <v>0.06</v>
      </c>
      <c r="T575" s="19">
        <f t="shared" si="112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0.06</v>
      </c>
      <c r="Y575" s="14">
        <f t="shared" si="113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114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115"/>
        <v>0.06</v>
      </c>
      <c r="AV575" s="37">
        <f t="shared" si="116"/>
        <v>0.06</v>
      </c>
      <c r="AW575" s="37"/>
    </row>
    <row r="576" spans="1:49" ht="15.75" customHeight="1" x14ac:dyDescent="0.25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-4</v>
      </c>
      <c r="R576" s="18">
        <f t="shared" si="111"/>
        <v>0.16</v>
      </c>
      <c r="S576" s="18">
        <f t="shared" si="110"/>
        <v>0.16</v>
      </c>
      <c r="T576" s="19">
        <f t="shared" si="112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0.16</v>
      </c>
      <c r="Y576" s="14">
        <f t="shared" si="11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1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15"/>
        <v>0.16</v>
      </c>
      <c r="AV576" s="37">
        <f t="shared" si="116"/>
        <v>0.16</v>
      </c>
      <c r="AW576" s="37"/>
    </row>
    <row r="577" spans="1:49" ht="15.75" customHeight="1" x14ac:dyDescent="0.25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-2</v>
      </c>
      <c r="R577" s="18">
        <f t="shared" si="111"/>
        <v>0.04</v>
      </c>
      <c r="S577" s="18">
        <f t="shared" si="110"/>
        <v>0.04</v>
      </c>
      <c r="T577" s="19">
        <f t="shared" si="112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0.04</v>
      </c>
      <c r="Y577" s="14">
        <f t="shared" si="113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14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15"/>
        <v>0.04</v>
      </c>
      <c r="AV577" s="37">
        <f t="shared" si="116"/>
        <v>0.04</v>
      </c>
      <c r="AW577" s="37"/>
    </row>
    <row r="578" spans="1:49" ht="15.75" customHeight="1" x14ac:dyDescent="0.25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-8</v>
      </c>
      <c r="R578" s="18">
        <f t="shared" si="111"/>
        <v>0.32</v>
      </c>
      <c r="S578" s="18">
        <f t="shared" si="110"/>
        <v>0.32</v>
      </c>
      <c r="T578" s="19">
        <f t="shared" si="112"/>
        <v>0</v>
      </c>
      <c r="U578" s="16">
        <f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0.32</v>
      </c>
      <c r="Y578" s="14">
        <f t="shared" si="113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14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15"/>
        <v>0.32</v>
      </c>
      <c r="AV578" s="37">
        <f t="shared" si="116"/>
        <v>0.32</v>
      </c>
      <c r="AW578" s="37"/>
    </row>
    <row r="579" spans="1:49" ht="15.75" customHeight="1" x14ac:dyDescent="0.25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-1</v>
      </c>
      <c r="R579" s="18">
        <f t="shared" si="111"/>
        <v>2.2000000000000002</v>
      </c>
      <c r="S579" s="18">
        <f t="shared" si="110"/>
        <v>2.2000000000000002</v>
      </c>
      <c r="T579" s="19">
        <f t="shared" si="112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2.2000000000000002</v>
      </c>
      <c r="Y579" s="14">
        <f t="shared" si="113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14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15"/>
        <v>2.2000000000000002</v>
      </c>
      <c r="AV579" s="37">
        <f t="shared" si="116"/>
        <v>2.2000000000000002</v>
      </c>
      <c r="AW579" s="37"/>
    </row>
    <row r="580" spans="1:49" ht="15.75" customHeight="1" x14ac:dyDescent="0.25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-71</v>
      </c>
      <c r="R580" s="18">
        <f t="shared" si="111"/>
        <v>9.0169999999999995</v>
      </c>
      <c r="S580" s="18">
        <f t="shared" si="110"/>
        <v>9.0169999999999995</v>
      </c>
      <c r="T580" s="19">
        <f t="shared" si="112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9.0169999999999995</v>
      </c>
      <c r="Y580" s="14">
        <f t="shared" si="113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14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15"/>
        <v>9.0169999999999995</v>
      </c>
      <c r="AV580" s="37">
        <f t="shared" si="116"/>
        <v>9.0169999999999995</v>
      </c>
      <c r="AW580" s="37"/>
    </row>
    <row r="581" spans="1:49" ht="15.75" customHeight="1" x14ac:dyDescent="0.25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-10</v>
      </c>
      <c r="R581" s="18">
        <f t="shared" si="111"/>
        <v>1.4000000000000001</v>
      </c>
      <c r="S581" s="18">
        <f t="shared" si="110"/>
        <v>1.4000000000000001</v>
      </c>
      <c r="T581" s="19">
        <f t="shared" si="112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1.4000000000000001</v>
      </c>
      <c r="Y581" s="14">
        <f t="shared" si="113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14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15"/>
        <v>1.4000000000000001</v>
      </c>
      <c r="AV581" s="37">
        <f t="shared" si="116"/>
        <v>1.4000000000000001</v>
      </c>
      <c r="AW581" s="37"/>
    </row>
    <row r="582" spans="1:49" ht="15.75" customHeight="1" x14ac:dyDescent="0.25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-18</v>
      </c>
      <c r="R582" s="18">
        <f t="shared" si="111"/>
        <v>6.6059999999999999</v>
      </c>
      <c r="S582" s="18">
        <f t="shared" si="110"/>
        <v>6.6059999999999999</v>
      </c>
      <c r="T582" s="19">
        <f t="shared" si="112"/>
        <v>0</v>
      </c>
      <c r="U582" s="16">
        <f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6.6059999999999999</v>
      </c>
      <c r="Y582" s="14">
        <f t="shared" si="113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14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15"/>
        <v>6.6059999999999999</v>
      </c>
      <c r="AV582" s="37">
        <f t="shared" si="116"/>
        <v>6.6059999999999999</v>
      </c>
      <c r="AW582" s="37"/>
    </row>
    <row r="583" spans="1:49" ht="15.75" customHeight="1" x14ac:dyDescent="0.25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-50</v>
      </c>
      <c r="R583" s="18">
        <f t="shared" si="111"/>
        <v>28.499999999999996</v>
      </c>
      <c r="S583" s="18">
        <f t="shared" si="110"/>
        <v>28.499999999999996</v>
      </c>
      <c r="T583" s="19">
        <f t="shared" si="112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28.499999999999996</v>
      </c>
      <c r="Y583" s="14">
        <f t="shared" si="113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14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15"/>
        <v>28.499999999999996</v>
      </c>
      <c r="AV583" s="37">
        <f t="shared" si="116"/>
        <v>28.499999999999996</v>
      </c>
      <c r="AW583" s="37"/>
    </row>
    <row r="584" spans="1:49" ht="15.75" customHeight="1" x14ac:dyDescent="0.25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-60</v>
      </c>
      <c r="R584" s="18">
        <f t="shared" si="111"/>
        <v>9.9960000000000004</v>
      </c>
      <c r="S584" s="18">
        <f t="shared" si="110"/>
        <v>9.9960000000000004</v>
      </c>
      <c r="T584" s="19">
        <f t="shared" si="112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9.9960000000000004</v>
      </c>
      <c r="Y584" s="14">
        <f t="shared" si="113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14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15"/>
        <v>9.9960000000000004</v>
      </c>
      <c r="AV584" s="37">
        <f t="shared" si="116"/>
        <v>9.9960000000000004</v>
      </c>
      <c r="AW584" s="37"/>
    </row>
    <row r="585" spans="1:49" ht="15.75" customHeight="1" x14ac:dyDescent="0.25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-15</v>
      </c>
      <c r="R585" s="18">
        <f t="shared" si="111"/>
        <v>2.4</v>
      </c>
      <c r="S585" s="18">
        <f t="shared" si="110"/>
        <v>2.4</v>
      </c>
      <c r="T585" s="19">
        <f t="shared" si="112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2.4</v>
      </c>
      <c r="Y585" s="14">
        <f t="shared" si="113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14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15"/>
        <v>2.4</v>
      </c>
      <c r="AV585" s="37">
        <f t="shared" si="116"/>
        <v>2.4</v>
      </c>
      <c r="AW585" s="37"/>
    </row>
    <row r="586" spans="1:49" ht="15.75" customHeight="1" x14ac:dyDescent="0.25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-52</v>
      </c>
      <c r="R586" s="18">
        <f t="shared" si="111"/>
        <v>23.192</v>
      </c>
      <c r="S586" s="18">
        <f t="shared" si="110"/>
        <v>23.192</v>
      </c>
      <c r="T586" s="19">
        <f t="shared" si="112"/>
        <v>0</v>
      </c>
      <c r="U586" s="16">
        <f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23.192</v>
      </c>
      <c r="Y586" s="14">
        <f t="shared" si="113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14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15"/>
        <v>23.192</v>
      </c>
      <c r="AV586" s="37">
        <f t="shared" si="116"/>
        <v>23.192</v>
      </c>
      <c r="AW586" s="37"/>
    </row>
    <row r="587" spans="1:49" ht="15.75" customHeight="1" x14ac:dyDescent="0.25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-78</v>
      </c>
      <c r="R587" s="18">
        <f t="shared" si="111"/>
        <v>11.543999999999999</v>
      </c>
      <c r="S587" s="18">
        <f t="shared" si="110"/>
        <v>11.543999999999999</v>
      </c>
      <c r="T587" s="19">
        <f t="shared" si="112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11.543999999999999</v>
      </c>
      <c r="Y587" s="14">
        <f t="shared" si="113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14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15"/>
        <v>11.543999999999999</v>
      </c>
      <c r="AV587" s="37">
        <f t="shared" si="116"/>
        <v>11.543999999999999</v>
      </c>
      <c r="AW587" s="37"/>
    </row>
    <row r="588" spans="1:49" ht="15.75" customHeight="1" x14ac:dyDescent="0.25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-26</v>
      </c>
      <c r="R588" s="18">
        <f t="shared" si="111"/>
        <v>4.3940000000000001</v>
      </c>
      <c r="S588" s="18">
        <f t="shared" si="110"/>
        <v>4.3940000000000001</v>
      </c>
      <c r="T588" s="19">
        <f t="shared" si="112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4.3940000000000001</v>
      </c>
      <c r="Y588" s="14">
        <f t="shared" si="113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14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15"/>
        <v>4.3940000000000001</v>
      </c>
      <c r="AV588" s="37">
        <f t="shared" si="116"/>
        <v>4.3940000000000001</v>
      </c>
      <c r="AW588" s="37"/>
    </row>
    <row r="589" spans="1:49" ht="15.75" customHeight="1" x14ac:dyDescent="0.25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-60</v>
      </c>
      <c r="R589" s="18">
        <f t="shared" si="111"/>
        <v>39.96</v>
      </c>
      <c r="S589" s="18">
        <f t="shared" si="110"/>
        <v>39.96</v>
      </c>
      <c r="T589" s="19">
        <f t="shared" si="112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39.96</v>
      </c>
      <c r="Y589" s="14">
        <f t="shared" si="113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14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15"/>
        <v>39.96</v>
      </c>
      <c r="AV589" s="37">
        <f t="shared" si="116"/>
        <v>39.96</v>
      </c>
      <c r="AW589" s="37"/>
    </row>
    <row r="590" spans="1:49" ht="15.75" customHeight="1" x14ac:dyDescent="0.25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-52</v>
      </c>
      <c r="R590" s="18">
        <f t="shared" si="111"/>
        <v>10.972</v>
      </c>
      <c r="S590" s="18">
        <f t="shared" si="110"/>
        <v>10.972</v>
      </c>
      <c r="T590" s="19">
        <f t="shared" si="112"/>
        <v>0</v>
      </c>
      <c r="U590" s="16">
        <f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10.972</v>
      </c>
      <c r="Y590" s="14">
        <f t="shared" si="113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14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15"/>
        <v>10.972</v>
      </c>
      <c r="AV590" s="37">
        <f t="shared" si="116"/>
        <v>10.972</v>
      </c>
      <c r="AW590" s="37"/>
    </row>
    <row r="591" spans="1:49" ht="15.75" customHeight="1" x14ac:dyDescent="0.25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111"/>
        <v>10.997999999999999</v>
      </c>
      <c r="S591" s="18">
        <f t="shared" si="110"/>
        <v>10.997999999999999</v>
      </c>
      <c r="T591" s="19">
        <f t="shared" si="112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10.997999999999999</v>
      </c>
      <c r="Y591" s="14">
        <f t="shared" si="113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14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15"/>
        <v>10.997999999999999</v>
      </c>
      <c r="AV591" s="37">
        <f t="shared" si="116"/>
        <v>10.997999999999999</v>
      </c>
      <c r="AW591" s="37"/>
    </row>
    <row r="592" spans="1:49" ht="15.75" customHeight="1" x14ac:dyDescent="0.25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-3</v>
      </c>
      <c r="R592" s="18">
        <f t="shared" si="111"/>
        <v>10.5</v>
      </c>
      <c r="S592" s="18">
        <f t="shared" si="110"/>
        <v>10.5</v>
      </c>
      <c r="T592" s="19">
        <f t="shared" si="112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10.5</v>
      </c>
      <c r="Y592" s="14">
        <f t="shared" si="113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14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15"/>
        <v>10.5</v>
      </c>
      <c r="AV592" s="37">
        <f t="shared" si="116"/>
        <v>10.5</v>
      </c>
      <c r="AW592" s="37"/>
    </row>
    <row r="593" spans="1:49" ht="15.75" customHeight="1" x14ac:dyDescent="0.25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-20</v>
      </c>
      <c r="R593" s="18">
        <f t="shared" si="111"/>
        <v>6</v>
      </c>
      <c r="S593" s="18">
        <f t="shared" si="110"/>
        <v>6</v>
      </c>
      <c r="T593" s="19">
        <f t="shared" si="112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6</v>
      </c>
      <c r="Y593" s="14">
        <f t="shared" si="113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14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15"/>
        <v>6</v>
      </c>
      <c r="AV593" s="37">
        <f t="shared" si="116"/>
        <v>6</v>
      </c>
      <c r="AW593" s="37"/>
    </row>
    <row r="594" spans="1:49" ht="15.75" customHeight="1" x14ac:dyDescent="0.25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-6</v>
      </c>
      <c r="R594" s="18">
        <f t="shared" si="111"/>
        <v>0.06</v>
      </c>
      <c r="S594" s="18">
        <f t="shared" si="110"/>
        <v>0.06</v>
      </c>
      <c r="T594" s="19">
        <f t="shared" si="112"/>
        <v>0</v>
      </c>
      <c r="U594" s="16">
        <f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0.06</v>
      </c>
      <c r="Y594" s="14">
        <f t="shared" si="113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14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15"/>
        <v>0.06</v>
      </c>
      <c r="AV594" s="37">
        <f t="shared" si="116"/>
        <v>0.06</v>
      </c>
      <c r="AW594" s="37"/>
    </row>
    <row r="595" spans="1:49" ht="15.75" customHeight="1" x14ac:dyDescent="0.25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111"/>
        <v>0.06</v>
      </c>
      <c r="S595" s="18">
        <f t="shared" si="110"/>
        <v>0.06</v>
      </c>
      <c r="T595" s="19">
        <f t="shared" si="112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13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14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15"/>
        <v>0.06</v>
      </c>
      <c r="AV595" s="37">
        <f t="shared" si="116"/>
        <v>0.06</v>
      </c>
      <c r="AW595" s="37"/>
    </row>
    <row r="596" spans="1:49" ht="15.75" customHeight="1" x14ac:dyDescent="0.25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-6</v>
      </c>
      <c r="R596" s="18">
        <f t="shared" si="111"/>
        <v>0.06</v>
      </c>
      <c r="S596" s="18">
        <f t="shared" si="110"/>
        <v>0.06</v>
      </c>
      <c r="T596" s="19">
        <f t="shared" si="112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13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14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15"/>
        <v>0.06</v>
      </c>
      <c r="AV596" s="37">
        <f t="shared" si="116"/>
        <v>0.06</v>
      </c>
      <c r="AW596" s="37"/>
    </row>
    <row r="597" spans="1:49" ht="15.75" customHeight="1" x14ac:dyDescent="0.25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-15</v>
      </c>
      <c r="R597" s="18">
        <f t="shared" si="111"/>
        <v>5.1899999999999995</v>
      </c>
      <c r="S597" s="18">
        <f t="shared" si="110"/>
        <v>5.1899999999999995</v>
      </c>
      <c r="T597" s="19">
        <f t="shared" si="112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5.1899999999999995</v>
      </c>
      <c r="Y597" s="14">
        <f t="shared" si="113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14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15"/>
        <v>5.1899999999999995</v>
      </c>
      <c r="AV597" s="37">
        <f t="shared" si="116"/>
        <v>5.1899999999999995</v>
      </c>
      <c r="AW597" s="37"/>
    </row>
    <row r="598" spans="1:49" ht="15.75" customHeight="1" x14ac:dyDescent="0.25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-12</v>
      </c>
      <c r="R598" s="18">
        <f t="shared" si="111"/>
        <v>1.4040000000000001</v>
      </c>
      <c r="S598" s="18">
        <f t="shared" si="110"/>
        <v>1.4040000000000001</v>
      </c>
      <c r="T598" s="19">
        <f t="shared" si="112"/>
        <v>0</v>
      </c>
      <c r="U598" s="16">
        <f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1.4040000000000001</v>
      </c>
      <c r="Y598" s="14">
        <f t="shared" si="113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14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15"/>
        <v>1.4040000000000001</v>
      </c>
      <c r="AV598" s="37">
        <f t="shared" si="116"/>
        <v>1.4040000000000001</v>
      </c>
      <c r="AW598" s="37"/>
    </row>
    <row r="599" spans="1:49" ht="15.75" customHeight="1" x14ac:dyDescent="0.25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-4</v>
      </c>
      <c r="R599" s="18">
        <f t="shared" si="111"/>
        <v>4</v>
      </c>
      <c r="S599" s="18">
        <f t="shared" si="110"/>
        <v>4</v>
      </c>
      <c r="T599" s="19">
        <f t="shared" si="112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4</v>
      </c>
      <c r="Y599" s="14">
        <f t="shared" si="113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14"/>
        <v>P-073057-1/P190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15"/>
        <v>4</v>
      </c>
      <c r="AV599" s="37">
        <f t="shared" si="116"/>
        <v>4</v>
      </c>
      <c r="AW599" s="37"/>
    </row>
    <row r="600" spans="1:49" ht="15.75" customHeight="1" x14ac:dyDescent="0.25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</v>
      </c>
      <c r="R600" s="18">
        <f t="shared" si="111"/>
        <v>1.2</v>
      </c>
      <c r="S600" s="18">
        <f t="shared" si="110"/>
        <v>1.2</v>
      </c>
      <c r="T600" s="19">
        <f t="shared" si="112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1.2</v>
      </c>
      <c r="Y600" s="14">
        <f t="shared" si="113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14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15"/>
        <v>1.2</v>
      </c>
      <c r="AV600" s="37">
        <f t="shared" si="116"/>
        <v>1.2</v>
      </c>
      <c r="AW600" s="37"/>
    </row>
    <row r="601" spans="1:49" ht="15.75" customHeight="1" x14ac:dyDescent="0.25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111"/>
        <v>2.5</v>
      </c>
      <c r="S601" s="18">
        <f t="shared" si="110"/>
        <v>2.5</v>
      </c>
      <c r="T601" s="19">
        <f t="shared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2.5</v>
      </c>
      <c r="Y601" s="14">
        <f t="shared" si="113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14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15"/>
        <v>2.5</v>
      </c>
      <c r="AV601" s="37">
        <f t="shared" si="116"/>
        <v>2.5</v>
      </c>
      <c r="AW601" s="37"/>
    </row>
    <row r="602" spans="1:49" ht="15.75" customHeight="1" x14ac:dyDescent="0.25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111"/>
        <v>120</v>
      </c>
      <c r="S602" s="18">
        <f t="shared" si="110"/>
        <v>120</v>
      </c>
      <c r="T602" s="19">
        <f t="shared" si="112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120</v>
      </c>
      <c r="Y602" s="14">
        <f t="shared" si="113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14"/>
        <v>PAINEL ELÉTRICO CONF. OV-260385-PTC-02/P190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15"/>
        <v>120</v>
      </c>
      <c r="AV602" s="37">
        <f t="shared" si="116"/>
        <v>120</v>
      </c>
      <c r="AW602" s="37"/>
    </row>
    <row r="603" spans="1:49" ht="15.75" customHeight="1" x14ac:dyDescent="0.25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111"/>
        <v>0.5</v>
      </c>
      <c r="S603" s="18">
        <f t="shared" si="110"/>
        <v>0.5</v>
      </c>
      <c r="T603" s="19">
        <f t="shared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0.5</v>
      </c>
      <c r="Y603" s="14">
        <f t="shared" si="113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14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15"/>
        <v>0.5</v>
      </c>
      <c r="AV603" s="37">
        <f t="shared" si="116"/>
        <v>0.5</v>
      </c>
      <c r="AW603" s="37"/>
    </row>
    <row r="604" spans="1:49" ht="15.75" customHeight="1" x14ac:dyDescent="0.25">
      <c r="A604" s="6" t="s">
        <v>4510</v>
      </c>
      <c r="B604" s="21" t="s">
        <v>4511</v>
      </c>
      <c r="C604" s="7">
        <v>1</v>
      </c>
      <c r="D604" s="39" t="s">
        <v>4512</v>
      </c>
      <c r="E604" s="7">
        <v>4395</v>
      </c>
      <c r="F604" s="7">
        <v>36</v>
      </c>
      <c r="G604" s="37">
        <v>1065.9000000000001</v>
      </c>
      <c r="H604" s="34">
        <f>Tabela1[[#This Row],[PESO UNI]]*Tabela1[[#This Row],[QTE]]</f>
        <v>1065.9000000000001</v>
      </c>
      <c r="I604" s="7" t="s">
        <v>4864</v>
      </c>
      <c r="J604" s="8" t="s">
        <v>3045</v>
      </c>
      <c r="K604" s="8" t="s">
        <v>31</v>
      </c>
      <c r="L604" s="9" t="s">
        <v>2984</v>
      </c>
      <c r="M604" s="10">
        <v>46220</v>
      </c>
      <c r="N604" s="8" t="s">
        <v>38</v>
      </c>
      <c r="O604" s="12"/>
      <c r="P604" s="13"/>
      <c r="Q604" s="14">
        <f>Tabela1[[#This Row],[QTDE/ Fabricação]]-Tabela1[[#This Row],[QTE]]</f>
        <v>-1</v>
      </c>
      <c r="R604" s="18">
        <f>IFERROR(H604*((AA604*0.25)+(AC604*0.25)+(AD604*0.225)+(AE604*0.225)+(AF604*0.05)),"")</f>
        <v>1065.9000000000001</v>
      </c>
      <c r="S604" s="18">
        <f t="shared" ref="S604:S624" si="117">IFERROR(H604*AG604,"")</f>
        <v>1065.9000000000001</v>
      </c>
      <c r="T604" s="19">
        <f>IFERROR(S604-H604,"")</f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5</v>
      </c>
      <c r="W604" s="13" t="str">
        <f>IFERROR(COUNTIF(#REF!,Tabela1[[#This Row],[Colunas5]]),"")</f>
        <v/>
      </c>
      <c r="X604" s="14">
        <f>Tabela1[[#This Row],[QIANTIDADE EXPEDIDA]]*Tabela1[[#This Row],[PESO UNI]]</f>
        <v>1065.9000000000001</v>
      </c>
      <c r="Y604" s="14">
        <f>U604-C604</f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tr">
        <f>IF(Z604&lt;=0,"ok","")</f>
        <v>ok</v>
      </c>
      <c r="AJ604"/>
      <c r="AK604" t="str">
        <f>Tabela1[[#This Row],[Coluna1]]&amp;Tabela1[[#This Row],[PEDIDO]]</f>
        <v>P-198</v>
      </c>
      <c r="AL604"/>
      <c r="AM604"/>
      <c r="AN604"/>
      <c r="AO604" t="str">
        <f t="shared" si="114"/>
        <v>T-073245-1/14-CV-0001</v>
      </c>
      <c r="AP604" t="str">
        <f>Tabela1[[#This Row],[TAG]]&amp;Tabela1[[#This Row],[PEDIDO]]&amp;Tabela1[[#This Row],[PRODUTO]]</f>
        <v>14-CV-0001P-198ESTRUTURA</v>
      </c>
      <c r="AQ604" s="22" t="str">
        <f>Tabela1[[#This Row],[PRODUTO]]&amp;Tabela1[[#This Row],[TAG]]</f>
        <v>ESTRUTURA14-CV-0001</v>
      </c>
      <c r="AR604" s="24" t="str">
        <f>Tabela1[[#This Row],[PEDIDO]]&amp;Tabela1[[#This Row],[PRODUTO]]</f>
        <v>P-198ESTRUTURA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15"/>
        <v>1065.9000000000001</v>
      </c>
      <c r="AV604" s="37">
        <f t="shared" si="116"/>
        <v>1065.9000000000001</v>
      </c>
      <c r="AW604" s="37"/>
    </row>
    <row r="605" spans="1:49" ht="15.75" customHeight="1" x14ac:dyDescent="0.25">
      <c r="A605" s="1" t="s">
        <v>2552</v>
      </c>
      <c r="B605" s="193"/>
      <c r="C605" s="195">
        <v>47</v>
      </c>
      <c r="D605" s="206" t="s">
        <v>3735</v>
      </c>
      <c r="E605" s="192" t="s">
        <v>4446</v>
      </c>
      <c r="F605" s="195" t="s">
        <v>4411</v>
      </c>
      <c r="G605" s="196">
        <v>121.38</v>
      </c>
      <c r="H605" s="34">
        <f>Tabela1[[#This Row],[PESO UNI]]*Tabela1[[#This Row],[QTE]]</f>
        <v>5704.86</v>
      </c>
      <c r="I605" s="196">
        <v>0</v>
      </c>
      <c r="J605" s="8" t="s">
        <v>2550</v>
      </c>
      <c r="K605" s="8" t="s">
        <v>4320</v>
      </c>
      <c r="L605" s="9" t="s">
        <v>2551</v>
      </c>
      <c r="M605" s="197"/>
      <c r="N605" s="203" t="s">
        <v>38</v>
      </c>
      <c r="O605" s="198"/>
      <c r="P605" s="199"/>
      <c r="Q605" s="14">
        <f>Tabela1[[#This Row],[QTDE/ Fabricação]]-Tabela1[[#This Row],[QTE]]</f>
        <v>-47</v>
      </c>
      <c r="R605" s="18">
        <f t="shared" ref="R605" si="118">IFERROR(H605*((AA605*0.25)+(AC605*0.25)+(AD605*0.225)+(AE605*0.225)+(AF605*0.05)),"")</f>
        <v>5704.86</v>
      </c>
      <c r="S605" s="158">
        <f t="shared" si="117"/>
        <v>5704.86</v>
      </c>
      <c r="T605" s="19">
        <f t="shared" ref="T605" si="119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5704.86</v>
      </c>
      <c r="Y605" s="14">
        <f t="shared" ref="Y605" si="120">U605-C605</f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0"/>
      <c r="AR605" s="158"/>
      <c r="AS605" s="158"/>
      <c r="AT605" s="158"/>
      <c r="AU605" s="158"/>
      <c r="AV605" s="158"/>
      <c r="AW605" s="158"/>
    </row>
    <row r="606" spans="1:49" ht="15.75" customHeight="1" x14ac:dyDescent="0.25">
      <c r="A606" s="1" t="s">
        <v>4513</v>
      </c>
      <c r="B606" s="21" t="s">
        <v>4514</v>
      </c>
      <c r="C606" s="1">
        <v>1</v>
      </c>
      <c r="D606" s="1" t="s">
        <v>4515</v>
      </c>
      <c r="E606" s="7">
        <v>4396</v>
      </c>
      <c r="F606" s="7">
        <v>37</v>
      </c>
      <c r="G606" s="1">
        <v>1283.7</v>
      </c>
      <c r="H606" s="34">
        <f>Tabela1[[#This Row],[PESO UNI]]*Tabela1[[#This Row],[QTE]]</f>
        <v>1283.7</v>
      </c>
      <c r="I606" s="7" t="s">
        <v>5491</v>
      </c>
      <c r="J606" s="8" t="s">
        <v>3140</v>
      </c>
      <c r="K606" s="8" t="s">
        <v>4320</v>
      </c>
      <c r="L606" s="9" t="s">
        <v>2984</v>
      </c>
      <c r="M606" s="10">
        <v>46220</v>
      </c>
      <c r="N606" s="8" t="s">
        <v>38</v>
      </c>
      <c r="O606" s="12"/>
      <c r="P606" s="13"/>
      <c r="Q606" s="14">
        <f>Tabela1[[#This Row],[QTDE/ Fabricação]]-Tabela1[[#This Row],[QTE]]</f>
        <v>-1</v>
      </c>
      <c r="R606" s="18">
        <f t="shared" ref="R606:R624" si="121">IFERROR(H606*((AA606*0.25)+(AC606*0.25)+(AD606*0.225)+(AE606*0.225)+(AF606*0.05)),"")</f>
        <v>1283.7</v>
      </c>
      <c r="S606" s="18">
        <f t="shared" si="117"/>
        <v>1283.7</v>
      </c>
      <c r="T606" s="19">
        <f t="shared" ref="T606:T624" si="122">IFERROR(S606-H606,"")</f>
        <v>0</v>
      </c>
      <c r="U606" s="16">
        <f>IFERROR(SUMIF('LISTA DE EMBARQUE'!B:B,MICRO!E:E,'LISTA DE EMBARQUE'!G:G),"")</f>
        <v>1</v>
      </c>
      <c r="V606" s="12">
        <f>IFERROR(VLOOKUP(Tabela1[[#This Row],[COD.MDE]],'LISTA DE EMBARQUE'!B:L,11,0),"")</f>
        <v>6</v>
      </c>
      <c r="W606" s="13" t="str">
        <f>IFERROR(COUNTIF(#REF!,Tabela1[[#This Row],[Colunas5]]),"")</f>
        <v/>
      </c>
      <c r="X606" s="14">
        <f>Tabela1[[#This Row],[QIANTIDADE EXPEDIDA]]*Tabela1[[#This Row],[PESO UNI]]</f>
        <v>1283.7</v>
      </c>
      <c r="Y606" s="14">
        <f t="shared" ref="Y606:Y624" si="123">U606-C606</f>
        <v>0</v>
      </c>
      <c r="Z606" s="20">
        <f>Tabela1[[#This Row],[PESO TOTAL]]-Tabela1[[#This Row],[Peso Expedido]]</f>
        <v>0</v>
      </c>
      <c r="AA606" s="17">
        <v>1</v>
      </c>
      <c r="AB606" s="33"/>
      <c r="AC606" s="17">
        <v>1</v>
      </c>
      <c r="AD606" s="17">
        <v>1</v>
      </c>
      <c r="AE606" s="17">
        <v>1</v>
      </c>
      <c r="AF606" s="17">
        <v>1</v>
      </c>
      <c r="AG606" s="17">
        <v>1</v>
      </c>
      <c r="AH606" s="17">
        <v>1</v>
      </c>
      <c r="AI606" s="33" t="s">
        <v>4412</v>
      </c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customHeight="1" x14ac:dyDescent="0.25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396.2</v>
      </c>
      <c r="H607" s="34">
        <f>Tabela1[[#This Row],[PESO UNI]]*Tabela1[[#This Row],[QTE]]</f>
        <v>396.2</v>
      </c>
      <c r="I607" s="7" t="s">
        <v>5490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21"/>
        <v>396.2</v>
      </c>
      <c r="S607" s="18">
        <f t="shared" si="117"/>
        <v>396.2</v>
      </c>
      <c r="T607" s="19">
        <f t="shared" si="122"/>
        <v>0</v>
      </c>
      <c r="U607" s="16">
        <f>IFERROR(SUMIF('LISTA DE EMBARQUE'!B:B,MICRO!E:E,'LISTA DE EMBARQUE'!G:G),"")</f>
        <v>2</v>
      </c>
      <c r="V607" s="12">
        <f>IFERROR(VLOOKUP(Tabela1[[#This Row],[COD.MDE]],'LISTA DE EMBARQUE'!B:L,11,0),"")</f>
        <v>6</v>
      </c>
      <c r="W607" s="13" t="str">
        <f>IFERROR(COUNTIF(#REF!,Tabela1[[#This Row],[Colunas5]]),"")</f>
        <v/>
      </c>
      <c r="X607" s="14">
        <f>Tabela1[[#This Row],[QIANTIDADE EXPEDIDA]]*Tabela1[[#This Row],[PESO UNI]]</f>
        <v>792.4</v>
      </c>
      <c r="Y607" s="14">
        <f t="shared" si="123"/>
        <v>1</v>
      </c>
      <c r="Z607" s="20">
        <f>Tabela1[[#This Row],[PESO TOTAL]]-Tabela1[[#This Row],[Peso Expedido]]</f>
        <v>-396.2</v>
      </c>
      <c r="AA607" s="17">
        <v>1</v>
      </c>
      <c r="AB607" s="33"/>
      <c r="AC607" s="17">
        <v>1</v>
      </c>
      <c r="AD607" s="17">
        <v>1</v>
      </c>
      <c r="AE607" s="17">
        <v>1</v>
      </c>
      <c r="AF607" s="17">
        <v>1</v>
      </c>
      <c r="AG607" s="17">
        <v>1</v>
      </c>
      <c r="AH607" s="17">
        <v>1</v>
      </c>
      <c r="AI607" s="33" t="s">
        <v>4412</v>
      </c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customHeight="1" x14ac:dyDescent="0.25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>Tabela1[[#This Row],[PESO UNI]]*Tabela1[[#This Row],[QTE]]</f>
        <v>166</v>
      </c>
      <c r="I608" s="7" t="s">
        <v>5489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21"/>
        <v>166</v>
      </c>
      <c r="S608" s="18">
        <f t="shared" si="117"/>
        <v>166</v>
      </c>
      <c r="T608" s="19">
        <f t="shared" si="122"/>
        <v>0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23"/>
        <v>-1</v>
      </c>
      <c r="Z608" s="20">
        <f>Tabela1[[#This Row],[PESO TOTAL]]-Tabela1[[#This Row],[Peso Expedido]]</f>
        <v>166</v>
      </c>
      <c r="AA608" s="17">
        <v>1</v>
      </c>
      <c r="AB608" s="33"/>
      <c r="AC608" s="33">
        <v>1</v>
      </c>
      <c r="AD608" s="33">
        <v>1</v>
      </c>
      <c r="AE608" s="33">
        <v>1</v>
      </c>
      <c r="AF608" s="33">
        <v>1</v>
      </c>
      <c r="AG608" s="33">
        <v>1</v>
      </c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customHeight="1" x14ac:dyDescent="0.25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>Tabela1[[#This Row],[PESO UNI]]*Tabela1[[#This Row],[QTE]]</f>
        <v>28.6</v>
      </c>
      <c r="I609" s="7" t="s">
        <v>5489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21"/>
        <v>12.870000000000001</v>
      </c>
      <c r="S609" s="18">
        <f t="shared" si="117"/>
        <v>0</v>
      </c>
      <c r="T609" s="19">
        <f t="shared" si="122"/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23"/>
        <v>-1</v>
      </c>
      <c r="Z609" s="20">
        <f>Tabela1[[#This Row],[PESO TOTAL]]-Tabela1[[#This Row],[Peso Expedido]]</f>
        <v>28.6</v>
      </c>
      <c r="AA609" s="17">
        <v>0.9</v>
      </c>
      <c r="AB609" s="33"/>
      <c r="AC609" s="33">
        <v>0.9</v>
      </c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customHeight="1" x14ac:dyDescent="0.25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>Tabela1[[#This Row],[PESO UNI]]*Tabela1[[#This Row],[QTE]]</f>
        <v>126.7</v>
      </c>
      <c r="I610" s="7" t="s">
        <v>5488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21"/>
        <v>126.7</v>
      </c>
      <c r="S610" s="18">
        <f t="shared" si="117"/>
        <v>126.7</v>
      </c>
      <c r="T610" s="19">
        <f t="shared" si="122"/>
        <v>0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23"/>
        <v>-1</v>
      </c>
      <c r="Z610" s="20">
        <f>Tabela1[[#This Row],[PESO TOTAL]]-Tabela1[[#This Row],[Peso Expedido]]</f>
        <v>126.7</v>
      </c>
      <c r="AA610" s="17">
        <v>1</v>
      </c>
      <c r="AB610" s="33"/>
      <c r="AC610" s="33">
        <v>1</v>
      </c>
      <c r="AD610" s="33">
        <v>1</v>
      </c>
      <c r="AE610" s="33">
        <v>1</v>
      </c>
      <c r="AF610" s="33">
        <v>1</v>
      </c>
      <c r="AG610" s="33">
        <v>1</v>
      </c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customHeight="1" x14ac:dyDescent="0.25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117.8</v>
      </c>
      <c r="H611" s="34">
        <f>Tabela1[[#This Row],[PESO UNI]]*Tabela1[[#This Row],[QTE]]</f>
        <v>117.8</v>
      </c>
      <c r="I611" s="7" t="s">
        <v>5488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21"/>
        <v>117.8</v>
      </c>
      <c r="S611" s="18">
        <f t="shared" si="117"/>
        <v>117.8</v>
      </c>
      <c r="T611" s="19">
        <f t="shared" si="122"/>
        <v>0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23"/>
        <v>-1</v>
      </c>
      <c r="Z611" s="20">
        <f>Tabela1[[#This Row],[PESO TOTAL]]-Tabela1[[#This Row],[Peso Expedido]]</f>
        <v>117.8</v>
      </c>
      <c r="AA611" s="17">
        <v>1</v>
      </c>
      <c r="AB611" s="33"/>
      <c r="AC611" s="33">
        <v>1</v>
      </c>
      <c r="AD611" s="33">
        <v>1</v>
      </c>
      <c r="AE611" s="33">
        <v>1</v>
      </c>
      <c r="AF611" s="33">
        <v>1</v>
      </c>
      <c r="AG611" s="33">
        <v>1</v>
      </c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customHeight="1" x14ac:dyDescent="0.25">
      <c r="A612" s="1" t="s">
        <v>4527</v>
      </c>
      <c r="B612" s="21" t="s">
        <v>4528</v>
      </c>
      <c r="C612" s="1">
        <v>1</v>
      </c>
      <c r="D612" s="1" t="s">
        <v>4529</v>
      </c>
      <c r="E612" s="7">
        <v>4402</v>
      </c>
      <c r="F612" s="7">
        <v>37</v>
      </c>
      <c r="G612" s="1">
        <v>100.9</v>
      </c>
      <c r="H612" s="34">
        <f>Tabela1[[#This Row],[PESO UNI]]*Tabela1[[#This Row],[QTE]]</f>
        <v>100.9</v>
      </c>
      <c r="I612" s="7" t="s">
        <v>4839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21"/>
        <v>100.9</v>
      </c>
      <c r="S612" s="18">
        <f t="shared" si="117"/>
        <v>100.9</v>
      </c>
      <c r="T612" s="19">
        <f t="shared" si="122"/>
        <v>0</v>
      </c>
      <c r="U612" s="16">
        <f>IFERROR(SUMIF('LISTA DE EMBARQUE'!B:B,MICRO!E:E,'LISTA DE EMBARQUE'!G:G),"")</f>
        <v>1</v>
      </c>
      <c r="V612" s="12">
        <f>IFERROR(VLOOKUP(Tabela1[[#This Row],[COD.MDE]],'LISTA DE EMBARQUE'!B:L,11,0),"")</f>
        <v>7</v>
      </c>
      <c r="W612" s="13" t="str">
        <f>IFERROR(COUNTIF(#REF!,Tabela1[[#This Row],[Colunas5]]),"")</f>
        <v/>
      </c>
      <c r="X612" s="14">
        <f>Tabela1[[#This Row],[QIANTIDADE EXPEDIDA]]*Tabela1[[#This Row],[PESO UNI]]</f>
        <v>100.9</v>
      </c>
      <c r="Y612" s="14">
        <f t="shared" si="123"/>
        <v>0</v>
      </c>
      <c r="Z612" s="20">
        <f>Tabela1[[#This Row],[PESO TOTAL]]-Tabela1[[#This Row],[Peso Expedido]]</f>
        <v>0</v>
      </c>
      <c r="AA612" s="17">
        <v>1</v>
      </c>
      <c r="AB612" s="33"/>
      <c r="AC612" s="33">
        <v>1</v>
      </c>
      <c r="AD612" s="33">
        <v>1</v>
      </c>
      <c r="AE612" s="33">
        <v>1</v>
      </c>
      <c r="AF612" s="33">
        <v>1</v>
      </c>
      <c r="AG612" s="33">
        <v>1</v>
      </c>
      <c r="AH612" s="33">
        <v>1</v>
      </c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customHeight="1" x14ac:dyDescent="0.25">
      <c r="A613" s="1" t="s">
        <v>4527</v>
      </c>
      <c r="B613" s="21" t="s">
        <v>4528</v>
      </c>
      <c r="C613" s="1">
        <v>2</v>
      </c>
      <c r="D613" s="1" t="s">
        <v>4530</v>
      </c>
      <c r="E613" s="7">
        <v>4403</v>
      </c>
      <c r="F613" s="7">
        <v>37</v>
      </c>
      <c r="G613" s="1">
        <v>83.4</v>
      </c>
      <c r="H613" s="34">
        <f>Tabela1[[#This Row],[PESO UNI]]*Tabela1[[#This Row],[QTE]]</f>
        <v>166.8</v>
      </c>
      <c r="I613" s="7" t="s">
        <v>4839</v>
      </c>
      <c r="J613" s="8" t="s">
        <v>3140</v>
      </c>
      <c r="K613" s="8" t="s">
        <v>4320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-2</v>
      </c>
      <c r="R613" s="18">
        <f t="shared" si="121"/>
        <v>166.8</v>
      </c>
      <c r="S613" s="18">
        <f t="shared" si="117"/>
        <v>166.8</v>
      </c>
      <c r="T613" s="19">
        <f t="shared" si="122"/>
        <v>0</v>
      </c>
      <c r="U613" s="16">
        <f>IFERROR(SUMIF('LISTA DE EMBARQUE'!B:B,MICRO!E:E,'LISTA DE EMBARQUE'!G:G),"")</f>
        <v>2</v>
      </c>
      <c r="V613" s="12">
        <f>IFERROR(VLOOKUP(Tabela1[[#This Row],[COD.MDE]],'LISTA DE EMBARQUE'!B:L,11,0),"")</f>
        <v>7</v>
      </c>
      <c r="W613" s="13" t="str">
        <f>IFERROR(COUNTIF(#REF!,Tabela1[[#This Row],[Colunas5]]),"")</f>
        <v/>
      </c>
      <c r="X613" s="14">
        <f>Tabela1[[#This Row],[QIANTIDADE EXPEDIDA]]*Tabela1[[#This Row],[PESO UNI]]</f>
        <v>166.8</v>
      </c>
      <c r="Y613" s="14">
        <f t="shared" si="123"/>
        <v>0</v>
      </c>
      <c r="Z613" s="20">
        <f>Tabela1[[#This Row],[PESO TOTAL]]-Tabela1[[#This Row],[Peso Expedido]]</f>
        <v>0</v>
      </c>
      <c r="AA613" s="17">
        <v>1</v>
      </c>
      <c r="AB613" s="33"/>
      <c r="AC613" s="33">
        <v>1</v>
      </c>
      <c r="AD613" s="33">
        <v>1</v>
      </c>
      <c r="AE613" s="33">
        <v>1</v>
      </c>
      <c r="AF613" s="33">
        <v>1</v>
      </c>
      <c r="AG613" s="33">
        <v>1</v>
      </c>
      <c r="AH613" s="33">
        <v>1</v>
      </c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customHeight="1" x14ac:dyDescent="0.25">
      <c r="A614" s="1" t="s">
        <v>4527</v>
      </c>
      <c r="B614" s="21" t="s">
        <v>4528</v>
      </c>
      <c r="C614" s="1">
        <v>1</v>
      </c>
      <c r="D614" s="1" t="s">
        <v>4531</v>
      </c>
      <c r="E614" s="7">
        <v>4404</v>
      </c>
      <c r="F614" s="7">
        <v>37</v>
      </c>
      <c r="G614" s="1">
        <v>120.2</v>
      </c>
      <c r="H614" s="34">
        <f>Tabela1[[#This Row],[PESO UNI]]*Tabela1[[#This Row],[QTE]]</f>
        <v>120.2</v>
      </c>
      <c r="I614" s="7" t="s">
        <v>4839</v>
      </c>
      <c r="J614" s="8" t="s">
        <v>3140</v>
      </c>
      <c r="K614" s="8" t="s">
        <v>4320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21"/>
        <v>120.2</v>
      </c>
      <c r="S614" s="18">
        <f t="shared" si="117"/>
        <v>120.2</v>
      </c>
      <c r="T614" s="19">
        <f t="shared" si="122"/>
        <v>0</v>
      </c>
      <c r="U614" s="16">
        <f>IFERROR(SUMIF('LISTA DE EMBARQUE'!B:B,MICRO!E:E,'LISTA DE EMBARQUE'!G:G),"")</f>
        <v>1</v>
      </c>
      <c r="V614" s="12">
        <f>IFERROR(VLOOKUP(Tabela1[[#This Row],[COD.MDE]],'LISTA DE EMBARQUE'!B:L,11,0),"")</f>
        <v>7</v>
      </c>
      <c r="W614" s="13" t="str">
        <f>IFERROR(COUNTIF(#REF!,Tabela1[[#This Row],[Colunas5]]),"")</f>
        <v/>
      </c>
      <c r="X614" s="14">
        <f>Tabela1[[#This Row],[QIANTIDADE EXPEDIDA]]*Tabela1[[#This Row],[PESO UNI]]</f>
        <v>120.2</v>
      </c>
      <c r="Y614" s="14">
        <f t="shared" si="123"/>
        <v>0</v>
      </c>
      <c r="Z614" s="20">
        <f>Tabela1[[#This Row],[PESO TOTAL]]-Tabela1[[#This Row],[Peso Expedido]]</f>
        <v>0</v>
      </c>
      <c r="AA614" s="17">
        <v>1</v>
      </c>
      <c r="AB614" s="33"/>
      <c r="AC614" s="33">
        <v>1</v>
      </c>
      <c r="AD614" s="33">
        <v>1</v>
      </c>
      <c r="AE614" s="33">
        <v>1</v>
      </c>
      <c r="AF614" s="33">
        <v>1</v>
      </c>
      <c r="AG614" s="33">
        <v>1</v>
      </c>
      <c r="AH614" s="33">
        <v>1</v>
      </c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customHeight="1" x14ac:dyDescent="0.25">
      <c r="A615" s="1" t="s">
        <v>4527</v>
      </c>
      <c r="B615" s="21" t="s">
        <v>4528</v>
      </c>
      <c r="C615" s="1">
        <v>1</v>
      </c>
      <c r="D615" s="1" t="s">
        <v>4532</v>
      </c>
      <c r="E615" s="7">
        <v>4405</v>
      </c>
      <c r="F615" s="7">
        <v>37</v>
      </c>
      <c r="G615" s="1">
        <v>63.6</v>
      </c>
      <c r="H615" s="34">
        <f>Tabela1[[#This Row],[PESO UNI]]*Tabela1[[#This Row],[QTE]]</f>
        <v>63.6</v>
      </c>
      <c r="I615" s="7" t="s">
        <v>4839</v>
      </c>
      <c r="J615" s="8" t="s">
        <v>3140</v>
      </c>
      <c r="K615" s="8" t="s">
        <v>4320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21"/>
        <v>63.6</v>
      </c>
      <c r="S615" s="18">
        <f t="shared" si="117"/>
        <v>63.6</v>
      </c>
      <c r="T615" s="19">
        <f t="shared" si="122"/>
        <v>0</v>
      </c>
      <c r="U615" s="16">
        <f>IFERROR(SUMIF('LISTA DE EMBARQUE'!B:B,MICRO!E:E,'LISTA DE EMBARQUE'!G:G),"")</f>
        <v>1</v>
      </c>
      <c r="V615" s="12">
        <f>IFERROR(VLOOKUP(Tabela1[[#This Row],[COD.MDE]],'LISTA DE EMBARQUE'!B:L,11,0),"")</f>
        <v>7</v>
      </c>
      <c r="W615" s="13" t="str">
        <f>IFERROR(COUNTIF(#REF!,Tabela1[[#This Row],[Colunas5]]),"")</f>
        <v/>
      </c>
      <c r="X615" s="14">
        <f>Tabela1[[#This Row],[QIANTIDADE EXPEDIDA]]*Tabela1[[#This Row],[PESO UNI]]</f>
        <v>63.6</v>
      </c>
      <c r="Y615" s="14">
        <f t="shared" si="123"/>
        <v>0</v>
      </c>
      <c r="Z615" s="20">
        <f>Tabela1[[#This Row],[PESO TOTAL]]-Tabela1[[#This Row],[Peso Expedido]]</f>
        <v>0</v>
      </c>
      <c r="AA615" s="17">
        <v>1</v>
      </c>
      <c r="AB615" s="33"/>
      <c r="AC615" s="33">
        <v>1</v>
      </c>
      <c r="AD615" s="33">
        <v>1</v>
      </c>
      <c r="AE615" s="33">
        <v>1</v>
      </c>
      <c r="AF615" s="33">
        <v>1</v>
      </c>
      <c r="AG615" s="33">
        <v>1</v>
      </c>
      <c r="AH615" s="33">
        <v>1</v>
      </c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customHeight="1" x14ac:dyDescent="0.25">
      <c r="A616" s="1" t="s">
        <v>4527</v>
      </c>
      <c r="B616" s="21" t="s">
        <v>4528</v>
      </c>
      <c r="C616" s="1">
        <v>1</v>
      </c>
      <c r="D616" s="1" t="s">
        <v>4533</v>
      </c>
      <c r="E616" s="7">
        <v>4406</v>
      </c>
      <c r="F616" s="7">
        <v>37</v>
      </c>
      <c r="G616" s="1">
        <v>75.8</v>
      </c>
      <c r="H616" s="34">
        <f>Tabela1[[#This Row],[PESO UNI]]*Tabela1[[#This Row],[QTE]]</f>
        <v>75.8</v>
      </c>
      <c r="I616" s="7" t="s">
        <v>4839</v>
      </c>
      <c r="J616" s="8" t="s">
        <v>3140</v>
      </c>
      <c r="K616" s="8" t="s">
        <v>4320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 t="shared" si="121"/>
        <v>75.8</v>
      </c>
      <c r="S616" s="18">
        <f t="shared" si="117"/>
        <v>75.8</v>
      </c>
      <c r="T616" s="19">
        <f t="shared" si="122"/>
        <v>0</v>
      </c>
      <c r="U616" s="16">
        <f>IFERROR(SUMIF('LISTA DE EMBARQUE'!B:B,MICRO!E:E,'LISTA DE EMBARQUE'!G:G),"")</f>
        <v>1</v>
      </c>
      <c r="V616" s="12">
        <f>IFERROR(VLOOKUP(Tabela1[[#This Row],[COD.MDE]],'LISTA DE EMBARQUE'!B:L,11,0),"")</f>
        <v>7</v>
      </c>
      <c r="W616" s="13" t="str">
        <f>IFERROR(COUNTIF(#REF!,Tabela1[[#This Row],[Colunas5]]),"")</f>
        <v/>
      </c>
      <c r="X616" s="14">
        <f>Tabela1[[#This Row],[QIANTIDADE EXPEDIDA]]*Tabela1[[#This Row],[PESO UNI]]</f>
        <v>75.8</v>
      </c>
      <c r="Y616" s="14">
        <f t="shared" si="123"/>
        <v>0</v>
      </c>
      <c r="Z616" s="20">
        <f>Tabela1[[#This Row],[PESO TOTAL]]-Tabela1[[#This Row],[Peso Expedido]]</f>
        <v>0</v>
      </c>
      <c r="AA616" s="17">
        <v>1</v>
      </c>
      <c r="AB616" s="33"/>
      <c r="AC616" s="33">
        <v>1</v>
      </c>
      <c r="AD616" s="33">
        <v>1</v>
      </c>
      <c r="AE616" s="33">
        <v>1</v>
      </c>
      <c r="AF616" s="33">
        <v>1</v>
      </c>
      <c r="AG616" s="33">
        <v>1</v>
      </c>
      <c r="AH616" s="33">
        <v>1</v>
      </c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customHeight="1" x14ac:dyDescent="0.25">
      <c r="A617" s="1" t="s">
        <v>4535</v>
      </c>
      <c r="B617" s="21" t="s">
        <v>4536</v>
      </c>
      <c r="C617" s="1">
        <v>1</v>
      </c>
      <c r="D617" s="1" t="s">
        <v>4537</v>
      </c>
      <c r="E617" s="7">
        <v>4407</v>
      </c>
      <c r="F617" s="7">
        <v>38</v>
      </c>
      <c r="G617" s="1">
        <v>761.9</v>
      </c>
      <c r="H617" s="34">
        <f>Tabela1[[#This Row],[PESO UNI]]*Tabela1[[#This Row],[QTE]]</f>
        <v>761.9</v>
      </c>
      <c r="I617" s="7" t="s">
        <v>5492</v>
      </c>
      <c r="J617" s="8" t="s">
        <v>3140</v>
      </c>
      <c r="K617" s="8" t="s">
        <v>4320</v>
      </c>
      <c r="L617" s="9" t="s">
        <v>2984</v>
      </c>
      <c r="M617" s="10">
        <v>46223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21"/>
        <v>761.9</v>
      </c>
      <c r="S617" s="18">
        <f t="shared" si="117"/>
        <v>761.9</v>
      </c>
      <c r="T617" s="19">
        <f t="shared" si="122"/>
        <v>0</v>
      </c>
      <c r="U617" s="16">
        <f>IFERROR(SUMIF('LISTA DE EMBARQUE'!B:B,MICRO!E:E,'LISTA DE EMBARQUE'!G:G),"")</f>
        <v>1</v>
      </c>
      <c r="V617" s="12">
        <f>IFERROR(VLOOKUP(Tabela1[[#This Row],[COD.MDE]],'LISTA DE EMBARQUE'!B:L,11,0),"")</f>
        <v>6</v>
      </c>
      <c r="W617" s="13" t="str">
        <f>IFERROR(COUNTIF(#REF!,Tabela1[[#This Row],[Colunas5]]),"")</f>
        <v/>
      </c>
      <c r="X617" s="14">
        <f>Tabela1[[#This Row],[QIANTIDADE EXPEDIDA]]*Tabela1[[#This Row],[PESO UNI]]</f>
        <v>761.9</v>
      </c>
      <c r="Y617" s="14">
        <f t="shared" si="123"/>
        <v>0</v>
      </c>
      <c r="Z617" s="20">
        <f>Tabela1[[#This Row],[PESO TOTAL]]-Tabela1[[#This Row],[Peso Expedido]]</f>
        <v>0</v>
      </c>
      <c r="AA617" s="17">
        <v>1</v>
      </c>
      <c r="AB617" s="33"/>
      <c r="AC617" s="17">
        <v>1</v>
      </c>
      <c r="AD617" s="17">
        <v>1</v>
      </c>
      <c r="AE617" s="17">
        <v>1</v>
      </c>
      <c r="AF617" s="17">
        <v>1</v>
      </c>
      <c r="AG617" s="17">
        <v>1</v>
      </c>
      <c r="AH617" s="17">
        <v>1</v>
      </c>
      <c r="AI617" s="33" t="s">
        <v>4412</v>
      </c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customHeight="1" x14ac:dyDescent="0.25">
      <c r="A618" s="1" t="s">
        <v>4535</v>
      </c>
      <c r="B618" s="21" t="s">
        <v>4536</v>
      </c>
      <c r="C618" s="1">
        <v>2</v>
      </c>
      <c r="D618" s="1" t="s">
        <v>4538</v>
      </c>
      <c r="E618" s="7">
        <v>4408</v>
      </c>
      <c r="F618" s="7">
        <v>38</v>
      </c>
      <c r="G618" s="1">
        <v>85.1</v>
      </c>
      <c r="H618" s="34">
        <f>Tabela1[[#This Row],[PESO UNI]]*Tabela1[[#This Row],[QTE]]</f>
        <v>170.2</v>
      </c>
      <c r="I618" s="7" t="s">
        <v>5492</v>
      </c>
      <c r="J618" s="8" t="s">
        <v>3140</v>
      </c>
      <c r="K618" s="8" t="s">
        <v>4320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-2</v>
      </c>
      <c r="R618" s="18">
        <f t="shared" si="121"/>
        <v>170.2</v>
      </c>
      <c r="S618" s="18">
        <f t="shared" si="117"/>
        <v>170.2</v>
      </c>
      <c r="T618" s="19">
        <f t="shared" si="122"/>
        <v>0</v>
      </c>
      <c r="U618" s="16">
        <f>IFERROR(SUMIF('LISTA DE EMBARQUE'!B:B,MICRO!E:E,'LISTA DE EMBARQUE'!G:G),"")</f>
        <v>2</v>
      </c>
      <c r="V618" s="12">
        <f>IFERROR(VLOOKUP(Tabela1[[#This Row],[COD.MDE]],'LISTA DE EMBARQUE'!B:L,11,0),"")</f>
        <v>6</v>
      </c>
      <c r="W618" s="13" t="str">
        <f>IFERROR(COUNTIF(#REF!,Tabela1[[#This Row],[Colunas5]]),"")</f>
        <v/>
      </c>
      <c r="X618" s="14">
        <f>Tabela1[[#This Row],[QIANTIDADE EXPEDIDA]]*Tabela1[[#This Row],[PESO UNI]]</f>
        <v>170.2</v>
      </c>
      <c r="Y618" s="14">
        <f t="shared" si="123"/>
        <v>0</v>
      </c>
      <c r="Z618" s="20">
        <f>Tabela1[[#This Row],[PESO TOTAL]]-Tabela1[[#This Row],[Peso Expedido]]</f>
        <v>0</v>
      </c>
      <c r="AA618" s="17">
        <v>1</v>
      </c>
      <c r="AB618" s="33"/>
      <c r="AC618" s="17">
        <v>1</v>
      </c>
      <c r="AD618" s="17">
        <v>1</v>
      </c>
      <c r="AE618" s="17">
        <v>1</v>
      </c>
      <c r="AF618" s="17">
        <v>1</v>
      </c>
      <c r="AG618" s="17">
        <v>1</v>
      </c>
      <c r="AH618" s="17">
        <v>1</v>
      </c>
      <c r="AI618" s="33" t="s">
        <v>4412</v>
      </c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customHeight="1" x14ac:dyDescent="0.25">
      <c r="A619" s="1" t="s">
        <v>4535</v>
      </c>
      <c r="B619" s="21" t="s">
        <v>4536</v>
      </c>
      <c r="C619" s="1">
        <v>2</v>
      </c>
      <c r="D619" s="1" t="s">
        <v>4539</v>
      </c>
      <c r="E619" s="7">
        <v>4409</v>
      </c>
      <c r="F619" s="7">
        <v>38</v>
      </c>
      <c r="G619" s="1">
        <v>51.8</v>
      </c>
      <c r="H619" s="34">
        <f>Tabela1[[#This Row],[PESO UNI]]*Tabela1[[#This Row],[QTE]]</f>
        <v>103.6</v>
      </c>
      <c r="I619" s="7" t="s">
        <v>5492</v>
      </c>
      <c r="J619" s="8" t="s">
        <v>3140</v>
      </c>
      <c r="K619" s="8" t="s">
        <v>4320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 t="shared" si="121"/>
        <v>103.6</v>
      </c>
      <c r="S619" s="18">
        <f t="shared" si="117"/>
        <v>103.6</v>
      </c>
      <c r="T619" s="19">
        <f t="shared" si="122"/>
        <v>0</v>
      </c>
      <c r="U619" s="16">
        <f>IFERROR(SUMIF('LISTA DE EMBARQUE'!B:B,MICRO!E:E,'LISTA DE EMBARQUE'!G:G),"")</f>
        <v>2</v>
      </c>
      <c r="V619" s="12">
        <f>IFERROR(VLOOKUP(Tabela1[[#This Row],[COD.MDE]],'LISTA DE EMBARQUE'!B:L,11,0),"")</f>
        <v>7</v>
      </c>
      <c r="W619" s="13" t="str">
        <f>IFERROR(COUNTIF(#REF!,Tabela1[[#This Row],[Colunas5]]),"")</f>
        <v/>
      </c>
      <c r="X619" s="14">
        <f>Tabela1[[#This Row],[QIANTIDADE EXPEDIDA]]*Tabela1[[#This Row],[PESO UNI]]</f>
        <v>103.6</v>
      </c>
      <c r="Y619" s="14">
        <f t="shared" si="123"/>
        <v>0</v>
      </c>
      <c r="Z619" s="20">
        <f>Tabela1[[#This Row],[PESO TOTAL]]-Tabela1[[#This Row],[Peso Expedido]]</f>
        <v>0</v>
      </c>
      <c r="AA619" s="17">
        <v>1</v>
      </c>
      <c r="AB619" s="33"/>
      <c r="AC619" s="33">
        <v>1</v>
      </c>
      <c r="AD619" s="33">
        <v>1</v>
      </c>
      <c r="AE619" s="33">
        <v>1</v>
      </c>
      <c r="AF619" s="33">
        <v>1</v>
      </c>
      <c r="AG619" s="33">
        <v>1</v>
      </c>
      <c r="AH619" s="33">
        <v>1</v>
      </c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customHeight="1" x14ac:dyDescent="0.25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>Tabela1[[#This Row],[PESO UNI]]*Tabela1[[#This Row],[QTE]]</f>
        <v>5.4</v>
      </c>
      <c r="I620" s="7" t="s">
        <v>5492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21"/>
        <v>5.4</v>
      </c>
      <c r="S620" s="18">
        <f t="shared" si="117"/>
        <v>5.4</v>
      </c>
      <c r="T620" s="19">
        <f t="shared" si="122"/>
        <v>0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23"/>
        <v>-2</v>
      </c>
      <c r="Z620" s="20">
        <f>Tabela1[[#This Row],[PESO TOTAL]]-Tabela1[[#This Row],[Peso Expedido]]</f>
        <v>5.4</v>
      </c>
      <c r="AA620" s="17">
        <v>1</v>
      </c>
      <c r="AB620" s="33"/>
      <c r="AC620" s="33">
        <v>1</v>
      </c>
      <c r="AD620" s="33">
        <v>1</v>
      </c>
      <c r="AE620" s="33">
        <v>1</v>
      </c>
      <c r="AF620" s="33">
        <v>1</v>
      </c>
      <c r="AG620" s="33">
        <v>1</v>
      </c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customHeight="1" x14ac:dyDescent="0.25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>Tabela1[[#This Row],[PESO UNI]]*Tabela1[[#This Row],[QTE]]</f>
        <v>1.5</v>
      </c>
      <c r="I621" s="7" t="s">
        <v>5492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21"/>
        <v>0.71249999999999991</v>
      </c>
      <c r="S621" s="18">
        <f t="shared" si="117"/>
        <v>0</v>
      </c>
      <c r="T621" s="19">
        <f t="shared" si="122"/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23"/>
        <v>-2</v>
      </c>
      <c r="Z621" s="20">
        <f>Tabela1[[#This Row],[PESO TOTAL]]-Tabela1[[#This Row],[Peso Expedido]]</f>
        <v>1.5</v>
      </c>
      <c r="AA621" s="17">
        <v>1</v>
      </c>
      <c r="AB621" s="33"/>
      <c r="AC621" s="33">
        <v>0.9</v>
      </c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customHeight="1" x14ac:dyDescent="0.25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>Tabela1[[#This Row],[PESO UNI]]*Tabela1[[#This Row],[QTE]]</f>
        <v>1.6</v>
      </c>
      <c r="I622" s="7" t="s">
        <v>5492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21"/>
        <v>1.6</v>
      </c>
      <c r="S622" s="18">
        <f t="shared" si="117"/>
        <v>1.6</v>
      </c>
      <c r="T622" s="19">
        <f t="shared" si="122"/>
        <v>0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23"/>
        <v>-2</v>
      </c>
      <c r="Z622" s="20">
        <f>Tabela1[[#This Row],[PESO TOTAL]]-Tabela1[[#This Row],[Peso Expedido]]</f>
        <v>1.6</v>
      </c>
      <c r="AA622" s="17">
        <v>1</v>
      </c>
      <c r="AB622" s="33"/>
      <c r="AC622" s="33">
        <v>1</v>
      </c>
      <c r="AD622" s="33">
        <v>1</v>
      </c>
      <c r="AE622" s="33">
        <v>1</v>
      </c>
      <c r="AF622" s="33">
        <v>1</v>
      </c>
      <c r="AG622" s="33">
        <v>1</v>
      </c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customHeight="1" x14ac:dyDescent="0.25">
      <c r="A623" s="1" t="s">
        <v>4543</v>
      </c>
      <c r="B623" s="21" t="s">
        <v>4544</v>
      </c>
      <c r="C623" s="1">
        <v>1</v>
      </c>
      <c r="D623" s="1" t="s">
        <v>4545</v>
      </c>
      <c r="E623" s="7">
        <v>4413</v>
      </c>
      <c r="F623" s="7">
        <v>39</v>
      </c>
      <c r="G623" s="1">
        <v>527.5</v>
      </c>
      <c r="H623" s="34">
        <f>Tabela1[[#This Row],[PESO UNI]]*Tabela1[[#This Row],[QTE]]</f>
        <v>527.5</v>
      </c>
      <c r="I623" s="7" t="s">
        <v>4865</v>
      </c>
      <c r="J623" s="8" t="s">
        <v>3045</v>
      </c>
      <c r="K623" s="8" t="s">
        <v>4320</v>
      </c>
      <c r="L623" s="9" t="s">
        <v>2984</v>
      </c>
      <c r="M623" s="10">
        <v>46224</v>
      </c>
      <c r="N623" s="8" t="s">
        <v>38</v>
      </c>
      <c r="O623" s="12"/>
      <c r="P623" s="13"/>
      <c r="Q623" s="14">
        <f>Tabela1[[#This Row],[QTDE/ Fabricação]]-Tabela1[[#This Row],[QTE]]</f>
        <v>-1</v>
      </c>
      <c r="R623" s="18">
        <f t="shared" si="121"/>
        <v>527.5</v>
      </c>
      <c r="S623" s="18">
        <f t="shared" si="117"/>
        <v>527.5</v>
      </c>
      <c r="T623" s="19">
        <f t="shared" si="122"/>
        <v>0</v>
      </c>
      <c r="U623" s="16">
        <f>IFERROR(SUMIF('LISTA DE EMBARQUE'!B:B,MICRO!E:E,'LISTA DE EMBARQUE'!G:G),"")</f>
        <v>1</v>
      </c>
      <c r="V623" s="12">
        <f>IFERROR(VLOOKUP(Tabela1[[#This Row],[COD.MDE]],'LISTA DE EMBARQUE'!B:L,11,0),"")</f>
        <v>5</v>
      </c>
      <c r="W623" s="13" t="str">
        <f>IFERROR(COUNTIF(#REF!,Tabela1[[#This Row],[Colunas5]]),"")</f>
        <v/>
      </c>
      <c r="X623" s="14">
        <f>Tabela1[[#This Row],[QIANTIDADE EXPEDIDA]]*Tabela1[[#This Row],[PESO UNI]]</f>
        <v>527.5</v>
      </c>
      <c r="Y623" s="14">
        <f t="shared" si="123"/>
        <v>0</v>
      </c>
      <c r="Z623" s="20">
        <f>Tabela1[[#This Row],[PESO TOTAL]]-Tabela1[[#This Row],[Peso Expedido]]</f>
        <v>0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>
        <v>1</v>
      </c>
      <c r="AG623" s="33">
        <v>1</v>
      </c>
      <c r="AH623" s="33">
        <v>1</v>
      </c>
      <c r="AI623" s="33" t="str">
        <f>IF(Z623&lt;=0,"ok","")</f>
        <v>ok</v>
      </c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customHeight="1" x14ac:dyDescent="0.25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>Tabela1[[#This Row],[QTDE/ Fabricação]]-Tabela1[[#This Row],[QTE]]</f>
        <v>-30</v>
      </c>
      <c r="R624" s="18">
        <f t="shared" si="121"/>
        <v>345</v>
      </c>
      <c r="S624" s="18">
        <f t="shared" si="117"/>
        <v>345</v>
      </c>
      <c r="T624" s="19">
        <f t="shared" si="122"/>
        <v>0</v>
      </c>
      <c r="U624" s="16">
        <v>30</v>
      </c>
      <c r="V624" s="12">
        <v>1</v>
      </c>
      <c r="W624" s="13" t="str">
        <f>IFERROR(COUNTIF(#REF!,Tabela1[[#This Row],[Colunas5]]),"")</f>
        <v/>
      </c>
      <c r="X624" s="14">
        <f>Tabela1[[#This Row],[QIANTIDADE EXPEDIDA]]*Tabela1[[#This Row],[PESO UNI]]</f>
        <v>345</v>
      </c>
      <c r="Y624" s="14">
        <f t="shared" si="123"/>
        <v>0</v>
      </c>
      <c r="Z624" s="20">
        <f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customHeight="1" x14ac:dyDescent="0.25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ref="R625:R626" si="124">IFERROR(H625*((AA625*0.25)+(AC625*0.25)+(AD625*0.225)+(AE625*0.225)+(AF625*0.05)),"")</f>
        <v>4.78</v>
      </c>
      <c r="S625" s="18">
        <f t="shared" ref="S625:S626" si="125">IFERROR(H625*AG625,"")</f>
        <v>4.78</v>
      </c>
      <c r="T625" s="19">
        <f t="shared" ref="T625:T626" si="126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>IFERROR(COUNTIF(#REF!,Tabela1[[#This Row],[Colunas5]]),"")</f>
        <v/>
      </c>
      <c r="X625" s="14">
        <f>Tabela1[[#This Row],[QIANTIDADE EXPEDIDA]]*Tabela1[[#This Row],[PESO UNI]]</f>
        <v>4.78</v>
      </c>
      <c r="Y625" s="14">
        <f t="shared" ref="Y625:Y626" si="127">U625-C625</f>
        <v>0</v>
      </c>
      <c r="Z625" s="20">
        <f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si="124"/>
        <v>4.78</v>
      </c>
      <c r="S626" s="18">
        <f t="shared" si="125"/>
        <v>4.78</v>
      </c>
      <c r="T626" s="19">
        <f t="shared" si="126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si="127"/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customHeight="1" x14ac:dyDescent="0.25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>Tabela1[[#This Row],[QTDE/ Fabricação]]-Tabela1[[#This Row],[QTE]]</f>
        <v>-16</v>
      </c>
      <c r="R627" s="18">
        <f t="shared" ref="R627:R690" si="128">IFERROR(H627*((AA627*0.25)+(AC627*0.25)+(AD627*0.225)+(AE627*0.225)+(AF627*0.05)),"")</f>
        <v>19.2</v>
      </c>
      <c r="S627" s="18">
        <f t="shared" ref="S627:S690" si="129">IFERROR(H627*AG627,"")</f>
        <v>19.2</v>
      </c>
      <c r="T627" s="19">
        <f t="shared" ref="T627:T690" si="130">IFERROR(S627-H627,"")</f>
        <v>0</v>
      </c>
      <c r="U627" s="16">
        <f>IFERROR(SUMIF('LISTA DE EMBARQUE'!B:B,MICRO!E:E,'LISTA DE EMBARQUE'!G:G),"")</f>
        <v>16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19.2</v>
      </c>
      <c r="Y627" s="14">
        <f t="shared" ref="Y627:Y690" si="131">U627-C627</f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customHeight="1" x14ac:dyDescent="0.25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-8</v>
      </c>
      <c r="R628" s="18">
        <f t="shared" si="128"/>
        <v>14.4</v>
      </c>
      <c r="S628" s="18">
        <f t="shared" si="129"/>
        <v>14.4</v>
      </c>
      <c r="T628" s="19">
        <f t="shared" si="130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14.4</v>
      </c>
      <c r="Y628" s="14">
        <f t="shared" si="131"/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customHeight="1" x14ac:dyDescent="0.25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-7</v>
      </c>
      <c r="R629" s="18">
        <f t="shared" si="128"/>
        <v>14.700000000000001</v>
      </c>
      <c r="S629" s="18">
        <f t="shared" si="129"/>
        <v>14.700000000000001</v>
      </c>
      <c r="T629" s="19">
        <f t="shared" si="130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14.700000000000001</v>
      </c>
      <c r="Y629" s="14">
        <f t="shared" si="131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customHeight="1" x14ac:dyDescent="0.25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-3</v>
      </c>
      <c r="R630" s="18">
        <f t="shared" si="128"/>
        <v>0.15000000000000002</v>
      </c>
      <c r="S630" s="18">
        <f t="shared" si="129"/>
        <v>0.15000000000000002</v>
      </c>
      <c r="T630" s="19">
        <f t="shared" si="130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0.15000000000000002</v>
      </c>
      <c r="Y630" s="14">
        <f t="shared" si="131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customHeight="1" x14ac:dyDescent="0.25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28"/>
        <v>0.06</v>
      </c>
      <c r="S631" s="18">
        <f t="shared" si="129"/>
        <v>0.06</v>
      </c>
      <c r="T631" s="19">
        <f t="shared" si="130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0.06</v>
      </c>
      <c r="Y631" s="14">
        <f t="shared" si="131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customHeight="1" x14ac:dyDescent="0.25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-2</v>
      </c>
      <c r="R632" s="18">
        <f t="shared" si="128"/>
        <v>1.6</v>
      </c>
      <c r="S632" s="18">
        <f t="shared" si="129"/>
        <v>1.6</v>
      </c>
      <c r="T632" s="19">
        <f t="shared" si="130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1.6</v>
      </c>
      <c r="Y632" s="14">
        <f t="shared" si="131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customHeight="1" x14ac:dyDescent="0.25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-6</v>
      </c>
      <c r="R633" s="18">
        <f t="shared" si="128"/>
        <v>0.24</v>
      </c>
      <c r="S633" s="18">
        <f t="shared" si="129"/>
        <v>0.24</v>
      </c>
      <c r="T633" s="19">
        <f t="shared" si="130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0.24</v>
      </c>
      <c r="Y633" s="14">
        <f t="shared" si="131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customHeight="1" x14ac:dyDescent="0.25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-2</v>
      </c>
      <c r="R634" s="18">
        <f t="shared" si="128"/>
        <v>0.1</v>
      </c>
      <c r="S634" s="18">
        <f t="shared" si="129"/>
        <v>0.1</v>
      </c>
      <c r="T634" s="19">
        <f t="shared" si="130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0.1</v>
      </c>
      <c r="Y634" s="14">
        <f t="shared" si="131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customHeight="1" x14ac:dyDescent="0.25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-6</v>
      </c>
      <c r="R635" s="18">
        <f t="shared" si="128"/>
        <v>0.18</v>
      </c>
      <c r="S635" s="18">
        <f t="shared" si="129"/>
        <v>0.18</v>
      </c>
      <c r="T635" s="19">
        <f t="shared" si="130"/>
        <v>0</v>
      </c>
      <c r="U635" s="16">
        <f>IFERROR(SUMIF('LISTA DE EMBARQUE'!B:B,MICRO!E:E,'LISTA DE EMBARQUE'!G:G),"")</f>
        <v>6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0.18</v>
      </c>
      <c r="Y635" s="14">
        <f t="shared" si="131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customHeight="1" x14ac:dyDescent="0.25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-2</v>
      </c>
      <c r="R636" s="18">
        <f t="shared" si="128"/>
        <v>0.1</v>
      </c>
      <c r="S636" s="18">
        <f t="shared" si="129"/>
        <v>0.1</v>
      </c>
      <c r="T636" s="19">
        <f t="shared" si="130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</v>
      </c>
      <c r="Y636" s="14">
        <f t="shared" si="131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customHeight="1" x14ac:dyDescent="0.25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28"/>
        <v>0.16</v>
      </c>
      <c r="S637" s="18">
        <f t="shared" si="129"/>
        <v>0.16</v>
      </c>
      <c r="T637" s="19">
        <f t="shared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0.16</v>
      </c>
      <c r="Y637" s="14">
        <f t="shared" si="131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customHeight="1" x14ac:dyDescent="0.25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-4</v>
      </c>
      <c r="R638" s="18">
        <f t="shared" si="128"/>
        <v>0.12</v>
      </c>
      <c r="S638" s="18">
        <f t="shared" si="129"/>
        <v>0.12</v>
      </c>
      <c r="T638" s="19">
        <f t="shared" si="130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0.12</v>
      </c>
      <c r="Y638" s="14">
        <f t="shared" si="131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customHeight="1" x14ac:dyDescent="0.25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-2</v>
      </c>
      <c r="R639" s="18">
        <f t="shared" si="128"/>
        <v>0.1</v>
      </c>
      <c r="S639" s="18">
        <f t="shared" si="129"/>
        <v>0.1</v>
      </c>
      <c r="T639" s="19">
        <f t="shared" si="130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31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customHeight="1" x14ac:dyDescent="0.25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-3</v>
      </c>
      <c r="R640" s="18">
        <f t="shared" si="128"/>
        <v>0.24</v>
      </c>
      <c r="S640" s="18">
        <f t="shared" si="129"/>
        <v>0.24</v>
      </c>
      <c r="T640" s="19">
        <f t="shared" si="130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0.24</v>
      </c>
      <c r="Y640" s="14">
        <f t="shared" si="131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customHeight="1" x14ac:dyDescent="0.25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-5</v>
      </c>
      <c r="R641" s="18">
        <f t="shared" si="128"/>
        <v>0.15</v>
      </c>
      <c r="S641" s="18">
        <f t="shared" si="129"/>
        <v>0.15</v>
      </c>
      <c r="T641" s="19">
        <f t="shared" si="130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0.15</v>
      </c>
      <c r="Y641" s="14">
        <f t="shared" si="131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customHeight="1" x14ac:dyDescent="0.25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-7</v>
      </c>
      <c r="R642" s="18">
        <f t="shared" si="128"/>
        <v>0.14000000000000001</v>
      </c>
      <c r="S642" s="18">
        <f t="shared" si="129"/>
        <v>0.14000000000000001</v>
      </c>
      <c r="T642" s="19">
        <f t="shared" si="130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0.14000000000000001</v>
      </c>
      <c r="Y642" s="14">
        <f t="shared" si="131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customHeight="1" x14ac:dyDescent="0.25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-32</v>
      </c>
      <c r="R643" s="18">
        <f t="shared" si="128"/>
        <v>0.64</v>
      </c>
      <c r="S643" s="18">
        <f t="shared" si="129"/>
        <v>0.64</v>
      </c>
      <c r="T643" s="19">
        <f t="shared" si="130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0.64</v>
      </c>
      <c r="Y643" s="14">
        <f t="shared" si="131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customHeight="1" x14ac:dyDescent="0.25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-16</v>
      </c>
      <c r="R644" s="18">
        <f t="shared" si="128"/>
        <v>0.64</v>
      </c>
      <c r="S644" s="18">
        <f t="shared" si="129"/>
        <v>0.64</v>
      </c>
      <c r="T644" s="19">
        <f t="shared" si="130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31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customHeight="1" x14ac:dyDescent="0.25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-14</v>
      </c>
      <c r="R645" s="18">
        <f t="shared" si="128"/>
        <v>0.84</v>
      </c>
      <c r="S645" s="18">
        <f t="shared" si="129"/>
        <v>0.84</v>
      </c>
      <c r="T645" s="19">
        <f t="shared" si="130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0.84</v>
      </c>
      <c r="Y645" s="14">
        <f t="shared" si="131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customHeight="1" x14ac:dyDescent="0.25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-16</v>
      </c>
      <c r="R646" s="18">
        <f t="shared" si="128"/>
        <v>19.2</v>
      </c>
      <c r="S646" s="18">
        <f t="shared" si="129"/>
        <v>19.2</v>
      </c>
      <c r="T646" s="19">
        <f t="shared" si="130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19.2</v>
      </c>
      <c r="Y646" s="14">
        <f t="shared" si="131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customHeight="1" x14ac:dyDescent="0.25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-8</v>
      </c>
      <c r="R647" s="18">
        <f t="shared" si="128"/>
        <v>14.4</v>
      </c>
      <c r="S647" s="18">
        <f t="shared" si="129"/>
        <v>14.4</v>
      </c>
      <c r="T647" s="19">
        <f t="shared" si="130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14.4</v>
      </c>
      <c r="Y647" s="14">
        <f t="shared" si="131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customHeight="1" x14ac:dyDescent="0.25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-7</v>
      </c>
      <c r="R648" s="18">
        <f t="shared" si="128"/>
        <v>14.700000000000001</v>
      </c>
      <c r="S648" s="18">
        <f t="shared" si="129"/>
        <v>14.700000000000001</v>
      </c>
      <c r="T648" s="19">
        <f t="shared" si="130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14.700000000000001</v>
      </c>
      <c r="Y648" s="14">
        <f t="shared" si="131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customHeight="1" x14ac:dyDescent="0.25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-3</v>
      </c>
      <c r="R649" s="18">
        <f t="shared" si="128"/>
        <v>0.15000000000000002</v>
      </c>
      <c r="S649" s="18">
        <f t="shared" si="129"/>
        <v>0.15000000000000002</v>
      </c>
      <c r="T649" s="19">
        <f t="shared" si="130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0.15000000000000002</v>
      </c>
      <c r="Y649" s="14">
        <f t="shared" si="131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customHeight="1" x14ac:dyDescent="0.25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28"/>
        <v>0.06</v>
      </c>
      <c r="S650" s="18">
        <f t="shared" si="129"/>
        <v>0.06</v>
      </c>
      <c r="T650" s="19">
        <f t="shared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0.06</v>
      </c>
      <c r="Y650" s="14">
        <f t="shared" si="131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customHeight="1" x14ac:dyDescent="0.25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-2</v>
      </c>
      <c r="R651" s="18">
        <f t="shared" si="128"/>
        <v>1.6</v>
      </c>
      <c r="S651" s="18">
        <f t="shared" si="129"/>
        <v>1.6</v>
      </c>
      <c r="T651" s="19">
        <f t="shared" si="130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1.6</v>
      </c>
      <c r="Y651" s="14">
        <f t="shared" si="131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customHeight="1" x14ac:dyDescent="0.25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-6</v>
      </c>
      <c r="R652" s="18">
        <f t="shared" si="128"/>
        <v>0.24</v>
      </c>
      <c r="S652" s="18">
        <f t="shared" si="129"/>
        <v>0.24</v>
      </c>
      <c r="T652" s="19">
        <f t="shared" si="130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0.24</v>
      </c>
      <c r="Y652" s="14">
        <f t="shared" si="131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customHeight="1" x14ac:dyDescent="0.25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-2</v>
      </c>
      <c r="R653" s="18">
        <f t="shared" si="128"/>
        <v>0.1</v>
      </c>
      <c r="S653" s="18">
        <f t="shared" si="129"/>
        <v>0.1</v>
      </c>
      <c r="T653" s="19">
        <f t="shared" si="130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0.1</v>
      </c>
      <c r="Y653" s="14">
        <f t="shared" si="131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customHeight="1" x14ac:dyDescent="0.25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-6</v>
      </c>
      <c r="R654" s="18">
        <f t="shared" si="128"/>
        <v>0.18</v>
      </c>
      <c r="S654" s="18">
        <f t="shared" si="129"/>
        <v>0.18</v>
      </c>
      <c r="T654" s="19">
        <f t="shared" si="130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0.18</v>
      </c>
      <c r="Y654" s="14">
        <f t="shared" si="131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customHeight="1" x14ac:dyDescent="0.25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-2</v>
      </c>
      <c r="R655" s="18">
        <f t="shared" si="128"/>
        <v>0.1</v>
      </c>
      <c r="S655" s="18">
        <f t="shared" si="129"/>
        <v>0.1</v>
      </c>
      <c r="T655" s="19">
        <f t="shared" si="130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</v>
      </c>
      <c r="Y655" s="14">
        <f t="shared" si="131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customHeight="1" x14ac:dyDescent="0.25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28"/>
        <v>0.16</v>
      </c>
      <c r="S656" s="18">
        <f t="shared" si="129"/>
        <v>0.16</v>
      </c>
      <c r="T656" s="19">
        <f t="shared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0.16</v>
      </c>
      <c r="Y656" s="14">
        <f t="shared" si="131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customHeight="1" x14ac:dyDescent="0.25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-4</v>
      </c>
      <c r="R657" s="18">
        <f t="shared" si="128"/>
        <v>0.12</v>
      </c>
      <c r="S657" s="18">
        <f t="shared" si="129"/>
        <v>0.12</v>
      </c>
      <c r="T657" s="19">
        <f t="shared" si="130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0.12</v>
      </c>
      <c r="Y657" s="14">
        <f t="shared" si="131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customHeight="1" x14ac:dyDescent="0.25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-2</v>
      </c>
      <c r="R658" s="18">
        <f t="shared" si="128"/>
        <v>0.1</v>
      </c>
      <c r="S658" s="18">
        <f t="shared" si="129"/>
        <v>0.1</v>
      </c>
      <c r="T658" s="19">
        <f t="shared" si="130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31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customHeight="1" x14ac:dyDescent="0.25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-3</v>
      </c>
      <c r="R659" s="18">
        <f t="shared" si="128"/>
        <v>0.24</v>
      </c>
      <c r="S659" s="18">
        <f t="shared" si="129"/>
        <v>0.24</v>
      </c>
      <c r="T659" s="19">
        <f t="shared" si="130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0.24</v>
      </c>
      <c r="Y659" s="14">
        <f t="shared" si="131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customHeight="1" x14ac:dyDescent="0.25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-5</v>
      </c>
      <c r="R660" s="18">
        <f t="shared" si="128"/>
        <v>0.15</v>
      </c>
      <c r="S660" s="18">
        <f t="shared" si="129"/>
        <v>0.15</v>
      </c>
      <c r="T660" s="19">
        <f t="shared" si="130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0.15</v>
      </c>
      <c r="Y660" s="14">
        <f t="shared" si="131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customHeight="1" x14ac:dyDescent="0.25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-7</v>
      </c>
      <c r="R661" s="18">
        <f t="shared" si="128"/>
        <v>0.14000000000000001</v>
      </c>
      <c r="S661" s="18">
        <f t="shared" si="129"/>
        <v>0.14000000000000001</v>
      </c>
      <c r="T661" s="19">
        <f t="shared" si="130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0.14000000000000001</v>
      </c>
      <c r="Y661" s="14">
        <f t="shared" si="131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customHeight="1" x14ac:dyDescent="0.25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-32</v>
      </c>
      <c r="R662" s="18">
        <f t="shared" si="128"/>
        <v>0.64</v>
      </c>
      <c r="S662" s="18">
        <f t="shared" si="129"/>
        <v>0.64</v>
      </c>
      <c r="T662" s="19">
        <f t="shared" si="130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0.64</v>
      </c>
      <c r="Y662" s="14">
        <f t="shared" si="131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customHeight="1" x14ac:dyDescent="0.25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-16</v>
      </c>
      <c r="R663" s="18">
        <f t="shared" si="128"/>
        <v>0.64</v>
      </c>
      <c r="S663" s="18">
        <f t="shared" si="129"/>
        <v>0.64</v>
      </c>
      <c r="T663" s="19">
        <f t="shared" si="130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31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customHeight="1" x14ac:dyDescent="0.25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-14</v>
      </c>
      <c r="R664" s="18">
        <f t="shared" si="128"/>
        <v>0.84</v>
      </c>
      <c r="S664" s="18">
        <f t="shared" si="129"/>
        <v>0.84</v>
      </c>
      <c r="T664" s="19">
        <f t="shared" si="130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0.84</v>
      </c>
      <c r="Y664" s="14">
        <f t="shared" si="131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customHeight="1" x14ac:dyDescent="0.25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-130</v>
      </c>
      <c r="R665" s="18">
        <f t="shared" si="128"/>
        <v>45.5</v>
      </c>
      <c r="S665" s="18">
        <f t="shared" si="129"/>
        <v>45.5</v>
      </c>
      <c r="T665" s="19">
        <f t="shared" si="130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45.5</v>
      </c>
      <c r="Y665" s="14">
        <f t="shared" si="131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customHeight="1" x14ac:dyDescent="0.25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-250</v>
      </c>
      <c r="R666" s="18">
        <f t="shared" si="128"/>
        <v>0</v>
      </c>
      <c r="S666" s="18">
        <f t="shared" si="129"/>
        <v>0</v>
      </c>
      <c r="T666" s="19">
        <f t="shared" si="130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31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customHeight="1" x14ac:dyDescent="0.25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-5</v>
      </c>
      <c r="R667" s="18">
        <f t="shared" si="128"/>
        <v>1.5</v>
      </c>
      <c r="S667" s="18">
        <f t="shared" si="129"/>
        <v>1.5</v>
      </c>
      <c r="T667" s="19">
        <f t="shared" si="130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1.5</v>
      </c>
      <c r="Y667" s="14">
        <f t="shared" si="131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customHeight="1" x14ac:dyDescent="0.25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-6</v>
      </c>
      <c r="R668" s="18">
        <f t="shared" si="128"/>
        <v>0.12</v>
      </c>
      <c r="S668" s="18">
        <f t="shared" si="129"/>
        <v>0.12</v>
      </c>
      <c r="T668" s="19">
        <f t="shared" si="130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0.12</v>
      </c>
      <c r="Y668" s="14">
        <f t="shared" si="131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customHeight="1" x14ac:dyDescent="0.25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28"/>
        <v>0.18</v>
      </c>
      <c r="S669" s="18">
        <f t="shared" si="129"/>
        <v>0.18</v>
      </c>
      <c r="T669" s="19">
        <f t="shared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0.18</v>
      </c>
      <c r="Y669" s="14">
        <f t="shared" si="131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customHeight="1" x14ac:dyDescent="0.25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-4</v>
      </c>
      <c r="R670" s="18">
        <f t="shared" si="128"/>
        <v>0.04</v>
      </c>
      <c r="S670" s="18">
        <f t="shared" si="129"/>
        <v>0.04</v>
      </c>
      <c r="T670" s="19">
        <f t="shared" si="130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0.04</v>
      </c>
      <c r="Y670" s="14">
        <f t="shared" si="131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customHeight="1" x14ac:dyDescent="0.25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-3</v>
      </c>
      <c r="R671" s="18">
        <f t="shared" si="128"/>
        <v>0.15000000000000002</v>
      </c>
      <c r="S671" s="18">
        <f t="shared" si="129"/>
        <v>0.15000000000000002</v>
      </c>
      <c r="T671" s="19">
        <f t="shared" si="130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0.15000000000000002</v>
      </c>
      <c r="Y671" s="14">
        <f t="shared" si="131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customHeight="1" x14ac:dyDescent="0.25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28"/>
        <v>0.15000000000000002</v>
      </c>
      <c r="S672" s="18">
        <f t="shared" si="129"/>
        <v>0.15000000000000002</v>
      </c>
      <c r="T672" s="19">
        <f t="shared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31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customHeight="1" x14ac:dyDescent="0.25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-5</v>
      </c>
      <c r="R673" s="18">
        <f t="shared" si="128"/>
        <v>0.1</v>
      </c>
      <c r="S673" s="18">
        <f t="shared" si="129"/>
        <v>0.1</v>
      </c>
      <c r="T673" s="19">
        <f t="shared" si="130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</v>
      </c>
      <c r="Y673" s="14">
        <f t="shared" si="131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customHeight="1" x14ac:dyDescent="0.25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-2</v>
      </c>
      <c r="R674" s="18">
        <f t="shared" si="128"/>
        <v>0.08</v>
      </c>
      <c r="S674" s="18">
        <f t="shared" si="129"/>
        <v>0.08</v>
      </c>
      <c r="T674" s="19">
        <f t="shared" si="130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0.08</v>
      </c>
      <c r="Y674" s="14">
        <f t="shared" si="131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customHeight="1" x14ac:dyDescent="0.25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-1</v>
      </c>
      <c r="R675" s="18">
        <f t="shared" si="128"/>
        <v>1.2</v>
      </c>
      <c r="S675" s="18">
        <f t="shared" si="129"/>
        <v>1.2</v>
      </c>
      <c r="T675" s="19">
        <f t="shared" si="130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1.2</v>
      </c>
      <c r="Y675" s="14">
        <f t="shared" si="131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customHeight="1" x14ac:dyDescent="0.25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-130</v>
      </c>
      <c r="R676" s="18">
        <f t="shared" si="128"/>
        <v>234</v>
      </c>
      <c r="S676" s="18">
        <f t="shared" si="129"/>
        <v>234</v>
      </c>
      <c r="T676" s="19">
        <f t="shared" si="130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234</v>
      </c>
      <c r="Y676" s="14">
        <f t="shared" si="131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customHeight="1" x14ac:dyDescent="0.25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-250</v>
      </c>
      <c r="R677" s="18">
        <f t="shared" si="128"/>
        <v>450</v>
      </c>
      <c r="S677" s="18">
        <f t="shared" si="129"/>
        <v>450</v>
      </c>
      <c r="T677" s="19">
        <f t="shared" si="130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450</v>
      </c>
      <c r="Y677" s="14">
        <f t="shared" si="131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customHeight="1" x14ac:dyDescent="0.25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-5</v>
      </c>
      <c r="R678" s="18">
        <f t="shared" si="128"/>
        <v>1.5</v>
      </c>
      <c r="S678" s="18">
        <f t="shared" si="129"/>
        <v>1.5</v>
      </c>
      <c r="T678" s="19">
        <f t="shared" si="130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1.5</v>
      </c>
      <c r="Y678" s="14">
        <f t="shared" si="131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customHeight="1" x14ac:dyDescent="0.25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-6</v>
      </c>
      <c r="R679" s="18">
        <f t="shared" si="128"/>
        <v>0.12</v>
      </c>
      <c r="S679" s="18">
        <f t="shared" si="129"/>
        <v>0.12</v>
      </c>
      <c r="T679" s="19">
        <f t="shared" si="130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0.12</v>
      </c>
      <c r="Y679" s="14">
        <f t="shared" si="131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customHeight="1" x14ac:dyDescent="0.25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28"/>
        <v>0.18</v>
      </c>
      <c r="S680" s="18">
        <f t="shared" si="129"/>
        <v>0.18</v>
      </c>
      <c r="T680" s="19">
        <f t="shared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0.18</v>
      </c>
      <c r="Y680" s="14">
        <f t="shared" si="131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customHeight="1" x14ac:dyDescent="0.25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-4</v>
      </c>
      <c r="R681" s="18">
        <f t="shared" si="128"/>
        <v>0.04</v>
      </c>
      <c r="S681" s="18">
        <f t="shared" si="129"/>
        <v>0.04</v>
      </c>
      <c r="T681" s="19">
        <f t="shared" si="130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0.04</v>
      </c>
      <c r="Y681" s="14">
        <f t="shared" si="131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customHeight="1" x14ac:dyDescent="0.25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-3</v>
      </c>
      <c r="R682" s="18">
        <f t="shared" si="128"/>
        <v>6</v>
      </c>
      <c r="S682" s="18">
        <f t="shared" si="129"/>
        <v>6</v>
      </c>
      <c r="T682" s="19">
        <f t="shared" si="130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6</v>
      </c>
      <c r="Y682" s="14">
        <f t="shared" si="131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customHeight="1" x14ac:dyDescent="0.25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28"/>
        <v>4.5</v>
      </c>
      <c r="S683" s="18">
        <f t="shared" si="129"/>
        <v>4.5</v>
      </c>
      <c r="T683" s="19">
        <f t="shared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4.5</v>
      </c>
      <c r="Y683" s="14">
        <f t="shared" si="131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customHeight="1" x14ac:dyDescent="0.25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-5</v>
      </c>
      <c r="R684" s="18">
        <f t="shared" si="128"/>
        <v>0.1</v>
      </c>
      <c r="S684" s="18">
        <f t="shared" si="129"/>
        <v>0.1</v>
      </c>
      <c r="T684" s="19">
        <f t="shared" si="130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0.1</v>
      </c>
      <c r="Y684" s="14">
        <f t="shared" si="131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customHeight="1" x14ac:dyDescent="0.25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-2</v>
      </c>
      <c r="R685" s="18">
        <f t="shared" si="128"/>
        <v>0.08</v>
      </c>
      <c r="S685" s="18">
        <f t="shared" si="129"/>
        <v>0.08</v>
      </c>
      <c r="T685" s="19">
        <f t="shared" si="130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0.08</v>
      </c>
      <c r="Y685" s="14">
        <f t="shared" si="131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customHeight="1" x14ac:dyDescent="0.25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-1</v>
      </c>
      <c r="R686" s="18">
        <f t="shared" si="128"/>
        <v>1.2</v>
      </c>
      <c r="S686" s="18">
        <f t="shared" si="129"/>
        <v>1.2</v>
      </c>
      <c r="T686" s="19">
        <f t="shared" si="130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1.2</v>
      </c>
      <c r="Y686" s="14">
        <f t="shared" si="131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customHeight="1" x14ac:dyDescent="0.25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28"/>
        <v>1.8</v>
      </c>
      <c r="S687" s="18">
        <f t="shared" si="129"/>
        <v>1.8</v>
      </c>
      <c r="T687" s="19">
        <f t="shared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1.8</v>
      </c>
      <c r="Y687" s="14">
        <f t="shared" si="131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customHeight="1" x14ac:dyDescent="0.25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-2</v>
      </c>
      <c r="R688" s="18">
        <f t="shared" si="128"/>
        <v>3.6</v>
      </c>
      <c r="S688" s="18">
        <f t="shared" si="129"/>
        <v>3.6</v>
      </c>
      <c r="T688" s="19">
        <f t="shared" si="130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3.6</v>
      </c>
      <c r="Y688" s="14">
        <f t="shared" si="131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customHeight="1" x14ac:dyDescent="0.25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-4</v>
      </c>
      <c r="R689" s="18">
        <f t="shared" si="128"/>
        <v>8</v>
      </c>
      <c r="S689" s="18">
        <f t="shared" si="129"/>
        <v>8</v>
      </c>
      <c r="T689" s="19">
        <f t="shared" si="130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8</v>
      </c>
      <c r="Y689" s="14">
        <f t="shared" si="131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customHeight="1" x14ac:dyDescent="0.25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-1</v>
      </c>
      <c r="R690" s="18">
        <f t="shared" si="128"/>
        <v>1.5</v>
      </c>
      <c r="S690" s="18">
        <f t="shared" si="129"/>
        <v>1.5</v>
      </c>
      <c r="T690" s="19">
        <f t="shared" si="130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1.5</v>
      </c>
      <c r="Y690" s="14">
        <f t="shared" si="131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customHeight="1" x14ac:dyDescent="0.25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ref="R691:R754" si="132">IFERROR(H691*((AA691*0.25)+(AC691*0.25)+(AD691*0.225)+(AE691*0.225)+(AF691*0.05)),"")</f>
        <v>2</v>
      </c>
      <c r="S691" s="18">
        <f t="shared" ref="S691:S754" si="133">IFERROR(H691*AG691,"")</f>
        <v>2</v>
      </c>
      <c r="T691" s="19">
        <f t="shared" ref="T691:T754" si="134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2</v>
      </c>
      <c r="Y691" s="14">
        <f t="shared" ref="Y691:Y754" si="135">U691-C691</f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customHeight="1" x14ac:dyDescent="0.25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-2</v>
      </c>
      <c r="R692" s="18">
        <f t="shared" si="132"/>
        <v>3.6</v>
      </c>
      <c r="S692" s="18">
        <f t="shared" si="133"/>
        <v>3.6</v>
      </c>
      <c r="T692" s="19">
        <f t="shared" si="134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3.6</v>
      </c>
      <c r="Y692" s="14">
        <f t="shared" si="135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customHeight="1" x14ac:dyDescent="0.25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-4</v>
      </c>
      <c r="R693" s="18">
        <f t="shared" si="132"/>
        <v>8</v>
      </c>
      <c r="S693" s="18">
        <f t="shared" si="133"/>
        <v>8</v>
      </c>
      <c r="T693" s="19">
        <f t="shared" si="134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8</v>
      </c>
      <c r="Y693" s="14">
        <f t="shared" si="135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customHeight="1" x14ac:dyDescent="0.25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-1</v>
      </c>
      <c r="R694" s="18">
        <f t="shared" si="132"/>
        <v>1.5</v>
      </c>
      <c r="S694" s="18">
        <f t="shared" si="133"/>
        <v>1.5</v>
      </c>
      <c r="T694" s="19">
        <f t="shared" si="134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1.5</v>
      </c>
      <c r="Y694" s="14">
        <f t="shared" si="135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customHeight="1" x14ac:dyDescent="0.25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-2</v>
      </c>
      <c r="R695" s="18">
        <f t="shared" si="132"/>
        <v>3.6</v>
      </c>
      <c r="S695" s="18">
        <f t="shared" si="133"/>
        <v>3.6</v>
      </c>
      <c r="T695" s="19">
        <f t="shared" si="134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35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customHeight="1" x14ac:dyDescent="0.25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-1</v>
      </c>
      <c r="R696" s="18">
        <f t="shared" si="132"/>
        <v>0.01</v>
      </c>
      <c r="S696" s="18">
        <f t="shared" si="133"/>
        <v>0.01</v>
      </c>
      <c r="T696" s="19">
        <f t="shared" si="134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0.01</v>
      </c>
      <c r="Y696" s="14">
        <f t="shared" si="135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customHeight="1" x14ac:dyDescent="0.25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-2</v>
      </c>
      <c r="R697" s="18">
        <f t="shared" si="132"/>
        <v>3.6</v>
      </c>
      <c r="S697" s="18">
        <f t="shared" si="133"/>
        <v>3.6</v>
      </c>
      <c r="T697" s="19">
        <f t="shared" si="134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3.6</v>
      </c>
      <c r="Y697" s="14">
        <f t="shared" si="135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customHeight="1" x14ac:dyDescent="0.25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-1</v>
      </c>
      <c r="R698" s="18">
        <f t="shared" si="132"/>
        <v>0.01</v>
      </c>
      <c r="S698" s="18">
        <f t="shared" si="133"/>
        <v>0.01</v>
      </c>
      <c r="T698" s="19">
        <f t="shared" si="134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0.01</v>
      </c>
      <c r="Y698" s="14">
        <f t="shared" si="135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customHeight="1" x14ac:dyDescent="0.25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-32</v>
      </c>
      <c r="R699" s="18">
        <f t="shared" si="132"/>
        <v>0.64</v>
      </c>
      <c r="S699" s="18">
        <f t="shared" si="133"/>
        <v>0.64</v>
      </c>
      <c r="T699" s="19">
        <f t="shared" si="134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0.64</v>
      </c>
      <c r="Y699" s="14">
        <f t="shared" si="135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customHeight="1" x14ac:dyDescent="0.25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-216</v>
      </c>
      <c r="R700" s="18">
        <f t="shared" si="132"/>
        <v>10.8</v>
      </c>
      <c r="S700" s="18">
        <f t="shared" si="133"/>
        <v>10.8</v>
      </c>
      <c r="T700" s="19">
        <f t="shared" si="134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10.8</v>
      </c>
      <c r="Y700" s="14">
        <f t="shared" si="135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customHeight="1" x14ac:dyDescent="0.25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-208</v>
      </c>
      <c r="R701" s="18">
        <f t="shared" si="132"/>
        <v>10.4</v>
      </c>
      <c r="S701" s="18">
        <f t="shared" si="133"/>
        <v>10.4</v>
      </c>
      <c r="T701" s="19">
        <f t="shared" si="134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10.4</v>
      </c>
      <c r="Y701" s="14">
        <f t="shared" si="135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customHeight="1" x14ac:dyDescent="0.25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-1</v>
      </c>
      <c r="R702" s="18">
        <f t="shared" si="132"/>
        <v>0</v>
      </c>
      <c r="S702" s="18">
        <f t="shared" si="133"/>
        <v>0</v>
      </c>
      <c r="T702" s="19">
        <f t="shared" si="134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35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32"/>
        <v>0</v>
      </c>
      <c r="S703" s="18">
        <f t="shared" si="133"/>
        <v>0</v>
      </c>
      <c r="T703" s="19">
        <f t="shared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35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customHeight="1" x14ac:dyDescent="0.25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32"/>
        <v>1800</v>
      </c>
      <c r="S704" s="18">
        <f t="shared" si="133"/>
        <v>1800</v>
      </c>
      <c r="T704" s="19">
        <f t="shared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1800</v>
      </c>
      <c r="Y704" s="14">
        <f t="shared" si="135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32"/>
        <v>1800</v>
      </c>
      <c r="S705" s="18">
        <f t="shared" si="133"/>
        <v>1800</v>
      </c>
      <c r="T705" s="19">
        <f t="shared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35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customHeight="1" x14ac:dyDescent="0.25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-232</v>
      </c>
      <c r="R706" s="18">
        <f t="shared" si="132"/>
        <v>43.616</v>
      </c>
      <c r="S706" s="18">
        <f t="shared" si="133"/>
        <v>43.616</v>
      </c>
      <c r="T706" s="19">
        <f t="shared" si="134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43.616</v>
      </c>
      <c r="Y706" s="14">
        <f t="shared" si="135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customHeight="1" x14ac:dyDescent="0.25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-96</v>
      </c>
      <c r="R707" s="18">
        <f t="shared" si="132"/>
        <v>18.048000000000002</v>
      </c>
      <c r="S707" s="18">
        <f t="shared" si="133"/>
        <v>18.048000000000002</v>
      </c>
      <c r="T707" s="19">
        <f t="shared" si="134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18.048000000000002</v>
      </c>
      <c r="Y707" s="14">
        <f t="shared" si="135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customHeight="1" x14ac:dyDescent="0.25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-218</v>
      </c>
      <c r="R708" s="18">
        <f t="shared" si="132"/>
        <v>40.984000000000002</v>
      </c>
      <c r="S708" s="18">
        <f t="shared" si="133"/>
        <v>40.984000000000002</v>
      </c>
      <c r="T708" s="19">
        <f t="shared" si="134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40.984000000000002</v>
      </c>
      <c r="Y708" s="14">
        <f t="shared" si="135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customHeight="1" x14ac:dyDescent="0.25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-58</v>
      </c>
      <c r="R709" s="18">
        <f t="shared" si="132"/>
        <v>10.904</v>
      </c>
      <c r="S709" s="18">
        <f t="shared" si="133"/>
        <v>10.904</v>
      </c>
      <c r="T709" s="19">
        <f t="shared" si="134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10.904</v>
      </c>
      <c r="Y709" s="14">
        <f t="shared" si="135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customHeight="1" x14ac:dyDescent="0.25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-2</v>
      </c>
      <c r="R710" s="18">
        <f t="shared" si="132"/>
        <v>28.722000000000001</v>
      </c>
      <c r="S710" s="18">
        <f t="shared" si="133"/>
        <v>28.722000000000001</v>
      </c>
      <c r="T710" s="19">
        <f t="shared" si="134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28.722000000000001</v>
      </c>
      <c r="Y710" s="14">
        <f t="shared" si="135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customHeight="1" x14ac:dyDescent="0.25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32"/>
        <v>28.722000000000001</v>
      </c>
      <c r="S711" s="18">
        <f t="shared" si="133"/>
        <v>28.722000000000001</v>
      </c>
      <c r="T711" s="19">
        <f t="shared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35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customHeight="1" x14ac:dyDescent="0.25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32"/>
        <v>28.722000000000001</v>
      </c>
      <c r="S712" s="18">
        <f t="shared" si="133"/>
        <v>28.722000000000001</v>
      </c>
      <c r="T712" s="19">
        <f t="shared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35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customHeight="1" x14ac:dyDescent="0.25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32"/>
        <v>28.722000000000001</v>
      </c>
      <c r="S713" s="18">
        <f t="shared" si="133"/>
        <v>28.722000000000001</v>
      </c>
      <c r="T713" s="19">
        <f t="shared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35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customHeight="1" x14ac:dyDescent="0.25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32"/>
        <v>28.722000000000001</v>
      </c>
      <c r="S714" s="18">
        <f t="shared" si="133"/>
        <v>28.722000000000001</v>
      </c>
      <c r="T714" s="19">
        <f t="shared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35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customHeight="1" x14ac:dyDescent="0.25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32"/>
        <v>28.722000000000001</v>
      </c>
      <c r="S715" s="18">
        <f t="shared" si="133"/>
        <v>28.722000000000001</v>
      </c>
      <c r="T715" s="19">
        <f t="shared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35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customHeight="1" x14ac:dyDescent="0.25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-4</v>
      </c>
      <c r="R716" s="18">
        <f t="shared" si="132"/>
        <v>57.444000000000003</v>
      </c>
      <c r="S716" s="18">
        <f t="shared" si="133"/>
        <v>57.444000000000003</v>
      </c>
      <c r="T716" s="19">
        <f t="shared" si="134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57.444000000000003</v>
      </c>
      <c r="Y716" s="14">
        <f t="shared" si="135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customHeight="1" x14ac:dyDescent="0.25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32"/>
        <v>57.444000000000003</v>
      </c>
      <c r="S717" s="18">
        <f t="shared" si="133"/>
        <v>57.444000000000003</v>
      </c>
      <c r="T717" s="19">
        <f t="shared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35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customHeight="1" x14ac:dyDescent="0.25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32"/>
        <v>57.444000000000003</v>
      </c>
      <c r="S718" s="18">
        <f t="shared" si="133"/>
        <v>57.444000000000003</v>
      </c>
      <c r="T718" s="19">
        <f t="shared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35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customHeight="1" x14ac:dyDescent="0.25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32"/>
        <v>57.444000000000003</v>
      </c>
      <c r="S719" s="18">
        <f t="shared" si="133"/>
        <v>57.444000000000003</v>
      </c>
      <c r="T719" s="19">
        <f t="shared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35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customHeight="1" x14ac:dyDescent="0.25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32"/>
        <v>57.444000000000003</v>
      </c>
      <c r="S720" s="18">
        <f t="shared" si="133"/>
        <v>57.444000000000003</v>
      </c>
      <c r="T720" s="19">
        <f t="shared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35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customHeight="1" x14ac:dyDescent="0.25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-8</v>
      </c>
      <c r="R721" s="18">
        <f t="shared" si="132"/>
        <v>114.88800000000001</v>
      </c>
      <c r="S721" s="18">
        <f t="shared" si="133"/>
        <v>114.88800000000001</v>
      </c>
      <c r="T721" s="19">
        <f t="shared" si="134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114.88800000000001</v>
      </c>
      <c r="Y721" s="14">
        <f t="shared" si="135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customHeight="1" x14ac:dyDescent="0.25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-4</v>
      </c>
      <c r="R722" s="18">
        <f t="shared" si="132"/>
        <v>57.444000000000003</v>
      </c>
      <c r="S722" s="18">
        <f t="shared" si="133"/>
        <v>57.444000000000003</v>
      </c>
      <c r="T722" s="19">
        <f t="shared" si="134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35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customHeight="1" x14ac:dyDescent="0.25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-12</v>
      </c>
      <c r="R723" s="18">
        <f t="shared" si="132"/>
        <v>172.33199999999999</v>
      </c>
      <c r="S723" s="18">
        <f t="shared" si="133"/>
        <v>172.33199999999999</v>
      </c>
      <c r="T723" s="19">
        <f t="shared" si="134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172.33199999999999</v>
      </c>
      <c r="Y723" s="14">
        <f t="shared" si="135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customHeight="1" x14ac:dyDescent="0.25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-4</v>
      </c>
      <c r="R724" s="18">
        <f t="shared" si="132"/>
        <v>57.444000000000003</v>
      </c>
      <c r="S724" s="18">
        <f t="shared" si="133"/>
        <v>57.444000000000003</v>
      </c>
      <c r="T724" s="19">
        <f t="shared" si="134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57.444000000000003</v>
      </c>
      <c r="Y724" s="14">
        <f t="shared" si="135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32"/>
        <v>57.444000000000003</v>
      </c>
      <c r="S725" s="18">
        <f t="shared" si="133"/>
        <v>57.444000000000003</v>
      </c>
      <c r="T725" s="19">
        <f t="shared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35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customHeight="1" x14ac:dyDescent="0.25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32"/>
        <v>57.444000000000003</v>
      </c>
      <c r="S726" s="18">
        <f t="shared" si="133"/>
        <v>57.444000000000003</v>
      </c>
      <c r="T726" s="19">
        <f t="shared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35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customHeight="1" x14ac:dyDescent="0.25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-20</v>
      </c>
      <c r="R727" s="18">
        <f t="shared" si="132"/>
        <v>287.22000000000003</v>
      </c>
      <c r="S727" s="18">
        <f t="shared" si="133"/>
        <v>287.22000000000003</v>
      </c>
      <c r="T727" s="19">
        <f t="shared" si="134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287.22000000000003</v>
      </c>
      <c r="Y727" s="14">
        <f t="shared" si="135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customHeight="1" x14ac:dyDescent="0.25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</v>
      </c>
      <c r="R728" s="18">
        <f t="shared" si="132"/>
        <v>28.722000000000001</v>
      </c>
      <c r="S728" s="18">
        <f t="shared" si="133"/>
        <v>28.722000000000001</v>
      </c>
      <c r="T728" s="19">
        <f t="shared" si="134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28.722000000000001</v>
      </c>
      <c r="Y728" s="14">
        <f t="shared" si="135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customHeight="1" x14ac:dyDescent="0.25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-22</v>
      </c>
      <c r="R729" s="18">
        <f t="shared" si="132"/>
        <v>315.94200000000001</v>
      </c>
      <c r="S729" s="18">
        <f t="shared" si="133"/>
        <v>315.94200000000001</v>
      </c>
      <c r="T729" s="19">
        <f t="shared" si="134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315.94200000000001</v>
      </c>
      <c r="Y729" s="14">
        <f t="shared" si="135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customHeight="1" x14ac:dyDescent="0.25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</v>
      </c>
      <c r="R730" s="18">
        <f t="shared" si="132"/>
        <v>28.722000000000001</v>
      </c>
      <c r="S730" s="18">
        <f t="shared" si="133"/>
        <v>28.722000000000001</v>
      </c>
      <c r="T730" s="19">
        <f t="shared" si="134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28.722000000000001</v>
      </c>
      <c r="Y730" s="14">
        <f t="shared" si="135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32"/>
        <v>28.722000000000001</v>
      </c>
      <c r="S731" s="18">
        <f t="shared" si="133"/>
        <v>28.722000000000001</v>
      </c>
      <c r="T731" s="19">
        <f t="shared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35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customHeight="1" x14ac:dyDescent="0.25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32"/>
        <v>28.722000000000001</v>
      </c>
      <c r="S732" s="18">
        <f t="shared" si="133"/>
        <v>28.722000000000001</v>
      </c>
      <c r="T732" s="19">
        <f t="shared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35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customHeight="1" x14ac:dyDescent="0.25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32"/>
        <v>28.722000000000001</v>
      </c>
      <c r="S733" s="18">
        <f t="shared" si="133"/>
        <v>28.722000000000001</v>
      </c>
      <c r="T733" s="19">
        <f t="shared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35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customHeight="1" x14ac:dyDescent="0.25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-4</v>
      </c>
      <c r="R734" s="18">
        <f t="shared" si="132"/>
        <v>57.444000000000003</v>
      </c>
      <c r="S734" s="18">
        <f t="shared" si="133"/>
        <v>57.444000000000003</v>
      </c>
      <c r="T734" s="19">
        <f t="shared" si="134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57.444000000000003</v>
      </c>
      <c r="Y734" s="14">
        <f t="shared" si="135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customHeight="1" x14ac:dyDescent="0.25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32"/>
        <v>57.444000000000003</v>
      </c>
      <c r="S735" s="18">
        <f t="shared" si="133"/>
        <v>57.444000000000003</v>
      </c>
      <c r="T735" s="19">
        <f t="shared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35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customHeight="1" x14ac:dyDescent="0.25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-6</v>
      </c>
      <c r="R736" s="18">
        <f t="shared" si="132"/>
        <v>86.165999999999997</v>
      </c>
      <c r="S736" s="18">
        <f t="shared" si="133"/>
        <v>86.165999999999997</v>
      </c>
      <c r="T736" s="19">
        <f t="shared" si="134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86.165999999999997</v>
      </c>
      <c r="Y736" s="14">
        <f t="shared" si="135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customHeight="1" x14ac:dyDescent="0.25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-2</v>
      </c>
      <c r="R737" s="18">
        <f t="shared" si="132"/>
        <v>28.722000000000001</v>
      </c>
      <c r="S737" s="18">
        <f t="shared" si="133"/>
        <v>28.722000000000001</v>
      </c>
      <c r="T737" s="19">
        <f t="shared" si="134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28.722000000000001</v>
      </c>
      <c r="Y737" s="14">
        <f t="shared" si="135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customHeight="1" x14ac:dyDescent="0.25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32"/>
        <v>28.722000000000001</v>
      </c>
      <c r="S738" s="18">
        <f t="shared" si="133"/>
        <v>28.722000000000001</v>
      </c>
      <c r="T738" s="19">
        <f t="shared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35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customHeight="1" x14ac:dyDescent="0.25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-26</v>
      </c>
      <c r="R739" s="18">
        <f t="shared" si="132"/>
        <v>373.38600000000002</v>
      </c>
      <c r="S739" s="18">
        <f t="shared" si="133"/>
        <v>373.38600000000002</v>
      </c>
      <c r="T739" s="19">
        <f t="shared" si="134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373.38600000000002</v>
      </c>
      <c r="Y739" s="14">
        <f t="shared" si="135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customHeight="1" x14ac:dyDescent="0.25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-4</v>
      </c>
      <c r="R740" s="18">
        <f t="shared" si="132"/>
        <v>57.444000000000003</v>
      </c>
      <c r="S740" s="18">
        <f t="shared" si="133"/>
        <v>57.444000000000003</v>
      </c>
      <c r="T740" s="19">
        <f t="shared" si="134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57.444000000000003</v>
      </c>
      <c r="Y740" s="14">
        <f t="shared" si="135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customHeight="1" x14ac:dyDescent="0.25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-20</v>
      </c>
      <c r="R741" s="18">
        <f t="shared" si="132"/>
        <v>287.22000000000003</v>
      </c>
      <c r="S741" s="18">
        <f t="shared" si="133"/>
        <v>287.22000000000003</v>
      </c>
      <c r="T741" s="19">
        <f t="shared" si="134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287.22000000000003</v>
      </c>
      <c r="Y741" s="14">
        <f t="shared" si="135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customHeight="1" x14ac:dyDescent="0.25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-1</v>
      </c>
      <c r="R742" s="18">
        <f t="shared" si="132"/>
        <v>12.6</v>
      </c>
      <c r="S742" s="18">
        <f t="shared" si="133"/>
        <v>12.6</v>
      </c>
      <c r="T742" s="19">
        <f t="shared" si="134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12.6</v>
      </c>
      <c r="Y742" s="14">
        <f t="shared" si="135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customHeight="1" x14ac:dyDescent="0.25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32"/>
        <v>12.6</v>
      </c>
      <c r="S743" s="18">
        <f t="shared" si="133"/>
        <v>12.6</v>
      </c>
      <c r="T743" s="19">
        <f t="shared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35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customHeight="1" x14ac:dyDescent="0.25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32"/>
        <v>12.6</v>
      </c>
      <c r="S744" s="18">
        <f t="shared" si="133"/>
        <v>12.6</v>
      </c>
      <c r="T744" s="19">
        <f t="shared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35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customHeight="1" x14ac:dyDescent="0.25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32"/>
        <v>12.6</v>
      </c>
      <c r="S745" s="18">
        <f t="shared" si="133"/>
        <v>12.6</v>
      </c>
      <c r="T745" s="19">
        <f t="shared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35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customHeight="1" x14ac:dyDescent="0.25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32"/>
        <v>12.6</v>
      </c>
      <c r="S746" s="18">
        <f t="shared" si="133"/>
        <v>12.6</v>
      </c>
      <c r="T746" s="19">
        <f t="shared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35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customHeight="1" x14ac:dyDescent="0.25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32"/>
        <v>12.6</v>
      </c>
      <c r="S747" s="18">
        <f t="shared" si="133"/>
        <v>12.6</v>
      </c>
      <c r="T747" s="19">
        <f t="shared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35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customHeight="1" x14ac:dyDescent="0.25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32"/>
        <v>12.6</v>
      </c>
      <c r="S748" s="18">
        <f t="shared" si="133"/>
        <v>12.6</v>
      </c>
      <c r="T748" s="19">
        <f t="shared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35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customHeight="1" x14ac:dyDescent="0.25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32"/>
        <v>12.6</v>
      </c>
      <c r="S749" s="18">
        <f t="shared" si="133"/>
        <v>12.6</v>
      </c>
      <c r="T749" s="19">
        <f t="shared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35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customHeight="1" x14ac:dyDescent="0.25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32"/>
        <v>12.6</v>
      </c>
      <c r="S750" s="18">
        <f t="shared" si="133"/>
        <v>12.6</v>
      </c>
      <c r="T750" s="19">
        <f t="shared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35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customHeight="1" x14ac:dyDescent="0.25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32"/>
        <v>12.6</v>
      </c>
      <c r="S751" s="18">
        <f t="shared" si="133"/>
        <v>12.6</v>
      </c>
      <c r="T751" s="19">
        <f t="shared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35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customHeight="1" x14ac:dyDescent="0.25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32"/>
        <v>12.6</v>
      </c>
      <c r="S752" s="18">
        <f t="shared" si="133"/>
        <v>12.6</v>
      </c>
      <c r="T752" s="19">
        <f t="shared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35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customHeight="1" x14ac:dyDescent="0.25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32"/>
        <v>12.6</v>
      </c>
      <c r="S753" s="18">
        <f t="shared" si="133"/>
        <v>12.6</v>
      </c>
      <c r="T753" s="19">
        <f t="shared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35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customHeight="1" x14ac:dyDescent="0.25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-168</v>
      </c>
      <c r="R754" s="18">
        <f t="shared" si="132"/>
        <v>31.584</v>
      </c>
      <c r="S754" s="18">
        <f t="shared" si="133"/>
        <v>31.584</v>
      </c>
      <c r="T754" s="19">
        <f t="shared" si="134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31.584</v>
      </c>
      <c r="Y754" s="14">
        <f t="shared" si="135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customHeight="1" x14ac:dyDescent="0.25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-336</v>
      </c>
      <c r="R755" s="18">
        <f t="shared" ref="R755:R760" si="136">IFERROR(H755*((AA755*0.25)+(AC755*0.25)+(AD755*0.225)+(AE755*0.225)+(AF755*0.05)),"")</f>
        <v>63.167999999999999</v>
      </c>
      <c r="S755" s="18">
        <f t="shared" ref="S755:S760" si="137">IFERROR(H755*AG755,"")</f>
        <v>63.167999999999999</v>
      </c>
      <c r="T755" s="19">
        <f t="shared" ref="T755:T760" si="138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63.167999999999999</v>
      </c>
      <c r="Y755" s="14">
        <f t="shared" ref="Y755:Y760" si="139">U755-C755</f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customHeight="1" x14ac:dyDescent="0.25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-168</v>
      </c>
      <c r="R756" s="18">
        <f t="shared" si="136"/>
        <v>31.584</v>
      </c>
      <c r="S756" s="18">
        <f t="shared" si="137"/>
        <v>31.584</v>
      </c>
      <c r="T756" s="19">
        <f t="shared" si="138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31.584</v>
      </c>
      <c r="Y756" s="14">
        <f t="shared" si="139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customHeight="1" x14ac:dyDescent="0.25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-336</v>
      </c>
      <c r="R757" s="18">
        <f t="shared" si="136"/>
        <v>63.167999999999999</v>
      </c>
      <c r="S757" s="18">
        <f t="shared" si="137"/>
        <v>63.167999999999999</v>
      </c>
      <c r="T757" s="19">
        <f t="shared" si="138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63.167999999999999</v>
      </c>
      <c r="Y757" s="14">
        <f t="shared" si="139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customHeight="1" x14ac:dyDescent="0.25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-160</v>
      </c>
      <c r="R758" s="18">
        <f t="shared" si="136"/>
        <v>1460.8000000000002</v>
      </c>
      <c r="S758" s="18">
        <f t="shared" si="137"/>
        <v>1460.8000000000002</v>
      </c>
      <c r="T758" s="19">
        <f t="shared" si="138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1460.8000000000002</v>
      </c>
      <c r="Y758" s="14">
        <f t="shared" si="139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36"/>
        <v>1460.8000000000002</v>
      </c>
      <c r="S759" s="18">
        <f t="shared" si="137"/>
        <v>1460.8000000000002</v>
      </c>
      <c r="T759" s="19">
        <f t="shared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39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customHeight="1" x14ac:dyDescent="0.25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</v>
      </c>
      <c r="R760" s="18">
        <f t="shared" si="136"/>
        <v>12.5</v>
      </c>
      <c r="S760" s="18">
        <f t="shared" si="137"/>
        <v>12.5</v>
      </c>
      <c r="T760" s="19">
        <f t="shared" si="138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12.5</v>
      </c>
      <c r="Y760" s="14">
        <f t="shared" si="139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>IFERROR(H761*((AA761*0.25)+(AC761*0.25)+(AD761*0.225)+(AE761*0.225)+(AF761*0.05)),"")</f>
        <v>12.5</v>
      </c>
      <c r="S761" s="18">
        <f>IFERROR(H761*AG761,"")</f>
        <v>12.5</v>
      </c>
      <c r="T761" s="19">
        <f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>U761-C761</f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customHeight="1" x14ac:dyDescent="0.25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>Tabela1[[#This Row],[QTDE/ Fabricação]]-Tabela1[[#This Row],[QTE]]</f>
        <v>-2</v>
      </c>
      <c r="R762" s="18">
        <f t="shared" ref="R762" si="140">IFERROR(H762*((AA762*0.25)+(AC762*0.25)+(AD762*0.225)+(AE762*0.225)+(AF762*0.05)),"")</f>
        <v>6.4</v>
      </c>
      <c r="S762" s="18">
        <f t="shared" ref="S762" si="141">IFERROR(H762*AG762,"")</f>
        <v>6.4</v>
      </c>
      <c r="T762" s="19">
        <f t="shared" ref="T762" si="142">IFERROR(S762-H762,"")</f>
        <v>0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>IFERROR(Tabela1[[#This Row],[QIANTIDADE EXPEDIDA]]*Tabela1[[#This Row],[PESO UNI]],"")</f>
        <v>0</v>
      </c>
      <c r="Y762" s="14">
        <f t="shared" ref="Y762" si="143">U762-C762</f>
        <v>-2</v>
      </c>
      <c r="Z762" s="20">
        <f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>
        <v>1</v>
      </c>
      <c r="AG762" s="33">
        <v>1</v>
      </c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>IFERROR(H763*((AA763*0.25)+(AC763*0.25)+(AD763*0.225)+(AE763*0.225)+(AF763*0.05)),"")</f>
        <v>6.4</v>
      </c>
      <c r="S763" s="18">
        <f>IFERROR(H763*AG763,"")</f>
        <v>6.4</v>
      </c>
      <c r="T763" s="19">
        <f>IFERROR(S763-H763,"")</f>
        <v>0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>
        <v>1</v>
      </c>
      <c r="AG763" s="33">
        <v>1</v>
      </c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customHeight="1" x14ac:dyDescent="0.25">
      <c r="A764" s="208" t="s">
        <v>653</v>
      </c>
      <c r="B764" s="21"/>
      <c r="C764" s="206">
        <v>2</v>
      </c>
      <c r="D764" s="206" t="s">
        <v>4831</v>
      </c>
      <c r="E764" s="209">
        <v>4419</v>
      </c>
      <c r="F764" s="192">
        <v>9</v>
      </c>
      <c r="G764" s="210">
        <v>2.39</v>
      </c>
      <c r="H764" s="34">
        <f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4.78</v>
      </c>
      <c r="S764" s="18">
        <f>IFERROR(H764*AG764,"")</f>
        <v>4.78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4.78</v>
      </c>
      <c r="AA764" s="17">
        <v>1</v>
      </c>
      <c r="AB764" s="33"/>
      <c r="AC764" s="33">
        <v>1</v>
      </c>
      <c r="AD764" s="33">
        <v>1</v>
      </c>
      <c r="AE764" s="33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customHeight="1" x14ac:dyDescent="0.25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-15</v>
      </c>
      <c r="R765" s="18">
        <f t="shared" ref="R765:R769" si="144">IFERROR(H765*((AA765*0.25)+(AC765*0.25)+(AD765*0.225)+(AE765*0.225)+(AF765*0.05)),"")</f>
        <v>135</v>
      </c>
      <c r="S765" s="18">
        <f t="shared" ref="S765:S769" si="145">IFERROR(H765*AG765,"")</f>
        <v>135</v>
      </c>
      <c r="T765" s="19">
        <f t="shared" ref="T765:T769" si="146">IFERROR(S765-H765,"")</f>
        <v>0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 t="shared" ref="Y765:Y769" si="147">U765-C765</f>
        <v>-15</v>
      </c>
      <c r="Z765" s="20">
        <f>Tabela1[[#This Row],[PESO TOTAL]]-Tabela1[[#This Row],[Peso Expedido]]</f>
        <v>135</v>
      </c>
      <c r="AA765" s="17">
        <v>1</v>
      </c>
      <c r="AB765" s="33"/>
      <c r="AC765" s="33">
        <v>1</v>
      </c>
      <c r="AD765" s="33">
        <v>1</v>
      </c>
      <c r="AE765" s="33">
        <v>1</v>
      </c>
      <c r="AF765" s="33">
        <v>1</v>
      </c>
      <c r="AG765" s="33">
        <v>1</v>
      </c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customHeight="1" x14ac:dyDescent="0.25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-22</v>
      </c>
      <c r="R766" s="18">
        <f t="shared" si="144"/>
        <v>46.2</v>
      </c>
      <c r="S766" s="18">
        <f t="shared" si="145"/>
        <v>46.2</v>
      </c>
      <c r="T766" s="19">
        <f t="shared" si="146"/>
        <v>0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si="147"/>
        <v>-22</v>
      </c>
      <c r="Z766" s="20">
        <f>Tabela1[[#This Row],[PESO TOTAL]]-Tabela1[[#This Row],[Peso Expedido]]</f>
        <v>46.2</v>
      </c>
      <c r="AA766" s="17">
        <v>1</v>
      </c>
      <c r="AB766" s="33"/>
      <c r="AC766" s="33">
        <v>1</v>
      </c>
      <c r="AD766" s="33">
        <v>1</v>
      </c>
      <c r="AE766" s="33">
        <v>1</v>
      </c>
      <c r="AF766" s="33">
        <v>1</v>
      </c>
      <c r="AG766" s="33">
        <v>1</v>
      </c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customHeight="1" x14ac:dyDescent="0.25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-72</v>
      </c>
      <c r="R767" s="18">
        <f t="shared" si="144"/>
        <v>194.4</v>
      </c>
      <c r="S767" s="18">
        <f t="shared" si="145"/>
        <v>194.4</v>
      </c>
      <c r="T767" s="19">
        <f t="shared" si="146"/>
        <v>0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47"/>
        <v>-72</v>
      </c>
      <c r="Z767" s="20">
        <f>Tabela1[[#This Row],[PESO TOTAL]]-Tabela1[[#This Row],[Peso Expedido]]</f>
        <v>194.4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customHeight="1" x14ac:dyDescent="0.25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-4</v>
      </c>
      <c r="R768" s="18">
        <f t="shared" si="144"/>
        <v>10</v>
      </c>
      <c r="S768" s="18">
        <f t="shared" si="145"/>
        <v>10</v>
      </c>
      <c r="T768" s="19">
        <f t="shared" si="146"/>
        <v>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47"/>
        <v>-4</v>
      </c>
      <c r="Z768" s="20">
        <f>Tabela1[[#This Row],[PESO TOTAL]]-Tabela1[[#This Row],[Peso Expedido]]</f>
        <v>10</v>
      </c>
      <c r="AA768" s="17">
        <v>1</v>
      </c>
      <c r="AB768" s="33"/>
      <c r="AC768" s="33">
        <v>1</v>
      </c>
      <c r="AD768" s="33">
        <v>1</v>
      </c>
      <c r="AE768" s="33">
        <v>1</v>
      </c>
      <c r="AF768" s="33">
        <v>1</v>
      </c>
      <c r="AG768" s="33">
        <v>1</v>
      </c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customHeight="1" x14ac:dyDescent="0.25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-22</v>
      </c>
      <c r="R769" s="18">
        <f t="shared" si="144"/>
        <v>92.4</v>
      </c>
      <c r="S769" s="18">
        <f t="shared" si="145"/>
        <v>92.4</v>
      </c>
      <c r="T769" s="19">
        <f t="shared" si="146"/>
        <v>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47"/>
        <v>-22</v>
      </c>
      <c r="Z769" s="20">
        <v>100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customHeight="1" x14ac:dyDescent="0.25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-80</v>
      </c>
      <c r="R770" s="18">
        <f t="shared" ref="R770:R774" si="148">IFERROR(H770*((AA770*0.25)+(AC770*0.25)+(AD770*0.225)+(AE770*0.225)+(AF770*0.05)),"")</f>
        <v>288</v>
      </c>
      <c r="S770" s="18">
        <f t="shared" ref="S770:S774" si="149">IFERROR(H770*AG770,"")</f>
        <v>288</v>
      </c>
      <c r="T770" s="19">
        <f t="shared" ref="T770:T774" si="150">IFERROR(S770-H770,"")</f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ref="Y770:Y774" si="151">U770-C770</f>
        <v>-80</v>
      </c>
      <c r="Z770" s="20">
        <f>Tabela1[[#This Row],[PESO TOTAL]]-Tabela1[[#This Row],[Peso Expedido]]</f>
        <v>288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customHeight="1" x14ac:dyDescent="0.25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>Tabela1[[#This Row],[QTDE/ Fabricação]]-Tabela1[[#This Row],[QTE]]</f>
        <v>-1</v>
      </c>
      <c r="R771" s="18">
        <f t="shared" si="148"/>
        <v>235.8</v>
      </c>
      <c r="S771" s="18">
        <f t="shared" si="149"/>
        <v>235.8</v>
      </c>
      <c r="T771" s="19">
        <f t="shared" si="150"/>
        <v>0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si="151"/>
        <v>-1</v>
      </c>
      <c r="Z771" s="20">
        <f>Tabela1[[#This Row],[PESO TOTAL]]-Tabela1[[#This Row],[Peso Expedido]]</f>
        <v>235.8</v>
      </c>
      <c r="AA771" s="17">
        <v>1</v>
      </c>
      <c r="AB771" s="33"/>
      <c r="AC771" s="33">
        <v>1</v>
      </c>
      <c r="AD771" s="33">
        <v>1</v>
      </c>
      <c r="AE771" s="33">
        <v>1</v>
      </c>
      <c r="AF771" s="33">
        <v>1</v>
      </c>
      <c r="AG771" s="33">
        <v>1</v>
      </c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customHeight="1" x14ac:dyDescent="0.25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48"/>
        <v>3219.6525000000001</v>
      </c>
      <c r="S772" s="18">
        <f t="shared" si="149"/>
        <v>0</v>
      </c>
      <c r="T772" s="19">
        <f t="shared" si="150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51"/>
        <v>-1</v>
      </c>
      <c r="Z772" s="20">
        <f>Tabela1[[#This Row],[PESO TOTAL]]-Tabela1[[#This Row],[Peso Expedido]]</f>
        <v>3799</v>
      </c>
      <c r="AA772" s="17">
        <v>1</v>
      </c>
      <c r="AB772" s="33"/>
      <c r="AC772" s="33">
        <v>1</v>
      </c>
      <c r="AD772" s="33">
        <v>1</v>
      </c>
      <c r="AE772" s="33">
        <v>0.5</v>
      </c>
      <c r="AF772" s="33">
        <v>0.2</v>
      </c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customHeight="1" x14ac:dyDescent="0.25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48"/>
        <v>2587.2660000000001</v>
      </c>
      <c r="S773" s="18">
        <f t="shared" si="149"/>
        <v>522.68000000000006</v>
      </c>
      <c r="T773" s="19">
        <f t="shared" si="150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51"/>
        <v>-1</v>
      </c>
      <c r="Z773" s="20">
        <f>Tabela1[[#This Row],[PESO TOTAL]]-Tabela1[[#This Row],[Peso Expedido]]</f>
        <v>2613.4</v>
      </c>
      <c r="AA773" s="17">
        <v>1</v>
      </c>
      <c r="AB773" s="33"/>
      <c r="AC773" s="33">
        <v>1</v>
      </c>
      <c r="AD773" s="33">
        <v>1</v>
      </c>
      <c r="AE773" s="33">
        <v>1</v>
      </c>
      <c r="AF773" s="33">
        <v>0.8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customHeight="1" x14ac:dyDescent="0.25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4863</v>
      </c>
      <c r="K774" s="8" t="s">
        <v>4320</v>
      </c>
      <c r="L774" s="9" t="s">
        <v>4862</v>
      </c>
      <c r="M774" s="10"/>
      <c r="N774" s="8" t="s">
        <v>38</v>
      </c>
      <c r="O774" s="12"/>
      <c r="P774" s="13"/>
      <c r="Q774" s="14">
        <f>Tabela1[[#This Row],[QTDE/ Fabricação]]-Tabela1[[#This Row],[QTE]]</f>
        <v>0</v>
      </c>
      <c r="R774" s="18">
        <f t="shared" si="148"/>
        <v>1000</v>
      </c>
      <c r="S774" s="18">
        <f t="shared" si="149"/>
        <v>1000</v>
      </c>
      <c r="T774" s="19">
        <f t="shared" si="150"/>
        <v>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51"/>
        <v>0</v>
      </c>
      <c r="Z774" s="20">
        <v>0</v>
      </c>
      <c r="AA774" s="17">
        <v>1</v>
      </c>
      <c r="AB774" s="33">
        <v>1</v>
      </c>
      <c r="AC774" s="33">
        <v>1</v>
      </c>
      <c r="AD774" s="33">
        <v>1</v>
      </c>
      <c r="AE774" s="33">
        <v>1</v>
      </c>
      <c r="AF774" s="33">
        <v>1</v>
      </c>
      <c r="AG774" s="33">
        <v>1</v>
      </c>
      <c r="AH774" s="33">
        <v>1</v>
      </c>
      <c r="AI774" s="33" t="s">
        <v>4412</v>
      </c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customHeight="1" x14ac:dyDescent="0.25">
      <c r="A775" s="1" t="s">
        <v>4866</v>
      </c>
      <c r="B775" s="21" t="s">
        <v>4867</v>
      </c>
      <c r="C775" s="1">
        <v>1</v>
      </c>
      <c r="D775" s="1" t="s">
        <v>4871</v>
      </c>
      <c r="E775" s="7">
        <v>4430</v>
      </c>
      <c r="F775" s="7">
        <v>40</v>
      </c>
      <c r="G775" s="1">
        <v>67.099999999999994</v>
      </c>
      <c r="H775" s="34">
        <f>Tabela1[[#This Row],[PESO UNI]]*Tabela1[[#This Row],[QTE]]</f>
        <v>67.099999999999994</v>
      </c>
      <c r="I775" s="7" t="s">
        <v>5493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>Tabela1[[#This Row],[QTDE/ Fabricação]]-Tabela1[[#This Row],[QTE]]</f>
        <v>-1</v>
      </c>
      <c r="R775" s="18">
        <f t="shared" ref="R775:R806" si="152">IFERROR(H775*((AA775*0.25)+(AC775*0.25)+(AD775*0.225)+(AE775*0.225)+(AF775*0.05)),"")</f>
        <v>30.194999999999997</v>
      </c>
      <c r="S775" s="18">
        <f t="shared" ref="S775:S806" si="153">IFERROR(H775*AG775,"")</f>
        <v>0</v>
      </c>
      <c r="T775" s="19">
        <f t="shared" ref="T775:T806" si="154">IFERROR(S775-H775,"")</f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ref="Y775:Y806" si="155">U775-C775</f>
        <v>-1</v>
      </c>
      <c r="Z775" s="20">
        <f>Tabela1[[#This Row],[PESO TOTAL]]-Tabela1[[#This Row],[Peso Expedido]]</f>
        <v>67.099999999999994</v>
      </c>
      <c r="AA775" s="17">
        <v>0.9</v>
      </c>
      <c r="AB775" s="33"/>
      <c r="AC775" s="33">
        <v>0.9</v>
      </c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customHeight="1" x14ac:dyDescent="0.25">
      <c r="A776" s="1" t="s">
        <v>4866</v>
      </c>
      <c r="B776" s="21" t="s">
        <v>4867</v>
      </c>
      <c r="C776" s="1">
        <v>4</v>
      </c>
      <c r="D776" s="1" t="s">
        <v>4872</v>
      </c>
      <c r="E776" s="7">
        <v>4431</v>
      </c>
      <c r="F776" s="7">
        <v>40</v>
      </c>
      <c r="G776" s="1">
        <v>7.8</v>
      </c>
      <c r="H776" s="34">
        <f>Tabela1[[#This Row],[PESO UNI]]*Tabela1[[#This Row],[QTE]]</f>
        <v>31.2</v>
      </c>
      <c r="I776" s="7" t="s">
        <v>5493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-4</v>
      </c>
      <c r="R776" s="18">
        <f t="shared" si="152"/>
        <v>31.2</v>
      </c>
      <c r="S776" s="18">
        <f t="shared" si="153"/>
        <v>31.2</v>
      </c>
      <c r="T776" s="19">
        <f t="shared" si="154"/>
        <v>0</v>
      </c>
      <c r="U776" s="16">
        <f>IFERROR(SUMIF('LISTA DE EMBARQUE'!B:B,MICRO!E:E,'LISTA DE EMBARQUE'!G:G),"")</f>
        <v>4</v>
      </c>
      <c r="V776" s="12">
        <f>IFERROR(VLOOKUP(Tabela1[[#This Row],[COD.MDE]],'LISTA DE EMBARQUE'!B:L,11,0),"")</f>
        <v>7</v>
      </c>
      <c r="W776" s="13">
        <f>IFERROR(VLOOKUP(Tabela1[[#This Row],[COD.MDE]],'LISTA DE EMBARQUE'!B:M,12,0),"")</f>
        <v>46280</v>
      </c>
      <c r="X776" s="14">
        <f>IFERROR(Tabela1[[#This Row],[QIANTIDADE EXPEDIDA]]*Tabela1[[#This Row],[PESO UNI]],"")</f>
        <v>31.2</v>
      </c>
      <c r="Y776" s="14">
        <f t="shared" si="155"/>
        <v>0</v>
      </c>
      <c r="Z776" s="20">
        <f>Tabela1[[#This Row],[PESO TOTAL]]-Tabela1[[#This Row],[Peso Expedido]]</f>
        <v>0</v>
      </c>
      <c r="AA776" s="17">
        <v>1</v>
      </c>
      <c r="AB776" s="33"/>
      <c r="AC776" s="33">
        <v>1</v>
      </c>
      <c r="AD776" s="33">
        <v>1</v>
      </c>
      <c r="AE776" s="33">
        <v>1</v>
      </c>
      <c r="AF776" s="33">
        <v>1</v>
      </c>
      <c r="AG776" s="33">
        <v>1</v>
      </c>
      <c r="AH776" s="33">
        <v>1</v>
      </c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customHeight="1" x14ac:dyDescent="0.25">
      <c r="A777" s="1" t="s">
        <v>4866</v>
      </c>
      <c r="B777" s="21" t="s">
        <v>4867</v>
      </c>
      <c r="C777" s="1">
        <v>1</v>
      </c>
      <c r="D777" s="1" t="s">
        <v>4873</v>
      </c>
      <c r="E777" s="7">
        <v>4432</v>
      </c>
      <c r="F777" s="7">
        <v>40</v>
      </c>
      <c r="G777" s="1">
        <v>106.8</v>
      </c>
      <c r="H777" s="34">
        <f>Tabela1[[#This Row],[PESO UNI]]*Tabela1[[#This Row],[QTE]]</f>
        <v>106.8</v>
      </c>
      <c r="I777" s="7" t="s">
        <v>5493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-1</v>
      </c>
      <c r="R777" s="18">
        <f t="shared" si="152"/>
        <v>48.06</v>
      </c>
      <c r="S777" s="18">
        <f t="shared" si="153"/>
        <v>0</v>
      </c>
      <c r="T777" s="19">
        <f t="shared" si="154"/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 t="shared" si="155"/>
        <v>-1</v>
      </c>
      <c r="Z777" s="20">
        <f>Tabela1[[#This Row],[PESO TOTAL]]-Tabela1[[#This Row],[Peso Expedido]]</f>
        <v>106.8</v>
      </c>
      <c r="AA777" s="17">
        <v>0.9</v>
      </c>
      <c r="AB777" s="33"/>
      <c r="AC777" s="33">
        <v>0.9</v>
      </c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customHeight="1" x14ac:dyDescent="0.25">
      <c r="A778" s="1" t="s">
        <v>4866</v>
      </c>
      <c r="B778" s="21" t="s">
        <v>4867</v>
      </c>
      <c r="C778" s="1">
        <v>6</v>
      </c>
      <c r="D778" s="1" t="s">
        <v>4874</v>
      </c>
      <c r="E778" s="7">
        <v>4433</v>
      </c>
      <c r="F778" s="7">
        <v>40</v>
      </c>
      <c r="G778" s="1">
        <v>7.3</v>
      </c>
      <c r="H778" s="34">
        <f>Tabela1[[#This Row],[PESO UNI]]*Tabela1[[#This Row],[QTE]]</f>
        <v>43.8</v>
      </c>
      <c r="I778" s="7" t="s">
        <v>5493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-6</v>
      </c>
      <c r="R778" s="18">
        <f t="shared" si="152"/>
        <v>43.8</v>
      </c>
      <c r="S778" s="18">
        <f t="shared" si="153"/>
        <v>43.8</v>
      </c>
      <c r="T778" s="19">
        <f t="shared" si="154"/>
        <v>0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55"/>
        <v>-6</v>
      </c>
      <c r="Z778" s="20">
        <f>Tabela1[[#This Row],[PESO TOTAL]]-Tabela1[[#This Row],[Peso Expedido]]</f>
        <v>43.8</v>
      </c>
      <c r="AA778" s="17">
        <v>1</v>
      </c>
      <c r="AB778" s="33"/>
      <c r="AC778" s="33">
        <v>1</v>
      </c>
      <c r="AD778" s="33">
        <v>1</v>
      </c>
      <c r="AE778" s="33">
        <v>1</v>
      </c>
      <c r="AF778" s="33">
        <v>1</v>
      </c>
      <c r="AG778" s="33">
        <v>1</v>
      </c>
      <c r="AH778" s="33">
        <v>1</v>
      </c>
      <c r="AI778" s="33" t="s">
        <v>4509</v>
      </c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customHeight="1" x14ac:dyDescent="0.25">
      <c r="A779" s="1" t="s">
        <v>4866</v>
      </c>
      <c r="B779" s="21" t="s">
        <v>4867</v>
      </c>
      <c r="C779" s="1">
        <v>2</v>
      </c>
      <c r="D779" s="1" t="s">
        <v>4875</v>
      </c>
      <c r="E779" s="7">
        <v>4434</v>
      </c>
      <c r="F779" s="7">
        <v>40</v>
      </c>
      <c r="G779" s="1">
        <v>10</v>
      </c>
      <c r="H779" s="34">
        <f>Tabela1[[#This Row],[PESO UNI]]*Tabela1[[#This Row],[QTE]]</f>
        <v>20</v>
      </c>
      <c r="I779" s="7" t="s">
        <v>5493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-2</v>
      </c>
      <c r="R779" s="18">
        <f t="shared" si="152"/>
        <v>20</v>
      </c>
      <c r="S779" s="18">
        <f t="shared" si="153"/>
        <v>20</v>
      </c>
      <c r="T779" s="19">
        <f t="shared" si="154"/>
        <v>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55"/>
        <v>-2</v>
      </c>
      <c r="Z779" s="20">
        <f>Tabela1[[#This Row],[PESO TOTAL]]-Tabela1[[#This Row],[Peso Expedido]]</f>
        <v>20</v>
      </c>
      <c r="AA779" s="17">
        <v>1</v>
      </c>
      <c r="AB779" s="33"/>
      <c r="AC779" s="33">
        <v>1</v>
      </c>
      <c r="AD779" s="33">
        <v>1</v>
      </c>
      <c r="AE779" s="33">
        <v>1</v>
      </c>
      <c r="AF779" s="33">
        <v>1</v>
      </c>
      <c r="AG779" s="33">
        <v>1</v>
      </c>
      <c r="AH779" s="33">
        <v>1</v>
      </c>
      <c r="AI779" s="33" t="s">
        <v>4509</v>
      </c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customHeight="1" x14ac:dyDescent="0.25">
      <c r="A780" s="1" t="s">
        <v>4866</v>
      </c>
      <c r="B780" s="21" t="s">
        <v>4867</v>
      </c>
      <c r="C780" s="1">
        <v>2</v>
      </c>
      <c r="D780" s="1" t="s">
        <v>4876</v>
      </c>
      <c r="E780" s="7">
        <v>4435</v>
      </c>
      <c r="F780" s="7">
        <v>40</v>
      </c>
      <c r="G780" s="1">
        <v>8.1999999999999993</v>
      </c>
      <c r="H780" s="34">
        <f>Tabela1[[#This Row],[PESO UNI]]*Tabela1[[#This Row],[QTE]]</f>
        <v>16.399999999999999</v>
      </c>
      <c r="I780" s="7" t="s">
        <v>5493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52"/>
        <v>16.399999999999999</v>
      </c>
      <c r="S780" s="18">
        <f t="shared" si="153"/>
        <v>16.399999999999999</v>
      </c>
      <c r="T780" s="19">
        <f t="shared" si="154"/>
        <v>0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55"/>
        <v>-2</v>
      </c>
      <c r="Z780" s="20">
        <f>Tabela1[[#This Row],[PESO TOTAL]]-Tabela1[[#This Row],[Peso Expedido]]</f>
        <v>16.399999999999999</v>
      </c>
      <c r="AA780" s="17">
        <v>1</v>
      </c>
      <c r="AB780" s="33"/>
      <c r="AC780" s="33">
        <v>1</v>
      </c>
      <c r="AD780" s="33">
        <v>1</v>
      </c>
      <c r="AE780" s="33">
        <v>1</v>
      </c>
      <c r="AF780" s="33">
        <v>1</v>
      </c>
      <c r="AG780" s="33">
        <v>1</v>
      </c>
      <c r="AH780" s="33">
        <v>1</v>
      </c>
      <c r="AI780" s="33" t="s">
        <v>4509</v>
      </c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customHeight="1" x14ac:dyDescent="0.25">
      <c r="A781" s="1" t="s">
        <v>4869</v>
      </c>
      <c r="B781" s="21" t="s">
        <v>4870</v>
      </c>
      <c r="C781" s="1">
        <v>2</v>
      </c>
      <c r="D781" s="1" t="s">
        <v>4877</v>
      </c>
      <c r="E781" s="7">
        <v>4436</v>
      </c>
      <c r="F781" s="7">
        <v>40</v>
      </c>
      <c r="G781" s="1">
        <v>72.8</v>
      </c>
      <c r="H781" s="34">
        <f>Tabela1[[#This Row],[PESO UNI]]*Tabela1[[#This Row],[QTE]]</f>
        <v>145.6</v>
      </c>
      <c r="I781" s="7" t="s">
        <v>5382</v>
      </c>
      <c r="J781" s="8" t="s">
        <v>3093</v>
      </c>
      <c r="K781" s="8" t="s">
        <v>4320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si="152"/>
        <v>145.6</v>
      </c>
      <c r="S781" s="18">
        <f t="shared" si="153"/>
        <v>145.6</v>
      </c>
      <c r="T781" s="19">
        <f t="shared" si="154"/>
        <v>0</v>
      </c>
      <c r="U781" s="16">
        <f>IFERROR(SUMIF('LISTA DE EMBARQUE'!B:B,MICRO!E:E,'LISTA DE EMBARQUE'!G:G),"")</f>
        <v>2</v>
      </c>
      <c r="V781" s="12">
        <f>IFERROR(VLOOKUP(Tabela1[[#This Row],[COD.MDE]],'LISTA DE EMBARQUE'!B:L,11,0),"")</f>
        <v>6</v>
      </c>
      <c r="W781" s="13">
        <f>IFERROR(VLOOKUP(Tabela1[[#This Row],[COD.MDE]],'LISTA DE EMBARQUE'!B:M,12,0),"")</f>
        <v>46273</v>
      </c>
      <c r="X781" s="14">
        <f>IFERROR(Tabela1[[#This Row],[QIANTIDADE EXPEDIDA]]*Tabela1[[#This Row],[PESO UNI]],"")</f>
        <v>145.6</v>
      </c>
      <c r="Y781" s="14">
        <f t="shared" si="155"/>
        <v>0</v>
      </c>
      <c r="Z781" s="20">
        <f>Tabela1[[#This Row],[PESO TOTAL]]-Tabela1[[#This Row],[Peso Expedido]]</f>
        <v>0</v>
      </c>
      <c r="AA781" s="17">
        <v>1</v>
      </c>
      <c r="AB781" s="33"/>
      <c r="AC781" s="17">
        <v>1</v>
      </c>
      <c r="AD781" s="17">
        <v>1</v>
      </c>
      <c r="AE781" s="17">
        <v>1</v>
      </c>
      <c r="AF781" s="17">
        <v>1</v>
      </c>
      <c r="AG781" s="17">
        <v>1</v>
      </c>
      <c r="AH781" s="17">
        <v>1</v>
      </c>
      <c r="AI781" s="33" t="s">
        <v>4412</v>
      </c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customHeight="1" x14ac:dyDescent="0.25">
      <c r="A782" s="1" t="s">
        <v>4869</v>
      </c>
      <c r="B782" s="21" t="s">
        <v>4870</v>
      </c>
      <c r="C782" s="1">
        <v>4</v>
      </c>
      <c r="D782" s="1" t="s">
        <v>4891</v>
      </c>
      <c r="E782" s="7">
        <v>4437</v>
      </c>
      <c r="F782" s="7">
        <v>40</v>
      </c>
      <c r="G782" s="1">
        <v>16.2</v>
      </c>
      <c r="H782" s="34">
        <f>Tabela1[[#This Row],[PESO UNI]]*Tabela1[[#This Row],[QTE]]</f>
        <v>64.8</v>
      </c>
      <c r="I782" s="7" t="s">
        <v>5382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-4</v>
      </c>
      <c r="R782" s="18">
        <f t="shared" si="152"/>
        <v>64.8</v>
      </c>
      <c r="S782" s="18">
        <f t="shared" si="153"/>
        <v>64.8</v>
      </c>
      <c r="T782" s="19">
        <f t="shared" si="154"/>
        <v>0</v>
      </c>
      <c r="U782" s="16">
        <f>IFERROR(SUMIF('LISTA DE EMBARQUE'!B:B,MICRO!E:E,'LISTA DE EMBARQUE'!G:G),"")</f>
        <v>2</v>
      </c>
      <c r="V782" s="12">
        <f>IFERROR(VLOOKUP(Tabela1[[#This Row],[COD.MDE]],'LISTA DE EMBARQUE'!B:L,11,0),"")</f>
        <v>6</v>
      </c>
      <c r="W782" s="13">
        <f>IFERROR(VLOOKUP(Tabela1[[#This Row],[COD.MDE]],'LISTA DE EMBARQUE'!B:M,12,0),"")</f>
        <v>46273</v>
      </c>
      <c r="X782" s="14">
        <f>IFERROR(Tabela1[[#This Row],[QIANTIDADE EXPEDIDA]]*Tabela1[[#This Row],[PESO UNI]],"")</f>
        <v>32.4</v>
      </c>
      <c r="Y782" s="14">
        <f t="shared" si="155"/>
        <v>-2</v>
      </c>
      <c r="Z782" s="20">
        <f>Tabela1[[#This Row],[PESO TOTAL]]-Tabela1[[#This Row],[Peso Expedido]]</f>
        <v>32.4</v>
      </c>
      <c r="AA782" s="17">
        <v>1</v>
      </c>
      <c r="AB782" s="33"/>
      <c r="AC782" s="33">
        <v>1</v>
      </c>
      <c r="AD782" s="33">
        <v>1</v>
      </c>
      <c r="AE782" s="33">
        <v>1</v>
      </c>
      <c r="AF782" s="33">
        <v>1</v>
      </c>
      <c r="AG782" s="33">
        <v>1</v>
      </c>
      <c r="AH782" s="33">
        <v>0.5</v>
      </c>
      <c r="AI782" s="33" t="s">
        <v>4412</v>
      </c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customHeight="1" x14ac:dyDescent="0.25">
      <c r="A783" s="1" t="s">
        <v>4869</v>
      </c>
      <c r="B783" s="21" t="s">
        <v>4870</v>
      </c>
      <c r="C783" s="1">
        <v>4</v>
      </c>
      <c r="D783" s="1" t="s">
        <v>4890</v>
      </c>
      <c r="E783" s="7">
        <v>4438</v>
      </c>
      <c r="F783" s="7">
        <v>40</v>
      </c>
      <c r="G783" s="1">
        <v>0.6</v>
      </c>
      <c r="H783" s="34">
        <f>Tabela1[[#This Row],[PESO UNI]]*Tabela1[[#This Row],[QTE]]</f>
        <v>2.4</v>
      </c>
      <c r="I783" s="7" t="s">
        <v>5382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si="152"/>
        <v>2.4</v>
      </c>
      <c r="S783" s="18">
        <f t="shared" si="153"/>
        <v>2.4</v>
      </c>
      <c r="T783" s="19">
        <f t="shared" si="154"/>
        <v>0</v>
      </c>
      <c r="U783" s="16">
        <f>IFERROR(SUMIF('LISTA DE EMBARQUE'!B:B,MICRO!E:E,'LISTA DE EMBARQUE'!G:G),"")</f>
        <v>4</v>
      </c>
      <c r="V783" s="12">
        <f>IFERROR(VLOOKUP(Tabela1[[#This Row],[COD.MDE]],'LISTA DE EMBARQUE'!B:L,11,0),"")</f>
        <v>6</v>
      </c>
      <c r="W783" s="13">
        <f>IFERROR(VLOOKUP(Tabela1[[#This Row],[COD.MDE]],'LISTA DE EMBARQUE'!B:M,12,0),"")</f>
        <v>46273</v>
      </c>
      <c r="X783" s="14">
        <f>IFERROR(Tabela1[[#This Row],[QIANTIDADE EXPEDIDA]]*Tabela1[[#This Row],[PESO UNI]],"")</f>
        <v>2.4</v>
      </c>
      <c r="Y783" s="14">
        <f t="shared" si="155"/>
        <v>0</v>
      </c>
      <c r="Z783" s="20">
        <f>Tabela1[[#This Row],[PESO TOTAL]]-Tabela1[[#This Row],[Peso Expedido]]</f>
        <v>0</v>
      </c>
      <c r="AA783" s="17">
        <v>1</v>
      </c>
      <c r="AB783" s="33"/>
      <c r="AC783" s="17">
        <v>1</v>
      </c>
      <c r="AD783" s="17">
        <v>1</v>
      </c>
      <c r="AE783" s="17">
        <v>1</v>
      </c>
      <c r="AF783" s="17">
        <v>1</v>
      </c>
      <c r="AG783" s="17">
        <v>1</v>
      </c>
      <c r="AH783" s="17">
        <v>1</v>
      </c>
      <c r="AI783" s="33" t="s">
        <v>4412</v>
      </c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customHeight="1" x14ac:dyDescent="0.25">
      <c r="A784" s="1" t="s">
        <v>4869</v>
      </c>
      <c r="B784" s="21" t="s">
        <v>4870</v>
      </c>
      <c r="C784" s="1">
        <v>4</v>
      </c>
      <c r="D784" s="1" t="s">
        <v>4889</v>
      </c>
      <c r="E784" s="7">
        <v>4439</v>
      </c>
      <c r="F784" s="7">
        <v>40</v>
      </c>
      <c r="G784" s="1">
        <v>6</v>
      </c>
      <c r="H784" s="34">
        <f>Tabela1[[#This Row],[PESO UNI]]*Tabela1[[#This Row],[QTE]]</f>
        <v>24</v>
      </c>
      <c r="I784" s="7" t="s">
        <v>5382</v>
      </c>
      <c r="J784" s="8" t="s">
        <v>3093</v>
      </c>
      <c r="K784" s="8" t="s">
        <v>4320</v>
      </c>
      <c r="L784" s="9" t="s">
        <v>2984</v>
      </c>
      <c r="M784" s="10">
        <v>46233</v>
      </c>
      <c r="N784" s="8" t="s">
        <v>38</v>
      </c>
      <c r="O784" s="12"/>
      <c r="P784" s="13"/>
      <c r="Q784" s="14">
        <f>Tabela1[[#This Row],[QTDE/ Fabricação]]-Tabela1[[#This Row],[QTE]]</f>
        <v>-4</v>
      </c>
      <c r="R784" s="18">
        <f t="shared" si="152"/>
        <v>24</v>
      </c>
      <c r="S784" s="18">
        <f t="shared" si="153"/>
        <v>24</v>
      </c>
      <c r="T784" s="19">
        <f t="shared" si="154"/>
        <v>0</v>
      </c>
      <c r="U784" s="16">
        <f>IFERROR(SUMIF('LISTA DE EMBARQUE'!B:B,MICRO!E:E,'LISTA DE EMBARQUE'!G:G),"")</f>
        <v>4</v>
      </c>
      <c r="V784" s="12">
        <f>IFERROR(VLOOKUP(Tabela1[[#This Row],[COD.MDE]],'LISTA DE EMBARQUE'!B:L,11,0),"")</f>
        <v>7</v>
      </c>
      <c r="W784" s="13">
        <f>IFERROR(VLOOKUP(Tabela1[[#This Row],[COD.MDE]],'LISTA DE EMBARQUE'!B:M,12,0),"")</f>
        <v>46280</v>
      </c>
      <c r="X784" s="14">
        <f>IFERROR(Tabela1[[#This Row],[QIANTIDADE EXPEDIDA]]*Tabela1[[#This Row],[PESO UNI]],"")</f>
        <v>24</v>
      </c>
      <c r="Y784" s="14">
        <f t="shared" si="155"/>
        <v>0</v>
      </c>
      <c r="Z784" s="20">
        <f>Tabela1[[#This Row],[PESO TOTAL]]-Tabela1[[#This Row],[Peso Expedido]]</f>
        <v>0</v>
      </c>
      <c r="AA784" s="17">
        <v>1</v>
      </c>
      <c r="AB784" s="33"/>
      <c r="AC784" s="33">
        <v>1</v>
      </c>
      <c r="AD784" s="33">
        <v>1</v>
      </c>
      <c r="AE784" s="33">
        <v>1</v>
      </c>
      <c r="AF784" s="33">
        <v>1</v>
      </c>
      <c r="AG784" s="33">
        <v>1</v>
      </c>
      <c r="AH784" s="33">
        <v>1</v>
      </c>
      <c r="AI784" s="33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customHeight="1" x14ac:dyDescent="0.25">
      <c r="A785" s="1" t="s">
        <v>4869</v>
      </c>
      <c r="B785" s="21" t="s">
        <v>4870</v>
      </c>
      <c r="C785" s="1">
        <v>2</v>
      </c>
      <c r="D785" s="1" t="s">
        <v>4888</v>
      </c>
      <c r="E785" s="7">
        <v>4440</v>
      </c>
      <c r="F785" s="7">
        <v>40</v>
      </c>
      <c r="G785" s="1">
        <v>67.2</v>
      </c>
      <c r="H785" s="34">
        <f>Tabela1[[#This Row],[PESO UNI]]*Tabela1[[#This Row],[QTE]]</f>
        <v>134.4</v>
      </c>
      <c r="I785" s="7" t="s">
        <v>5382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-2</v>
      </c>
      <c r="R785" s="18">
        <f t="shared" si="152"/>
        <v>60.480000000000004</v>
      </c>
      <c r="S785" s="18">
        <f t="shared" si="153"/>
        <v>0</v>
      </c>
      <c r="T785" s="19">
        <f t="shared" si="154"/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 t="shared" si="155"/>
        <v>-2</v>
      </c>
      <c r="Z785" s="20">
        <f>Tabela1[[#This Row],[PESO TOTAL]]-Tabela1[[#This Row],[Peso Expedido]]</f>
        <v>134.4</v>
      </c>
      <c r="AA785" s="17">
        <v>0.9</v>
      </c>
      <c r="AB785" s="33"/>
      <c r="AC785" s="33">
        <v>0.9</v>
      </c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customHeight="1" x14ac:dyDescent="0.25">
      <c r="A786" s="1" t="s">
        <v>4869</v>
      </c>
      <c r="B786" s="21" t="s">
        <v>4870</v>
      </c>
      <c r="C786" s="1">
        <v>12</v>
      </c>
      <c r="D786" s="1" t="s">
        <v>4887</v>
      </c>
      <c r="E786" s="7">
        <v>4441</v>
      </c>
      <c r="F786" s="7">
        <v>40</v>
      </c>
      <c r="G786" s="1">
        <v>7.3</v>
      </c>
      <c r="H786" s="34">
        <f>Tabela1[[#This Row],[PESO UNI]]*Tabela1[[#This Row],[QTE]]</f>
        <v>87.6</v>
      </c>
      <c r="I786" s="7" t="s">
        <v>5382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-12</v>
      </c>
      <c r="R786" s="18">
        <f t="shared" si="152"/>
        <v>39.42</v>
      </c>
      <c r="S786" s="18">
        <f t="shared" si="153"/>
        <v>0</v>
      </c>
      <c r="T786" s="19">
        <f t="shared" si="154"/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si="155"/>
        <v>-12</v>
      </c>
      <c r="Z786" s="20">
        <f>Tabela1[[#This Row],[PESO TOTAL]]-Tabela1[[#This Row],[Peso Expedido]]</f>
        <v>87.6</v>
      </c>
      <c r="AA786" s="17">
        <v>0.9</v>
      </c>
      <c r="AB786" s="33"/>
      <c r="AC786" s="33">
        <v>0.9</v>
      </c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customHeight="1" x14ac:dyDescent="0.25">
      <c r="A787" s="1" t="s">
        <v>4869</v>
      </c>
      <c r="B787" s="21" t="s">
        <v>4870</v>
      </c>
      <c r="C787" s="1">
        <v>2</v>
      </c>
      <c r="D787" s="1" t="s">
        <v>4886</v>
      </c>
      <c r="E787" s="7">
        <v>4442</v>
      </c>
      <c r="F787" s="7">
        <v>40</v>
      </c>
      <c r="G787" s="1">
        <v>11.6</v>
      </c>
      <c r="H787" s="34">
        <f>Tabela1[[#This Row],[PESO UNI]]*Tabela1[[#This Row],[QTE]]</f>
        <v>23.2</v>
      </c>
      <c r="I787" s="7" t="s">
        <v>5382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-2</v>
      </c>
      <c r="R787" s="18">
        <f t="shared" si="152"/>
        <v>10.44</v>
      </c>
      <c r="S787" s="18">
        <f t="shared" si="153"/>
        <v>0</v>
      </c>
      <c r="T787" s="19">
        <f t="shared" si="154"/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si="155"/>
        <v>-2</v>
      </c>
      <c r="Z787" s="20">
        <f>Tabela1[[#This Row],[PESO TOTAL]]-Tabela1[[#This Row],[Peso Expedido]]</f>
        <v>23.2</v>
      </c>
      <c r="AA787" s="17">
        <v>0.9</v>
      </c>
      <c r="AB787" s="33"/>
      <c r="AC787" s="33">
        <v>0.9</v>
      </c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customHeight="1" x14ac:dyDescent="0.25">
      <c r="A788" s="1" t="s">
        <v>4869</v>
      </c>
      <c r="B788" s="21" t="s">
        <v>4870</v>
      </c>
      <c r="C788" s="1">
        <v>2</v>
      </c>
      <c r="D788" s="1" t="s">
        <v>4885</v>
      </c>
      <c r="E788" s="7">
        <v>4443</v>
      </c>
      <c r="F788" s="7">
        <v>40</v>
      </c>
      <c r="G788" s="1">
        <v>12.2</v>
      </c>
      <c r="H788" s="34">
        <f>Tabela1[[#This Row],[PESO UNI]]*Tabela1[[#This Row],[QTE]]</f>
        <v>24.4</v>
      </c>
      <c r="I788" s="7" t="s">
        <v>5382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si="152"/>
        <v>10.98</v>
      </c>
      <c r="S788" s="18">
        <f t="shared" si="153"/>
        <v>0</v>
      </c>
      <c r="T788" s="19">
        <f t="shared" si="154"/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si="155"/>
        <v>-2</v>
      </c>
      <c r="Z788" s="20">
        <f>Tabela1[[#This Row],[PESO TOTAL]]-Tabela1[[#This Row],[Peso Expedido]]</f>
        <v>24.4</v>
      </c>
      <c r="AA788" s="17">
        <v>0.9</v>
      </c>
      <c r="AB788" s="33"/>
      <c r="AC788" s="33">
        <v>0.9</v>
      </c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customHeight="1" x14ac:dyDescent="0.25">
      <c r="A789" s="1" t="s">
        <v>4869</v>
      </c>
      <c r="B789" s="21" t="s">
        <v>4870</v>
      </c>
      <c r="C789" s="1">
        <v>2</v>
      </c>
      <c r="D789" s="1" t="s">
        <v>4884</v>
      </c>
      <c r="E789" s="7">
        <v>4444</v>
      </c>
      <c r="F789" s="7">
        <v>40</v>
      </c>
      <c r="G789" s="1">
        <v>12.8</v>
      </c>
      <c r="H789" s="34">
        <f>Tabela1[[#This Row],[PESO UNI]]*Tabela1[[#This Row],[QTE]]</f>
        <v>25.6</v>
      </c>
      <c r="I789" s="7" t="s">
        <v>5382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si="152"/>
        <v>11.520000000000001</v>
      </c>
      <c r="S789" s="18">
        <f t="shared" si="153"/>
        <v>0</v>
      </c>
      <c r="T789" s="19">
        <f t="shared" si="154"/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si="155"/>
        <v>-2</v>
      </c>
      <c r="Z789" s="20">
        <f>Tabela1[[#This Row],[PESO TOTAL]]-Tabela1[[#This Row],[Peso Expedido]]</f>
        <v>25.6</v>
      </c>
      <c r="AA789" s="17">
        <v>0.9</v>
      </c>
      <c r="AB789" s="33"/>
      <c r="AC789" s="33">
        <v>0.9</v>
      </c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customHeight="1" x14ac:dyDescent="0.25">
      <c r="A790" s="1" t="s">
        <v>4869</v>
      </c>
      <c r="B790" s="21" t="s">
        <v>4870</v>
      </c>
      <c r="C790" s="1">
        <v>2</v>
      </c>
      <c r="D790" s="1" t="s">
        <v>4883</v>
      </c>
      <c r="E790" s="7">
        <v>4445</v>
      </c>
      <c r="F790" s="7">
        <v>40</v>
      </c>
      <c r="G790" s="1">
        <v>13.5</v>
      </c>
      <c r="H790" s="34">
        <f>Tabela1[[#This Row],[PESO UNI]]*Tabela1[[#This Row],[QTE]]</f>
        <v>27</v>
      </c>
      <c r="I790" s="7" t="s">
        <v>5382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si="152"/>
        <v>12.15</v>
      </c>
      <c r="S790" s="18">
        <f t="shared" si="153"/>
        <v>0</v>
      </c>
      <c r="T790" s="19">
        <f t="shared" si="154"/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si="155"/>
        <v>-2</v>
      </c>
      <c r="Z790" s="20">
        <f>Tabela1[[#This Row],[PESO TOTAL]]-Tabela1[[#This Row],[Peso Expedido]]</f>
        <v>27</v>
      </c>
      <c r="AA790" s="17">
        <v>0.9</v>
      </c>
      <c r="AB790" s="33"/>
      <c r="AC790" s="33">
        <v>0.9</v>
      </c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customHeight="1" x14ac:dyDescent="0.25">
      <c r="A791" s="1" t="s">
        <v>4869</v>
      </c>
      <c r="B791" s="21" t="s">
        <v>4870</v>
      </c>
      <c r="C791" s="1">
        <v>2</v>
      </c>
      <c r="D791" s="1" t="s">
        <v>4882</v>
      </c>
      <c r="E791" s="7">
        <v>4446</v>
      </c>
      <c r="F791" s="7">
        <v>40</v>
      </c>
      <c r="G791" s="1">
        <v>14.1</v>
      </c>
      <c r="H791" s="34">
        <f>Tabela1[[#This Row],[PESO UNI]]*Tabela1[[#This Row],[QTE]]</f>
        <v>28.2</v>
      </c>
      <c r="I791" s="7" t="s">
        <v>5382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si="152"/>
        <v>12.69</v>
      </c>
      <c r="S791" s="18">
        <f t="shared" si="153"/>
        <v>0</v>
      </c>
      <c r="T791" s="19">
        <f t="shared" si="154"/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si="155"/>
        <v>-2</v>
      </c>
      <c r="Z791" s="20">
        <f>Tabela1[[#This Row],[PESO TOTAL]]-Tabela1[[#This Row],[Peso Expedido]]</f>
        <v>28.2</v>
      </c>
      <c r="AA791" s="17">
        <v>0.9</v>
      </c>
      <c r="AB791" s="33"/>
      <c r="AC791" s="33">
        <v>0.9</v>
      </c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customHeight="1" x14ac:dyDescent="0.25">
      <c r="A792" s="1" t="s">
        <v>4869</v>
      </c>
      <c r="B792" s="21" t="s">
        <v>4870</v>
      </c>
      <c r="C792" s="1">
        <v>2</v>
      </c>
      <c r="D792" s="1" t="s">
        <v>4881</v>
      </c>
      <c r="E792" s="7">
        <v>4447</v>
      </c>
      <c r="F792" s="7">
        <v>40</v>
      </c>
      <c r="G792" s="1">
        <v>13.9</v>
      </c>
      <c r="H792" s="34">
        <f>Tabela1[[#This Row],[PESO UNI]]*Tabela1[[#This Row],[QTE]]</f>
        <v>27.8</v>
      </c>
      <c r="I792" s="7" t="s">
        <v>5382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si="152"/>
        <v>12.51</v>
      </c>
      <c r="S792" s="18">
        <f t="shared" si="153"/>
        <v>0</v>
      </c>
      <c r="T792" s="19">
        <f t="shared" si="154"/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si="155"/>
        <v>-2</v>
      </c>
      <c r="Z792" s="20">
        <f>Tabela1[[#This Row],[PESO TOTAL]]-Tabela1[[#This Row],[Peso Expedido]]</f>
        <v>27.8</v>
      </c>
      <c r="AA792" s="17">
        <v>0.9</v>
      </c>
      <c r="AB792" s="33"/>
      <c r="AC792" s="33">
        <v>0.9</v>
      </c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customHeight="1" x14ac:dyDescent="0.25">
      <c r="A793" s="1" t="s">
        <v>4878</v>
      </c>
      <c r="B793" s="21" t="s">
        <v>4879</v>
      </c>
      <c r="C793" s="1">
        <v>2</v>
      </c>
      <c r="D793" s="1" t="s">
        <v>4880</v>
      </c>
      <c r="E793" s="7">
        <v>4448</v>
      </c>
      <c r="F793" s="7">
        <v>40</v>
      </c>
      <c r="G793" s="1">
        <v>71.099999999999994</v>
      </c>
      <c r="H793" s="34">
        <f>Tabela1[[#This Row],[PESO UNI]]*Tabela1[[#This Row],[QTE]]</f>
        <v>142.19999999999999</v>
      </c>
      <c r="I793" s="7" t="s">
        <v>5382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si="152"/>
        <v>142.19999999999999</v>
      </c>
      <c r="S793" s="18">
        <f t="shared" si="153"/>
        <v>142.19999999999999</v>
      </c>
      <c r="T793" s="19">
        <f t="shared" si="154"/>
        <v>0</v>
      </c>
      <c r="U793" s="16">
        <f>IFERROR(SUMIF('LISTA DE EMBARQUE'!B:B,MICRO!E:E,'LISTA DE EMBARQUE'!G:G),"")</f>
        <v>4</v>
      </c>
      <c r="V793" s="12">
        <f>IFERROR(VLOOKUP(Tabela1[[#This Row],[COD.MDE]],'LISTA DE EMBARQUE'!B:L,11,0),"")</f>
        <v>6</v>
      </c>
      <c r="W793" s="13">
        <f>IFERROR(VLOOKUP(Tabela1[[#This Row],[COD.MDE]],'LISTA DE EMBARQUE'!B:M,12,0),"")</f>
        <v>46273</v>
      </c>
      <c r="X793" s="14">
        <f>IFERROR(Tabela1[[#This Row],[QIANTIDADE EXPEDIDA]]*Tabela1[[#This Row],[PESO UNI]],"")</f>
        <v>284.39999999999998</v>
      </c>
      <c r="Y793" s="14">
        <f t="shared" si="155"/>
        <v>2</v>
      </c>
      <c r="Z793" s="20">
        <f>Tabela1[[#This Row],[PESO TOTAL]]-Tabela1[[#This Row],[Peso Expedido]]</f>
        <v>-142.19999999999999</v>
      </c>
      <c r="AA793" s="17">
        <v>1</v>
      </c>
      <c r="AB793" s="33"/>
      <c r="AC793" s="17">
        <v>1</v>
      </c>
      <c r="AD793" s="17">
        <v>1</v>
      </c>
      <c r="AE793" s="17">
        <v>1</v>
      </c>
      <c r="AF793" s="17">
        <v>1</v>
      </c>
      <c r="AG793" s="17">
        <v>1</v>
      </c>
      <c r="AH793" s="17">
        <v>1</v>
      </c>
      <c r="AI793" s="33" t="s">
        <v>4412</v>
      </c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customHeight="1" x14ac:dyDescent="0.25">
      <c r="A794" s="1" t="s">
        <v>4878</v>
      </c>
      <c r="B794" s="21" t="s">
        <v>4879</v>
      </c>
      <c r="C794" s="1">
        <v>4</v>
      </c>
      <c r="D794" s="1" t="s">
        <v>4892</v>
      </c>
      <c r="E794" s="7">
        <v>4449</v>
      </c>
      <c r="F794" s="7">
        <v>40</v>
      </c>
      <c r="G794" s="1">
        <v>8.1</v>
      </c>
      <c r="H794" s="34">
        <f>Tabela1[[#This Row],[PESO UNI]]*Tabela1[[#This Row],[QTE]]</f>
        <v>32.4</v>
      </c>
      <c r="I794" s="7" t="s">
        <v>5382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-4</v>
      </c>
      <c r="R794" s="18">
        <f t="shared" si="152"/>
        <v>32.4</v>
      </c>
      <c r="S794" s="18">
        <f t="shared" si="153"/>
        <v>32.4</v>
      </c>
      <c r="T794" s="19">
        <f t="shared" si="154"/>
        <v>0</v>
      </c>
      <c r="U794" s="16">
        <f>IFERROR(SUMIF('LISTA DE EMBARQUE'!B:B,MICRO!E:E,'LISTA DE EMBARQUE'!G:G),"")</f>
        <v>2</v>
      </c>
      <c r="V794" s="12">
        <f>IFERROR(VLOOKUP(Tabela1[[#This Row],[COD.MDE]],'LISTA DE EMBARQUE'!B:L,11,0),"")</f>
        <v>6</v>
      </c>
      <c r="W794" s="13">
        <f>IFERROR(VLOOKUP(Tabela1[[#This Row],[COD.MDE]],'LISTA DE EMBARQUE'!B:M,12,0),"")</f>
        <v>46273</v>
      </c>
      <c r="X794" s="14">
        <f>IFERROR(Tabela1[[#This Row],[QIANTIDADE EXPEDIDA]]*Tabela1[[#This Row],[PESO UNI]],"")</f>
        <v>16.2</v>
      </c>
      <c r="Y794" s="14">
        <f t="shared" si="155"/>
        <v>-2</v>
      </c>
      <c r="Z794" s="20">
        <f>Tabela1[[#This Row],[PESO TOTAL]]-Tabela1[[#This Row],[Peso Expedido]]</f>
        <v>16.2</v>
      </c>
      <c r="AA794" s="17">
        <v>1</v>
      </c>
      <c r="AB794" s="33"/>
      <c r="AC794" s="33">
        <v>1</v>
      </c>
      <c r="AD794" s="33">
        <v>1</v>
      </c>
      <c r="AE794" s="33">
        <v>1</v>
      </c>
      <c r="AF794" s="33">
        <v>1</v>
      </c>
      <c r="AG794" s="33">
        <v>1</v>
      </c>
      <c r="AH794" s="33">
        <v>0.5</v>
      </c>
      <c r="AI794" s="33" t="s">
        <v>4412</v>
      </c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customHeight="1" x14ac:dyDescent="0.25">
      <c r="A795" s="1" t="s">
        <v>4878</v>
      </c>
      <c r="B795" s="21" t="s">
        <v>4879</v>
      </c>
      <c r="C795" s="1">
        <v>4</v>
      </c>
      <c r="D795" s="1" t="s">
        <v>4893</v>
      </c>
      <c r="E795" s="7">
        <v>4450</v>
      </c>
      <c r="F795" s="7">
        <v>40</v>
      </c>
      <c r="G795" s="1">
        <v>0.6</v>
      </c>
      <c r="H795" s="34">
        <f>Tabela1[[#This Row],[PESO UNI]]*Tabela1[[#This Row],[QTE]]</f>
        <v>2.4</v>
      </c>
      <c r="I795" s="7" t="s">
        <v>5382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si="152"/>
        <v>2.4</v>
      </c>
      <c r="S795" s="18">
        <f t="shared" si="153"/>
        <v>2.4</v>
      </c>
      <c r="T795" s="19">
        <f t="shared" si="154"/>
        <v>0</v>
      </c>
      <c r="U795" s="16">
        <f>IFERROR(SUMIF('LISTA DE EMBARQUE'!B:B,MICRO!E:E,'LISTA DE EMBARQUE'!G:G),"")</f>
        <v>4</v>
      </c>
      <c r="V795" s="12">
        <f>IFERROR(VLOOKUP(Tabela1[[#This Row],[COD.MDE]],'LISTA DE EMBARQUE'!B:L,11,0),"")</f>
        <v>6</v>
      </c>
      <c r="W795" s="13">
        <f>IFERROR(VLOOKUP(Tabela1[[#This Row],[COD.MDE]],'LISTA DE EMBARQUE'!B:M,12,0),"")</f>
        <v>46273</v>
      </c>
      <c r="X795" s="14">
        <f>IFERROR(Tabela1[[#This Row],[QIANTIDADE EXPEDIDA]]*Tabela1[[#This Row],[PESO UNI]],"")</f>
        <v>2.4</v>
      </c>
      <c r="Y795" s="14">
        <f t="shared" si="155"/>
        <v>0</v>
      </c>
      <c r="Z795" s="20">
        <f>Tabela1[[#This Row],[PESO TOTAL]]-Tabela1[[#This Row],[Peso Expedido]]</f>
        <v>0</v>
      </c>
      <c r="AA795" s="17">
        <v>1</v>
      </c>
      <c r="AB795" s="33"/>
      <c r="AC795" s="17">
        <v>1</v>
      </c>
      <c r="AD795" s="17">
        <v>1</v>
      </c>
      <c r="AE795" s="17">
        <v>1</v>
      </c>
      <c r="AF795" s="17">
        <v>1</v>
      </c>
      <c r="AG795" s="17">
        <v>1</v>
      </c>
      <c r="AH795" s="17">
        <v>1</v>
      </c>
      <c r="AI795" s="33" t="s">
        <v>4412</v>
      </c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customHeight="1" x14ac:dyDescent="0.25">
      <c r="A796" s="1" t="s">
        <v>4878</v>
      </c>
      <c r="B796" s="21" t="s">
        <v>4879</v>
      </c>
      <c r="C796" s="1">
        <v>4</v>
      </c>
      <c r="D796" s="1" t="s">
        <v>4894</v>
      </c>
      <c r="E796" s="7">
        <v>4451</v>
      </c>
      <c r="F796" s="7">
        <v>40</v>
      </c>
      <c r="G796" s="1">
        <v>6</v>
      </c>
      <c r="H796" s="34">
        <f>Tabela1[[#This Row],[PESO UNI]]*Tabela1[[#This Row],[QTE]]</f>
        <v>24</v>
      </c>
      <c r="I796" s="7" t="s">
        <v>5382</v>
      </c>
      <c r="J796" s="8" t="s">
        <v>3093</v>
      </c>
      <c r="K796" s="8" t="s">
        <v>4320</v>
      </c>
      <c r="L796" s="9" t="s">
        <v>2984</v>
      </c>
      <c r="M796" s="10">
        <v>46233</v>
      </c>
      <c r="N796" s="8" t="s">
        <v>38</v>
      </c>
      <c r="O796" s="12"/>
      <c r="P796" s="13"/>
      <c r="Q796" s="14">
        <f>Tabela1[[#This Row],[QTDE/ Fabricação]]-Tabela1[[#This Row],[QTE]]</f>
        <v>-4</v>
      </c>
      <c r="R796" s="18">
        <f t="shared" si="152"/>
        <v>24</v>
      </c>
      <c r="S796" s="18">
        <f t="shared" si="153"/>
        <v>24</v>
      </c>
      <c r="T796" s="19">
        <f t="shared" si="154"/>
        <v>0</v>
      </c>
      <c r="U796" s="16">
        <f>IFERROR(SUMIF('LISTA DE EMBARQUE'!B:B,MICRO!E:E,'LISTA DE EMBARQUE'!G:G),"")</f>
        <v>4</v>
      </c>
      <c r="V796" s="12">
        <f>IFERROR(VLOOKUP(Tabela1[[#This Row],[COD.MDE]],'LISTA DE EMBARQUE'!B:L,11,0),"")</f>
        <v>7</v>
      </c>
      <c r="W796" s="13">
        <f>IFERROR(VLOOKUP(Tabela1[[#This Row],[COD.MDE]],'LISTA DE EMBARQUE'!B:M,12,0),"")</f>
        <v>46280</v>
      </c>
      <c r="X796" s="14">
        <f>IFERROR(Tabela1[[#This Row],[QIANTIDADE EXPEDIDA]]*Tabela1[[#This Row],[PESO UNI]],"")</f>
        <v>24</v>
      </c>
      <c r="Y796" s="14">
        <f t="shared" si="155"/>
        <v>0</v>
      </c>
      <c r="Z796" s="20">
        <f>Tabela1[[#This Row],[PESO TOTAL]]-Tabela1[[#This Row],[Peso Expedido]]</f>
        <v>0</v>
      </c>
      <c r="AA796" s="17">
        <v>1</v>
      </c>
      <c r="AB796" s="33"/>
      <c r="AC796" s="33">
        <v>1</v>
      </c>
      <c r="AD796" s="33">
        <v>1</v>
      </c>
      <c r="AE796" s="33">
        <v>1</v>
      </c>
      <c r="AF796" s="33">
        <v>1</v>
      </c>
      <c r="AG796" s="33">
        <v>1</v>
      </c>
      <c r="AH796" s="33">
        <v>1</v>
      </c>
      <c r="AI796" s="33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customHeight="1" x14ac:dyDescent="0.25">
      <c r="A797" s="1" t="s">
        <v>4878</v>
      </c>
      <c r="B797" s="21" t="s">
        <v>4879</v>
      </c>
      <c r="C797" s="1">
        <v>2</v>
      </c>
      <c r="D797" s="1" t="s">
        <v>4895</v>
      </c>
      <c r="E797" s="7">
        <v>4452</v>
      </c>
      <c r="F797" s="7">
        <v>40</v>
      </c>
      <c r="G797" s="1">
        <v>109.2</v>
      </c>
      <c r="H797" s="34">
        <f>Tabela1[[#This Row],[PESO UNI]]*Tabela1[[#This Row],[QTE]]</f>
        <v>218.4</v>
      </c>
      <c r="I797" s="7" t="s">
        <v>5382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-2</v>
      </c>
      <c r="R797" s="18">
        <f t="shared" si="152"/>
        <v>218.4</v>
      </c>
      <c r="S797" s="18">
        <f t="shared" si="153"/>
        <v>218.4</v>
      </c>
      <c r="T797" s="19">
        <f t="shared" si="154"/>
        <v>0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 t="shared" si="155"/>
        <v>-2</v>
      </c>
      <c r="Z797" s="20">
        <f>Tabela1[[#This Row],[PESO TOTAL]]-Tabela1[[#This Row],[Peso Expedido]]</f>
        <v>218.4</v>
      </c>
      <c r="AA797" s="17">
        <v>1</v>
      </c>
      <c r="AB797" s="33"/>
      <c r="AC797" s="33">
        <v>1</v>
      </c>
      <c r="AD797" s="33">
        <v>1</v>
      </c>
      <c r="AE797" s="33">
        <v>1</v>
      </c>
      <c r="AF797" s="33">
        <v>1</v>
      </c>
      <c r="AG797" s="33">
        <v>1</v>
      </c>
      <c r="AH797" s="33">
        <v>1</v>
      </c>
      <c r="AI797" s="33" t="s">
        <v>4412</v>
      </c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customHeight="1" x14ac:dyDescent="0.25">
      <c r="A798" s="1" t="s">
        <v>4878</v>
      </c>
      <c r="B798" s="21" t="s">
        <v>4879</v>
      </c>
      <c r="C798" s="1">
        <v>12</v>
      </c>
      <c r="D798" s="1" t="s">
        <v>4896</v>
      </c>
      <c r="E798" s="7">
        <v>4453</v>
      </c>
      <c r="F798" s="7">
        <v>40</v>
      </c>
      <c r="G798" s="1">
        <v>7.3</v>
      </c>
      <c r="H798" s="34">
        <f>Tabela1[[#This Row],[PESO UNI]]*Tabela1[[#This Row],[QTE]]</f>
        <v>87.6</v>
      </c>
      <c r="I798" s="7" t="s">
        <v>5382</v>
      </c>
      <c r="J798" s="8" t="s">
        <v>3093</v>
      </c>
      <c r="K798" s="8" t="s">
        <v>44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-12</v>
      </c>
      <c r="R798" s="18">
        <f t="shared" si="152"/>
        <v>87.6</v>
      </c>
      <c r="S798" s="18">
        <f t="shared" si="153"/>
        <v>87.6</v>
      </c>
      <c r="T798" s="19">
        <f t="shared" si="154"/>
        <v>0</v>
      </c>
      <c r="U798" s="16">
        <f>IFERROR(SUMIF('LISTA DE EMBARQUE'!B:B,MICRO!E:E,'LISTA DE EMBARQUE'!G:G),"")</f>
        <v>12</v>
      </c>
      <c r="V798" s="12">
        <f>IFERROR(VLOOKUP(Tabela1[[#This Row],[COD.MDE]],'LISTA DE EMBARQUE'!B:L,11,0),"")</f>
        <v>5</v>
      </c>
      <c r="W798" s="13">
        <f>IFERROR(VLOOKUP(Tabela1[[#This Row],[COD.MDE]],'LISTA DE EMBARQUE'!B:M,12,0),"")</f>
        <v>46254</v>
      </c>
      <c r="X798" s="14">
        <f>IFERROR(Tabela1[[#This Row],[QIANTIDADE EXPEDIDA]]*Tabela1[[#This Row],[PESO UNI]],"")</f>
        <v>87.6</v>
      </c>
      <c r="Y798" s="14">
        <f t="shared" si="155"/>
        <v>0</v>
      </c>
      <c r="Z798" s="20">
        <f>Tabela1[[#This Row],[PESO TOTAL]]-Tabela1[[#This Row],[Peso Expedido]]</f>
        <v>0</v>
      </c>
      <c r="AA798" s="17">
        <v>1</v>
      </c>
      <c r="AB798" s="33"/>
      <c r="AC798" s="33">
        <v>1</v>
      </c>
      <c r="AD798" s="33">
        <v>1</v>
      </c>
      <c r="AE798" s="33">
        <v>1</v>
      </c>
      <c r="AF798" s="33">
        <v>1</v>
      </c>
      <c r="AG798" s="33">
        <v>1</v>
      </c>
      <c r="AH798" s="33">
        <v>1</v>
      </c>
      <c r="AI798" s="33" t="str">
        <f t="shared" ref="AI798:AI804" si="156">IF(Z798&lt;=0,"ok","")</f>
        <v>ok</v>
      </c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customHeight="1" x14ac:dyDescent="0.25">
      <c r="A799" s="1" t="s">
        <v>4878</v>
      </c>
      <c r="B799" s="21" t="s">
        <v>4879</v>
      </c>
      <c r="C799" s="1">
        <v>2</v>
      </c>
      <c r="D799" s="1" t="s">
        <v>4897</v>
      </c>
      <c r="E799" s="7">
        <v>4454</v>
      </c>
      <c r="F799" s="7">
        <v>40</v>
      </c>
      <c r="G799" s="1">
        <v>8.5</v>
      </c>
      <c r="H799" s="34">
        <f>Tabela1[[#This Row],[PESO UNI]]*Tabela1[[#This Row],[QTE]]</f>
        <v>17</v>
      </c>
      <c r="I799" s="7" t="s">
        <v>5382</v>
      </c>
      <c r="J799" s="8" t="s">
        <v>3093</v>
      </c>
      <c r="K799" s="8" t="s">
        <v>44</v>
      </c>
      <c r="L799" s="9" t="s">
        <v>2984</v>
      </c>
      <c r="M799" s="10">
        <v>46233</v>
      </c>
      <c r="N799" s="8" t="s">
        <v>38</v>
      </c>
      <c r="O799" s="12"/>
      <c r="P799" s="13"/>
      <c r="Q799" s="14">
        <f>Tabela1[[#This Row],[QTDE/ Fabricação]]-Tabela1[[#This Row],[QTE]]</f>
        <v>-2</v>
      </c>
      <c r="R799" s="18">
        <f t="shared" si="152"/>
        <v>17</v>
      </c>
      <c r="S799" s="18">
        <f t="shared" si="153"/>
        <v>17</v>
      </c>
      <c r="T799" s="19">
        <f t="shared" si="154"/>
        <v>0</v>
      </c>
      <c r="U799" s="16">
        <f>IFERROR(SUMIF('LISTA DE EMBARQUE'!B:B,MICRO!E:E,'LISTA DE EMBARQUE'!G:G),"")</f>
        <v>2</v>
      </c>
      <c r="V799" s="12">
        <f>IFERROR(VLOOKUP(Tabela1[[#This Row],[COD.MDE]],'LISTA DE EMBARQUE'!B:L,11,0),"")</f>
        <v>5</v>
      </c>
      <c r="W799" s="13">
        <f>IFERROR(VLOOKUP(Tabela1[[#This Row],[COD.MDE]],'LISTA DE EMBARQUE'!B:M,12,0),"")</f>
        <v>46254</v>
      </c>
      <c r="X799" s="14">
        <f>IFERROR(Tabela1[[#This Row],[QIANTIDADE EXPEDIDA]]*Tabela1[[#This Row],[PESO UNI]],"")</f>
        <v>17</v>
      </c>
      <c r="Y799" s="14">
        <f t="shared" si="155"/>
        <v>0</v>
      </c>
      <c r="Z799" s="20">
        <f>Tabela1[[#This Row],[PESO TOTAL]]-Tabela1[[#This Row],[Peso Expedido]]</f>
        <v>0</v>
      </c>
      <c r="AA799" s="17">
        <v>1</v>
      </c>
      <c r="AB799" s="33"/>
      <c r="AC799" s="33">
        <v>1</v>
      </c>
      <c r="AD799" s="33">
        <v>1</v>
      </c>
      <c r="AE799" s="33">
        <v>1</v>
      </c>
      <c r="AF799" s="33">
        <v>1</v>
      </c>
      <c r="AG799" s="33">
        <v>1</v>
      </c>
      <c r="AH799" s="33">
        <v>1</v>
      </c>
      <c r="AI799" s="33" t="str">
        <f t="shared" si="156"/>
        <v>ok</v>
      </c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customHeight="1" x14ac:dyDescent="0.25">
      <c r="A800" s="1" t="s">
        <v>4878</v>
      </c>
      <c r="B800" s="21" t="s">
        <v>4879</v>
      </c>
      <c r="C800" s="1">
        <v>2</v>
      </c>
      <c r="D800" s="1" t="s">
        <v>4898</v>
      </c>
      <c r="E800" s="7">
        <v>4455</v>
      </c>
      <c r="F800" s="7">
        <v>40</v>
      </c>
      <c r="G800" s="1">
        <v>9.1999999999999993</v>
      </c>
      <c r="H800" s="34">
        <f>Tabela1[[#This Row],[PESO UNI]]*Tabela1[[#This Row],[QTE]]</f>
        <v>18.399999999999999</v>
      </c>
      <c r="I800" s="7" t="s">
        <v>5382</v>
      </c>
      <c r="J800" s="8" t="s">
        <v>3093</v>
      </c>
      <c r="K800" s="8" t="s">
        <v>44</v>
      </c>
      <c r="L800" s="9" t="s">
        <v>2984</v>
      </c>
      <c r="M800" s="10">
        <v>46233</v>
      </c>
      <c r="N800" s="8" t="s">
        <v>38</v>
      </c>
      <c r="O800" s="12"/>
      <c r="P800" s="13"/>
      <c r="Q800" s="14">
        <f>Tabela1[[#This Row],[QTDE/ Fabricação]]-Tabela1[[#This Row],[QTE]]</f>
        <v>-2</v>
      </c>
      <c r="R800" s="18">
        <f t="shared" si="152"/>
        <v>18.399999999999999</v>
      </c>
      <c r="S800" s="18">
        <f t="shared" si="153"/>
        <v>18.399999999999999</v>
      </c>
      <c r="T800" s="19">
        <f t="shared" si="154"/>
        <v>0</v>
      </c>
      <c r="U800" s="16">
        <f>IFERROR(SUMIF('LISTA DE EMBARQUE'!B:B,MICRO!E:E,'LISTA DE EMBARQUE'!G:G),"")</f>
        <v>2</v>
      </c>
      <c r="V800" s="12">
        <f>IFERROR(VLOOKUP(Tabela1[[#This Row],[COD.MDE]],'LISTA DE EMBARQUE'!B:L,11,0),"")</f>
        <v>5</v>
      </c>
      <c r="W800" s="13">
        <f>IFERROR(VLOOKUP(Tabela1[[#This Row],[COD.MDE]],'LISTA DE EMBARQUE'!B:M,12,0),"")</f>
        <v>46254</v>
      </c>
      <c r="X800" s="14">
        <f>IFERROR(Tabela1[[#This Row],[QIANTIDADE EXPEDIDA]]*Tabela1[[#This Row],[PESO UNI]],"")</f>
        <v>18.399999999999999</v>
      </c>
      <c r="Y800" s="14">
        <f t="shared" si="155"/>
        <v>0</v>
      </c>
      <c r="Z800" s="20">
        <f>Tabela1[[#This Row],[PESO TOTAL]]-Tabela1[[#This Row],[Peso Expedido]]</f>
        <v>0</v>
      </c>
      <c r="AA800" s="17">
        <v>1</v>
      </c>
      <c r="AB800" s="33"/>
      <c r="AC800" s="33">
        <v>1</v>
      </c>
      <c r="AD800" s="33">
        <v>1</v>
      </c>
      <c r="AE800" s="33">
        <v>1</v>
      </c>
      <c r="AF800" s="33">
        <v>1</v>
      </c>
      <c r="AG800" s="33">
        <v>1</v>
      </c>
      <c r="AH800" s="33">
        <v>1</v>
      </c>
      <c r="AI800" s="33" t="str">
        <f t="shared" si="156"/>
        <v>ok</v>
      </c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customHeight="1" x14ac:dyDescent="0.25">
      <c r="A801" s="1" t="s">
        <v>4878</v>
      </c>
      <c r="B801" s="21" t="s">
        <v>4879</v>
      </c>
      <c r="C801" s="1">
        <v>2</v>
      </c>
      <c r="D801" s="1" t="s">
        <v>4899</v>
      </c>
      <c r="E801" s="7">
        <v>4456</v>
      </c>
      <c r="F801" s="7">
        <v>40</v>
      </c>
      <c r="G801" s="1">
        <v>9.9</v>
      </c>
      <c r="H801" s="34">
        <f>Tabela1[[#This Row],[PESO UNI]]*Tabela1[[#This Row],[QTE]]</f>
        <v>19.8</v>
      </c>
      <c r="I801" s="7" t="s">
        <v>5382</v>
      </c>
      <c r="J801" s="8" t="s">
        <v>3093</v>
      </c>
      <c r="K801" s="8" t="s">
        <v>44</v>
      </c>
      <c r="L801" s="9" t="s">
        <v>2984</v>
      </c>
      <c r="M801" s="10">
        <v>46233</v>
      </c>
      <c r="N801" s="8" t="s">
        <v>38</v>
      </c>
      <c r="O801" s="12"/>
      <c r="P801" s="13"/>
      <c r="Q801" s="14">
        <f>Tabela1[[#This Row],[QTDE/ Fabricação]]-Tabela1[[#This Row],[QTE]]</f>
        <v>-2</v>
      </c>
      <c r="R801" s="18">
        <f t="shared" si="152"/>
        <v>19.8</v>
      </c>
      <c r="S801" s="18">
        <f t="shared" si="153"/>
        <v>19.8</v>
      </c>
      <c r="T801" s="19">
        <f t="shared" si="154"/>
        <v>0</v>
      </c>
      <c r="U801" s="16">
        <f>IFERROR(SUMIF('LISTA DE EMBARQUE'!B:B,MICRO!E:E,'LISTA DE EMBARQUE'!G:G),"")</f>
        <v>2</v>
      </c>
      <c r="V801" s="12">
        <f>IFERROR(VLOOKUP(Tabela1[[#This Row],[COD.MDE]],'LISTA DE EMBARQUE'!B:L,11,0),"")</f>
        <v>5</v>
      </c>
      <c r="W801" s="13">
        <f>IFERROR(VLOOKUP(Tabela1[[#This Row],[COD.MDE]],'LISTA DE EMBARQUE'!B:M,12,0),"")</f>
        <v>46254</v>
      </c>
      <c r="X801" s="14">
        <f>IFERROR(Tabela1[[#This Row],[QIANTIDADE EXPEDIDA]]*Tabela1[[#This Row],[PESO UNI]],"")</f>
        <v>19.8</v>
      </c>
      <c r="Y801" s="14">
        <f t="shared" si="155"/>
        <v>0</v>
      </c>
      <c r="Z801" s="20">
        <f>Tabela1[[#This Row],[PESO TOTAL]]-Tabela1[[#This Row],[Peso Expedido]]</f>
        <v>0</v>
      </c>
      <c r="AA801" s="17">
        <v>1</v>
      </c>
      <c r="AB801" s="33"/>
      <c r="AC801" s="33">
        <v>1</v>
      </c>
      <c r="AD801" s="33">
        <v>1</v>
      </c>
      <c r="AE801" s="33">
        <v>1</v>
      </c>
      <c r="AF801" s="33">
        <v>1</v>
      </c>
      <c r="AG801" s="33">
        <v>1</v>
      </c>
      <c r="AH801" s="33">
        <v>1</v>
      </c>
      <c r="AI801" s="33" t="str">
        <f t="shared" si="156"/>
        <v>ok</v>
      </c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customHeight="1" x14ac:dyDescent="0.25">
      <c r="A802" s="1" t="s">
        <v>4878</v>
      </c>
      <c r="B802" s="21" t="s">
        <v>4879</v>
      </c>
      <c r="C802" s="1">
        <v>2</v>
      </c>
      <c r="D802" s="1" t="s">
        <v>4900</v>
      </c>
      <c r="E802" s="7">
        <v>4457</v>
      </c>
      <c r="F802" s="7">
        <v>40</v>
      </c>
      <c r="G802" s="1">
        <v>10.5</v>
      </c>
      <c r="H802" s="34">
        <f>Tabela1[[#This Row],[PESO UNI]]*Tabela1[[#This Row],[QTE]]</f>
        <v>21</v>
      </c>
      <c r="I802" s="7" t="s">
        <v>5382</v>
      </c>
      <c r="J802" s="8" t="s">
        <v>3093</v>
      </c>
      <c r="K802" s="8" t="s">
        <v>44</v>
      </c>
      <c r="L802" s="9" t="s">
        <v>2984</v>
      </c>
      <c r="M802" s="10">
        <v>46233</v>
      </c>
      <c r="N802" s="8" t="s">
        <v>38</v>
      </c>
      <c r="O802" s="12"/>
      <c r="P802" s="13"/>
      <c r="Q802" s="14">
        <f>Tabela1[[#This Row],[QTDE/ Fabricação]]-Tabela1[[#This Row],[QTE]]</f>
        <v>-2</v>
      </c>
      <c r="R802" s="18">
        <f t="shared" si="152"/>
        <v>21</v>
      </c>
      <c r="S802" s="18">
        <f t="shared" si="153"/>
        <v>21</v>
      </c>
      <c r="T802" s="19">
        <f t="shared" si="154"/>
        <v>0</v>
      </c>
      <c r="U802" s="16">
        <f>IFERROR(SUMIF('LISTA DE EMBARQUE'!B:B,MICRO!E:E,'LISTA DE EMBARQUE'!G:G),"")</f>
        <v>2</v>
      </c>
      <c r="V802" s="12">
        <f>IFERROR(VLOOKUP(Tabela1[[#This Row],[COD.MDE]],'LISTA DE EMBARQUE'!B:L,11,0),"")</f>
        <v>5</v>
      </c>
      <c r="W802" s="13">
        <f>IFERROR(VLOOKUP(Tabela1[[#This Row],[COD.MDE]],'LISTA DE EMBARQUE'!B:M,12,0),"")</f>
        <v>46254</v>
      </c>
      <c r="X802" s="14">
        <f>IFERROR(Tabela1[[#This Row],[QIANTIDADE EXPEDIDA]]*Tabela1[[#This Row],[PESO UNI]],"")</f>
        <v>21</v>
      </c>
      <c r="Y802" s="14">
        <f t="shared" si="155"/>
        <v>0</v>
      </c>
      <c r="Z802" s="20">
        <f>Tabela1[[#This Row],[PESO TOTAL]]-Tabela1[[#This Row],[Peso Expedido]]</f>
        <v>0</v>
      </c>
      <c r="AA802" s="17">
        <v>1</v>
      </c>
      <c r="AB802" s="33"/>
      <c r="AC802" s="33">
        <v>1</v>
      </c>
      <c r="AD802" s="33">
        <v>1</v>
      </c>
      <c r="AE802" s="33">
        <v>1</v>
      </c>
      <c r="AF802" s="33">
        <v>1</v>
      </c>
      <c r="AG802" s="33">
        <v>1</v>
      </c>
      <c r="AH802" s="33">
        <v>1</v>
      </c>
      <c r="AI802" s="33" t="str">
        <f t="shared" si="156"/>
        <v>ok</v>
      </c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customHeight="1" x14ac:dyDescent="0.25">
      <c r="A803" s="1" t="s">
        <v>4878</v>
      </c>
      <c r="B803" s="21" t="s">
        <v>4879</v>
      </c>
      <c r="C803" s="1">
        <v>2</v>
      </c>
      <c r="D803" s="1" t="s">
        <v>4901</v>
      </c>
      <c r="E803" s="7">
        <v>4458</v>
      </c>
      <c r="F803" s="7">
        <v>40</v>
      </c>
      <c r="G803" s="1">
        <v>11.2</v>
      </c>
      <c r="H803" s="34">
        <f>Tabela1[[#This Row],[PESO UNI]]*Tabela1[[#This Row],[QTE]]</f>
        <v>22.4</v>
      </c>
      <c r="I803" s="7" t="s">
        <v>5382</v>
      </c>
      <c r="J803" s="8" t="s">
        <v>3093</v>
      </c>
      <c r="K803" s="8" t="s">
        <v>44</v>
      </c>
      <c r="L803" s="9" t="s">
        <v>2984</v>
      </c>
      <c r="M803" s="10">
        <v>46233</v>
      </c>
      <c r="N803" s="8" t="s">
        <v>38</v>
      </c>
      <c r="O803" s="12"/>
      <c r="P803" s="13"/>
      <c r="Q803" s="14">
        <f>Tabela1[[#This Row],[QTDE/ Fabricação]]-Tabela1[[#This Row],[QTE]]</f>
        <v>-2</v>
      </c>
      <c r="R803" s="18">
        <f t="shared" si="152"/>
        <v>22.4</v>
      </c>
      <c r="S803" s="18">
        <f t="shared" si="153"/>
        <v>22.4</v>
      </c>
      <c r="T803" s="19">
        <f t="shared" si="154"/>
        <v>0</v>
      </c>
      <c r="U803" s="16">
        <f>IFERROR(SUMIF('LISTA DE EMBARQUE'!B:B,MICRO!E:E,'LISTA DE EMBARQUE'!G:G),"")</f>
        <v>2</v>
      </c>
      <c r="V803" s="12">
        <f>IFERROR(VLOOKUP(Tabela1[[#This Row],[COD.MDE]],'LISTA DE EMBARQUE'!B:L,11,0),"")</f>
        <v>5</v>
      </c>
      <c r="W803" s="13">
        <f>IFERROR(VLOOKUP(Tabela1[[#This Row],[COD.MDE]],'LISTA DE EMBARQUE'!B:M,12,0),"")</f>
        <v>46254</v>
      </c>
      <c r="X803" s="14">
        <f>IFERROR(Tabela1[[#This Row],[QIANTIDADE EXPEDIDA]]*Tabela1[[#This Row],[PESO UNI]],"")</f>
        <v>22.4</v>
      </c>
      <c r="Y803" s="14">
        <f t="shared" si="155"/>
        <v>0</v>
      </c>
      <c r="Z803" s="20">
        <f>Tabela1[[#This Row],[PESO TOTAL]]-Tabela1[[#This Row],[Peso Expedido]]</f>
        <v>0</v>
      </c>
      <c r="AA803" s="17">
        <v>1</v>
      </c>
      <c r="AB803" s="33"/>
      <c r="AC803" s="33">
        <v>1</v>
      </c>
      <c r="AD803" s="33">
        <v>1</v>
      </c>
      <c r="AE803" s="33">
        <v>1</v>
      </c>
      <c r="AF803" s="33">
        <v>1</v>
      </c>
      <c r="AG803" s="33">
        <v>1</v>
      </c>
      <c r="AH803" s="33">
        <v>1</v>
      </c>
      <c r="AI803" s="33" t="str">
        <f t="shared" si="156"/>
        <v>ok</v>
      </c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customHeight="1" x14ac:dyDescent="0.25">
      <c r="A804" s="1" t="s">
        <v>4878</v>
      </c>
      <c r="B804" s="21" t="s">
        <v>4879</v>
      </c>
      <c r="C804" s="1">
        <v>2</v>
      </c>
      <c r="D804" s="1" t="s">
        <v>4902</v>
      </c>
      <c r="E804" s="7">
        <v>4459</v>
      </c>
      <c r="F804" s="7">
        <v>40</v>
      </c>
      <c r="G804" s="1">
        <v>11.9</v>
      </c>
      <c r="H804" s="34">
        <f>Tabela1[[#This Row],[PESO UNI]]*Tabela1[[#This Row],[QTE]]</f>
        <v>23.8</v>
      </c>
      <c r="I804" s="7" t="s">
        <v>5382</v>
      </c>
      <c r="J804" s="8" t="s">
        <v>3093</v>
      </c>
      <c r="K804" s="8" t="s">
        <v>44</v>
      </c>
      <c r="L804" s="9" t="s">
        <v>2984</v>
      </c>
      <c r="M804" s="10">
        <v>46233</v>
      </c>
      <c r="N804" s="8" t="s">
        <v>38</v>
      </c>
      <c r="O804" s="12"/>
      <c r="P804" s="13"/>
      <c r="Q804" s="14">
        <f>Tabela1[[#This Row],[QTDE/ Fabricação]]-Tabela1[[#This Row],[QTE]]</f>
        <v>-2</v>
      </c>
      <c r="R804" s="18">
        <f t="shared" si="152"/>
        <v>23.8</v>
      </c>
      <c r="S804" s="18">
        <f t="shared" si="153"/>
        <v>23.8</v>
      </c>
      <c r="T804" s="19">
        <f t="shared" si="154"/>
        <v>0</v>
      </c>
      <c r="U804" s="16">
        <f>IFERROR(SUMIF('LISTA DE EMBARQUE'!B:B,MICRO!E:E,'LISTA DE EMBARQUE'!G:G),"")</f>
        <v>2</v>
      </c>
      <c r="V804" s="12">
        <f>IFERROR(VLOOKUP(Tabela1[[#This Row],[COD.MDE]],'LISTA DE EMBARQUE'!B:L,11,0),"")</f>
        <v>5</v>
      </c>
      <c r="W804" s="13">
        <f>IFERROR(VLOOKUP(Tabela1[[#This Row],[COD.MDE]],'LISTA DE EMBARQUE'!B:M,12,0),"")</f>
        <v>46254</v>
      </c>
      <c r="X804" s="14">
        <f>IFERROR(Tabela1[[#This Row],[QIANTIDADE EXPEDIDA]]*Tabela1[[#This Row],[PESO UNI]],"")</f>
        <v>23.8</v>
      </c>
      <c r="Y804" s="14">
        <f t="shared" si="155"/>
        <v>0</v>
      </c>
      <c r="Z804" s="20">
        <f>Tabela1[[#This Row],[PESO TOTAL]]-Tabela1[[#This Row],[Peso Expedido]]</f>
        <v>0</v>
      </c>
      <c r="AA804" s="17">
        <v>1</v>
      </c>
      <c r="AB804" s="33"/>
      <c r="AC804" s="33">
        <v>1</v>
      </c>
      <c r="AD804" s="33">
        <v>1</v>
      </c>
      <c r="AE804" s="33">
        <v>1</v>
      </c>
      <c r="AF804" s="33">
        <v>1</v>
      </c>
      <c r="AG804" s="33">
        <v>1</v>
      </c>
      <c r="AH804" s="33">
        <v>1</v>
      </c>
      <c r="AI804" s="33" t="str">
        <f t="shared" si="156"/>
        <v>ok</v>
      </c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customHeight="1" x14ac:dyDescent="0.25">
      <c r="A805" s="1" t="s">
        <v>4903</v>
      </c>
      <c r="B805" s="21" t="s">
        <v>4904</v>
      </c>
      <c r="C805" s="1">
        <v>8</v>
      </c>
      <c r="D805" s="1" t="s">
        <v>4905</v>
      </c>
      <c r="E805" s="7">
        <v>4460</v>
      </c>
      <c r="F805" s="7">
        <v>40</v>
      </c>
      <c r="G805" s="1">
        <v>69.8</v>
      </c>
      <c r="H805" s="34">
        <f>Tabela1[[#This Row],[PESO UNI]]*Tabela1[[#This Row],[QTE]]</f>
        <v>558.4</v>
      </c>
      <c r="I805" s="7" t="s">
        <v>5382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-8</v>
      </c>
      <c r="R805" s="18">
        <f t="shared" si="152"/>
        <v>558.4</v>
      </c>
      <c r="S805" s="18">
        <f t="shared" si="153"/>
        <v>558.4</v>
      </c>
      <c r="T805" s="19">
        <f t="shared" si="154"/>
        <v>0</v>
      </c>
      <c r="U805" s="16">
        <f>IFERROR(SUMIF('LISTA DE EMBARQUE'!B:B,MICRO!E:E,'LISTA DE EMBARQUE'!G:G),"")</f>
        <v>4</v>
      </c>
      <c r="V805" s="12">
        <f>IFERROR(VLOOKUP(Tabela1[[#This Row],[COD.MDE]],'LISTA DE EMBARQUE'!B:L,11,0),"")</f>
        <v>7</v>
      </c>
      <c r="W805" s="13">
        <f>IFERROR(VLOOKUP(Tabela1[[#This Row],[COD.MDE]],'LISTA DE EMBARQUE'!B:M,12,0),"")</f>
        <v>46280</v>
      </c>
      <c r="X805" s="14">
        <f>IFERROR(Tabela1[[#This Row],[QIANTIDADE EXPEDIDA]]*Tabela1[[#This Row],[PESO UNI]],"")</f>
        <v>279.2</v>
      </c>
      <c r="Y805" s="14">
        <f t="shared" si="155"/>
        <v>-4</v>
      </c>
      <c r="Z805" s="20">
        <f>Tabela1[[#This Row],[PESO TOTAL]]-Tabela1[[#This Row],[Peso Expedido]]</f>
        <v>279.2</v>
      </c>
      <c r="AA805" s="17">
        <v>1</v>
      </c>
      <c r="AB805" s="33"/>
      <c r="AC805" s="33">
        <v>1</v>
      </c>
      <c r="AD805" s="33">
        <v>1</v>
      </c>
      <c r="AE805" s="33">
        <v>1</v>
      </c>
      <c r="AF805" s="33">
        <v>1</v>
      </c>
      <c r="AG805" s="33">
        <v>1</v>
      </c>
      <c r="AH805" s="33">
        <v>0.5</v>
      </c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customHeight="1" x14ac:dyDescent="0.25">
      <c r="A806" s="1" t="s">
        <v>4903</v>
      </c>
      <c r="B806" s="21" t="s">
        <v>4904</v>
      </c>
      <c r="C806" s="1">
        <v>16</v>
      </c>
      <c r="D806" s="1" t="s">
        <v>4906</v>
      </c>
      <c r="E806" s="7">
        <v>4461</v>
      </c>
      <c r="F806" s="7">
        <v>40</v>
      </c>
      <c r="G806" s="1">
        <v>81.099999999999994</v>
      </c>
      <c r="H806" s="34">
        <f>Tabela1[[#This Row],[PESO UNI]]*Tabela1[[#This Row],[QTE]]</f>
        <v>1297.5999999999999</v>
      </c>
      <c r="I806" s="7" t="s">
        <v>5382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-16</v>
      </c>
      <c r="R806" s="18">
        <f t="shared" si="152"/>
        <v>1297.5999999999999</v>
      </c>
      <c r="S806" s="18">
        <f t="shared" si="153"/>
        <v>1297.5999999999999</v>
      </c>
      <c r="T806" s="19">
        <f t="shared" si="154"/>
        <v>0</v>
      </c>
      <c r="U806" s="16">
        <f>IFERROR(SUMIF('LISTA DE EMBARQUE'!B:B,MICRO!E:E,'LISTA DE EMBARQUE'!G:G),"")</f>
        <v>16</v>
      </c>
      <c r="V806" s="12">
        <f>IFERROR(VLOOKUP(Tabela1[[#This Row],[COD.MDE]],'LISTA DE EMBARQUE'!B:L,11,0),"")</f>
        <v>6</v>
      </c>
      <c r="W806" s="13">
        <f>IFERROR(VLOOKUP(Tabela1[[#This Row],[COD.MDE]],'LISTA DE EMBARQUE'!B:M,12,0),"")</f>
        <v>46273</v>
      </c>
      <c r="X806" s="14">
        <f>IFERROR(Tabela1[[#This Row],[QIANTIDADE EXPEDIDA]]*Tabela1[[#This Row],[PESO UNI]],"")</f>
        <v>1297.5999999999999</v>
      </c>
      <c r="Y806" s="14">
        <f t="shared" si="155"/>
        <v>0</v>
      </c>
      <c r="Z806" s="20">
        <f>Tabela1[[#This Row],[PESO TOTAL]]-Tabela1[[#This Row],[Peso Expedido]]</f>
        <v>0</v>
      </c>
      <c r="AA806" s="17">
        <v>1</v>
      </c>
      <c r="AB806" s="33"/>
      <c r="AC806" s="17">
        <v>1</v>
      </c>
      <c r="AD806" s="17">
        <v>1</v>
      </c>
      <c r="AE806" s="17">
        <v>1</v>
      </c>
      <c r="AF806" s="17">
        <v>1</v>
      </c>
      <c r="AG806" s="17">
        <v>1</v>
      </c>
      <c r="AH806" s="17">
        <v>1</v>
      </c>
      <c r="AI806" s="33" t="s">
        <v>4412</v>
      </c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customHeight="1" x14ac:dyDescent="0.25">
      <c r="A807" s="1" t="s">
        <v>4903</v>
      </c>
      <c r="B807" s="21" t="s">
        <v>4904</v>
      </c>
      <c r="C807" s="1">
        <v>16</v>
      </c>
      <c r="D807" s="1" t="s">
        <v>4907</v>
      </c>
      <c r="E807" s="7">
        <v>4462</v>
      </c>
      <c r="F807" s="7">
        <v>40</v>
      </c>
      <c r="G807" s="1">
        <v>0.6</v>
      </c>
      <c r="H807" s="34">
        <f>Tabela1[[#This Row],[PESO UNI]]*Tabela1[[#This Row],[QTE]]</f>
        <v>9.6</v>
      </c>
      <c r="I807" s="7" t="s">
        <v>5382</v>
      </c>
      <c r="J807" s="8" t="s">
        <v>3093</v>
      </c>
      <c r="K807" s="8" t="s">
        <v>4320</v>
      </c>
      <c r="L807" s="9" t="s">
        <v>2984</v>
      </c>
      <c r="M807" s="10">
        <v>46233</v>
      </c>
      <c r="N807" s="8" t="s">
        <v>38</v>
      </c>
      <c r="O807" s="12"/>
      <c r="P807" s="13"/>
      <c r="Q807" s="14">
        <f>Tabela1[[#This Row],[QTDE/ Fabricação]]-Tabela1[[#This Row],[QTE]]</f>
        <v>-16</v>
      </c>
      <c r="R807" s="18">
        <f t="shared" ref="R807:R833" si="157">IFERROR(H807*((AA807*0.25)+(AC807*0.25)+(AD807*0.225)+(AE807*0.225)+(AF807*0.05)),"")</f>
        <v>9.6</v>
      </c>
      <c r="S807" s="18">
        <f t="shared" ref="S807:S833" si="158">IFERROR(H807*AG807,"")</f>
        <v>9.6</v>
      </c>
      <c r="T807" s="19">
        <f t="shared" ref="T807:T833" si="159">IFERROR(S807-H807,"")</f>
        <v>0</v>
      </c>
      <c r="U807" s="16">
        <f>IFERROR(SUMIF('LISTA DE EMBARQUE'!B:B,MICRO!E:E,'LISTA DE EMBARQUE'!G:G),"")</f>
        <v>16</v>
      </c>
      <c r="V807" s="12">
        <f>IFERROR(VLOOKUP(Tabela1[[#This Row],[COD.MDE]],'LISTA DE EMBARQUE'!B:L,11,0),"")</f>
        <v>6</v>
      </c>
      <c r="W807" s="13">
        <f>IFERROR(VLOOKUP(Tabela1[[#This Row],[COD.MDE]],'LISTA DE EMBARQUE'!B:M,12,0),"")</f>
        <v>46273</v>
      </c>
      <c r="X807" s="14">
        <f>IFERROR(Tabela1[[#This Row],[QIANTIDADE EXPEDIDA]]*Tabela1[[#This Row],[PESO UNI]],"")</f>
        <v>9.6</v>
      </c>
      <c r="Y807" s="14">
        <f t="shared" ref="Y807:Y833" si="160">U807-C807</f>
        <v>0</v>
      </c>
      <c r="Z807" s="20">
        <f>Tabela1[[#This Row],[PESO TOTAL]]-Tabela1[[#This Row],[Peso Expedido]]</f>
        <v>0</v>
      </c>
      <c r="AA807" s="17">
        <v>1</v>
      </c>
      <c r="AB807" s="33"/>
      <c r="AC807" s="17">
        <v>1</v>
      </c>
      <c r="AD807" s="17">
        <v>1</v>
      </c>
      <c r="AE807" s="17">
        <v>1</v>
      </c>
      <c r="AF807" s="17">
        <v>1</v>
      </c>
      <c r="AG807" s="17">
        <v>1</v>
      </c>
      <c r="AH807" s="17">
        <v>1</v>
      </c>
      <c r="AI807" s="33" t="s">
        <v>4412</v>
      </c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customHeight="1" x14ac:dyDescent="0.25">
      <c r="A808" s="1" t="s">
        <v>4903</v>
      </c>
      <c r="B808" s="21" t="s">
        <v>4904</v>
      </c>
      <c r="C808" s="1">
        <v>8</v>
      </c>
      <c r="D808" s="1" t="s">
        <v>4908</v>
      </c>
      <c r="E808" s="7">
        <v>4463</v>
      </c>
      <c r="F808" s="7">
        <v>40</v>
      </c>
      <c r="G808" s="1">
        <v>11.2</v>
      </c>
      <c r="H808" s="34">
        <f>Tabela1[[#This Row],[PESO UNI]]*Tabela1[[#This Row],[QTE]]</f>
        <v>89.6</v>
      </c>
      <c r="I808" s="7" t="s">
        <v>5382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-8</v>
      </c>
      <c r="R808" s="18">
        <f t="shared" si="157"/>
        <v>89.6</v>
      </c>
      <c r="S808" s="18">
        <f t="shared" si="158"/>
        <v>89.6</v>
      </c>
      <c r="T808" s="19">
        <f t="shared" si="159"/>
        <v>0</v>
      </c>
      <c r="U808" s="16">
        <f>IFERROR(SUMIF('LISTA DE EMBARQUE'!B:B,MICRO!E:E,'LISTA DE EMBARQUE'!G:G),"")</f>
        <v>16</v>
      </c>
      <c r="V808" s="12">
        <f>IFERROR(VLOOKUP(Tabela1[[#This Row],[COD.MDE]],'LISTA DE EMBARQUE'!B:L,11,0),"")</f>
        <v>6</v>
      </c>
      <c r="W808" s="13">
        <f>IFERROR(VLOOKUP(Tabela1[[#This Row],[COD.MDE]],'LISTA DE EMBARQUE'!B:M,12,0),"")</f>
        <v>46273</v>
      </c>
      <c r="X808" s="14">
        <f>IFERROR(Tabela1[[#This Row],[QIANTIDADE EXPEDIDA]]*Tabela1[[#This Row],[PESO UNI]],"")</f>
        <v>179.2</v>
      </c>
      <c r="Y808" s="14">
        <f t="shared" si="160"/>
        <v>8</v>
      </c>
      <c r="Z808" s="20">
        <f>Tabela1[[#This Row],[PESO TOTAL]]-Tabela1[[#This Row],[Peso Expedido]]</f>
        <v>-89.6</v>
      </c>
      <c r="AA808" s="17">
        <v>1</v>
      </c>
      <c r="AB808" s="33"/>
      <c r="AC808" s="17">
        <v>1</v>
      </c>
      <c r="AD808" s="17">
        <v>1</v>
      </c>
      <c r="AE808" s="17">
        <v>1</v>
      </c>
      <c r="AF808" s="17">
        <v>1</v>
      </c>
      <c r="AG808" s="17">
        <v>1</v>
      </c>
      <c r="AH808" s="17">
        <v>1</v>
      </c>
      <c r="AI808" s="33" t="s">
        <v>4412</v>
      </c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customHeight="1" x14ac:dyDescent="0.25">
      <c r="A809" s="1" t="s">
        <v>4903</v>
      </c>
      <c r="B809" s="21" t="s">
        <v>4904</v>
      </c>
      <c r="C809" s="1">
        <v>16</v>
      </c>
      <c r="D809" s="1" t="s">
        <v>4909</v>
      </c>
      <c r="E809" s="7">
        <v>4464</v>
      </c>
      <c r="F809" s="7">
        <v>40</v>
      </c>
      <c r="G809" s="1">
        <v>6</v>
      </c>
      <c r="H809" s="34">
        <f>Tabela1[[#This Row],[PESO UNI]]*Tabela1[[#This Row],[QTE]]</f>
        <v>96</v>
      </c>
      <c r="I809" s="7" t="s">
        <v>5382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-16</v>
      </c>
      <c r="R809" s="18">
        <f t="shared" si="157"/>
        <v>96</v>
      </c>
      <c r="S809" s="18">
        <f t="shared" si="158"/>
        <v>96</v>
      </c>
      <c r="T809" s="19">
        <f t="shared" si="159"/>
        <v>0</v>
      </c>
      <c r="U809" s="16">
        <f>IFERROR(SUMIF('LISTA DE EMBARQUE'!B:B,MICRO!E:E,'LISTA DE EMBARQUE'!G:G),"")</f>
        <v>16</v>
      </c>
      <c r="V809" s="12">
        <f>IFERROR(VLOOKUP(Tabela1[[#This Row],[COD.MDE]],'LISTA DE EMBARQUE'!B:L,11,0),"")</f>
        <v>7</v>
      </c>
      <c r="W809" s="13">
        <f>IFERROR(VLOOKUP(Tabela1[[#This Row],[COD.MDE]],'LISTA DE EMBARQUE'!B:M,12,0),"")</f>
        <v>46280</v>
      </c>
      <c r="X809" s="14">
        <f>IFERROR(Tabela1[[#This Row],[QIANTIDADE EXPEDIDA]]*Tabela1[[#This Row],[PESO UNI]],"")</f>
        <v>96</v>
      </c>
      <c r="Y809" s="14">
        <f t="shared" si="160"/>
        <v>0</v>
      </c>
      <c r="Z809" s="20">
        <f>Tabela1[[#This Row],[PESO TOTAL]]-Tabela1[[#This Row],[Peso Expedido]]</f>
        <v>0</v>
      </c>
      <c r="AA809" s="17">
        <v>1</v>
      </c>
      <c r="AB809" s="33"/>
      <c r="AC809" s="33">
        <v>1</v>
      </c>
      <c r="AD809" s="33">
        <v>1</v>
      </c>
      <c r="AE809" s="33">
        <v>1</v>
      </c>
      <c r="AF809" s="33">
        <v>1</v>
      </c>
      <c r="AG809" s="33">
        <v>1</v>
      </c>
      <c r="AH809" s="33">
        <v>1</v>
      </c>
      <c r="AI809" s="33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customHeight="1" x14ac:dyDescent="0.25">
      <c r="A810" s="1" t="s">
        <v>4903</v>
      </c>
      <c r="B810" s="21" t="s">
        <v>4904</v>
      </c>
      <c r="C810" s="1">
        <v>96</v>
      </c>
      <c r="D810" s="1" t="s">
        <v>4910</v>
      </c>
      <c r="E810" s="7">
        <v>4465</v>
      </c>
      <c r="F810" s="7">
        <v>40</v>
      </c>
      <c r="G810" s="1">
        <v>7.3</v>
      </c>
      <c r="H810" s="34">
        <f>Tabela1[[#This Row],[PESO UNI]]*Tabela1[[#This Row],[QTE]]</f>
        <v>700.8</v>
      </c>
      <c r="I810" s="7" t="s">
        <v>5382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-96</v>
      </c>
      <c r="R810" s="18">
        <f t="shared" si="157"/>
        <v>315.36</v>
      </c>
      <c r="S810" s="18">
        <f t="shared" si="158"/>
        <v>0</v>
      </c>
      <c r="T810" s="19">
        <f t="shared" si="159"/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 t="shared" si="160"/>
        <v>-96</v>
      </c>
      <c r="Z810" s="20">
        <f>Tabela1[[#This Row],[PESO TOTAL]]-Tabela1[[#This Row],[Peso Expedido]]</f>
        <v>700.8</v>
      </c>
      <c r="AA810" s="17">
        <v>0.9</v>
      </c>
      <c r="AB810" s="33"/>
      <c r="AC810" s="33">
        <v>0.9</v>
      </c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customHeight="1" x14ac:dyDescent="0.25">
      <c r="A811" s="1" t="s">
        <v>4911</v>
      </c>
      <c r="B811" s="21" t="s">
        <v>4912</v>
      </c>
      <c r="C811" s="1">
        <v>2</v>
      </c>
      <c r="D811" s="1" t="s">
        <v>4913</v>
      </c>
      <c r="E811" s="7">
        <v>4466</v>
      </c>
      <c r="F811" s="7">
        <v>40</v>
      </c>
      <c r="G811" s="1">
        <v>90.5</v>
      </c>
      <c r="H811" s="34">
        <f>Tabela1[[#This Row],[PESO UNI]]*Tabela1[[#This Row],[QTE]]</f>
        <v>181</v>
      </c>
      <c r="I811" s="7" t="s">
        <v>5382</v>
      </c>
      <c r="J811" s="8" t="s">
        <v>3093</v>
      </c>
      <c r="K811" s="8" t="s">
        <v>4320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-2</v>
      </c>
      <c r="R811" s="18">
        <f t="shared" si="157"/>
        <v>181</v>
      </c>
      <c r="S811" s="18">
        <f t="shared" si="158"/>
        <v>181</v>
      </c>
      <c r="T811" s="19">
        <f t="shared" si="159"/>
        <v>0</v>
      </c>
      <c r="U811" s="16">
        <f>IFERROR(SUMIF('LISTA DE EMBARQUE'!B:B,MICRO!E:E,'LISTA DE EMBARQUE'!G:G),"")</f>
        <v>2</v>
      </c>
      <c r="V811" s="12">
        <f>IFERROR(VLOOKUP(Tabela1[[#This Row],[COD.MDE]],'LISTA DE EMBARQUE'!B:L,11,0),"")</f>
        <v>6</v>
      </c>
      <c r="W811" s="13">
        <f>IFERROR(VLOOKUP(Tabela1[[#This Row],[COD.MDE]],'LISTA DE EMBARQUE'!B:M,12,0),"")</f>
        <v>46273</v>
      </c>
      <c r="X811" s="14">
        <f>IFERROR(Tabela1[[#This Row],[QIANTIDADE EXPEDIDA]]*Tabela1[[#This Row],[PESO UNI]],"")</f>
        <v>181</v>
      </c>
      <c r="Y811" s="14">
        <f t="shared" si="160"/>
        <v>0</v>
      </c>
      <c r="Z811" s="20">
        <f>Tabela1[[#This Row],[PESO TOTAL]]-Tabela1[[#This Row],[Peso Expedido]]</f>
        <v>0</v>
      </c>
      <c r="AA811" s="17">
        <v>1</v>
      </c>
      <c r="AB811" s="33"/>
      <c r="AC811" s="17">
        <v>1</v>
      </c>
      <c r="AD811" s="17">
        <v>1</v>
      </c>
      <c r="AE811" s="17">
        <v>1</v>
      </c>
      <c r="AF811" s="17">
        <v>1</v>
      </c>
      <c r="AG811" s="17">
        <v>1</v>
      </c>
      <c r="AH811" s="17">
        <v>1</v>
      </c>
      <c r="AI811" s="33" t="s">
        <v>4412</v>
      </c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customHeight="1" x14ac:dyDescent="0.25">
      <c r="A812" s="1" t="s">
        <v>4911</v>
      </c>
      <c r="B812" s="21" t="s">
        <v>4912</v>
      </c>
      <c r="C812" s="1">
        <v>4</v>
      </c>
      <c r="D812" s="1" t="s">
        <v>4914</v>
      </c>
      <c r="E812" s="7">
        <v>4467</v>
      </c>
      <c r="F812" s="7">
        <v>40</v>
      </c>
      <c r="G812" s="1">
        <v>8.1</v>
      </c>
      <c r="H812" s="34">
        <f>Tabela1[[#This Row],[PESO UNI]]*Tabela1[[#This Row],[QTE]]</f>
        <v>32.4</v>
      </c>
      <c r="I812" s="7" t="s">
        <v>5382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-4</v>
      </c>
      <c r="R812" s="18">
        <f t="shared" si="157"/>
        <v>32.4</v>
      </c>
      <c r="S812" s="18">
        <f t="shared" si="158"/>
        <v>32.4</v>
      </c>
      <c r="T812" s="19">
        <f t="shared" si="159"/>
        <v>0</v>
      </c>
      <c r="U812" s="16">
        <f>IFERROR(SUMIF('LISTA DE EMBARQUE'!B:B,MICRO!E:E,'LISTA DE EMBARQUE'!G:G),"")</f>
        <v>2</v>
      </c>
      <c r="V812" s="12">
        <f>IFERROR(VLOOKUP(Tabela1[[#This Row],[COD.MDE]],'LISTA DE EMBARQUE'!B:L,11,0),"")</f>
        <v>6</v>
      </c>
      <c r="W812" s="13">
        <f>IFERROR(VLOOKUP(Tabela1[[#This Row],[COD.MDE]],'LISTA DE EMBARQUE'!B:M,12,0),"")</f>
        <v>46273</v>
      </c>
      <c r="X812" s="14">
        <f>IFERROR(Tabela1[[#This Row],[QIANTIDADE EXPEDIDA]]*Tabela1[[#This Row],[PESO UNI]],"")</f>
        <v>16.2</v>
      </c>
      <c r="Y812" s="14">
        <f t="shared" si="160"/>
        <v>-2</v>
      </c>
      <c r="Z812" s="20">
        <f>Tabela1[[#This Row],[PESO TOTAL]]-Tabela1[[#This Row],[Peso Expedido]]</f>
        <v>16.2</v>
      </c>
      <c r="AA812" s="17">
        <v>1</v>
      </c>
      <c r="AB812" s="33"/>
      <c r="AC812" s="33">
        <v>1</v>
      </c>
      <c r="AD812" s="33">
        <v>1</v>
      </c>
      <c r="AE812" s="33">
        <v>1</v>
      </c>
      <c r="AF812" s="33">
        <v>1</v>
      </c>
      <c r="AG812" s="33">
        <v>1</v>
      </c>
      <c r="AH812" s="33">
        <v>0.5</v>
      </c>
      <c r="AI812" s="33" t="s">
        <v>4412</v>
      </c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customHeight="1" x14ac:dyDescent="0.25">
      <c r="A813" s="1" t="s">
        <v>4911</v>
      </c>
      <c r="B813" s="21" t="s">
        <v>4912</v>
      </c>
      <c r="C813" s="1">
        <v>4</v>
      </c>
      <c r="D813" s="1" t="s">
        <v>4915</v>
      </c>
      <c r="E813" s="7">
        <v>4468</v>
      </c>
      <c r="F813" s="7">
        <v>40</v>
      </c>
      <c r="G813" s="1">
        <v>0.6</v>
      </c>
      <c r="H813" s="34">
        <f>Tabela1[[#This Row],[PESO UNI]]*Tabela1[[#This Row],[QTE]]</f>
        <v>2.4</v>
      </c>
      <c r="I813" s="7" t="s">
        <v>5382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si="157"/>
        <v>2.4</v>
      </c>
      <c r="S813" s="18">
        <f t="shared" si="158"/>
        <v>2.4</v>
      </c>
      <c r="T813" s="19">
        <f t="shared" si="159"/>
        <v>0</v>
      </c>
      <c r="U813" s="16">
        <f>IFERROR(SUMIF('LISTA DE EMBARQUE'!B:B,MICRO!E:E,'LISTA DE EMBARQUE'!G:G),"")</f>
        <v>4</v>
      </c>
      <c r="V813" s="12">
        <f>IFERROR(VLOOKUP(Tabela1[[#This Row],[COD.MDE]],'LISTA DE EMBARQUE'!B:L,11,0),"")</f>
        <v>6</v>
      </c>
      <c r="W813" s="13">
        <f>IFERROR(VLOOKUP(Tabela1[[#This Row],[COD.MDE]],'LISTA DE EMBARQUE'!B:M,12,0),"")</f>
        <v>46273</v>
      </c>
      <c r="X813" s="14">
        <f>IFERROR(Tabela1[[#This Row],[QIANTIDADE EXPEDIDA]]*Tabela1[[#This Row],[PESO UNI]],"")</f>
        <v>2.4</v>
      </c>
      <c r="Y813" s="14">
        <f t="shared" si="160"/>
        <v>0</v>
      </c>
      <c r="Z813" s="20">
        <f>Tabela1[[#This Row],[PESO TOTAL]]-Tabela1[[#This Row],[Peso Expedido]]</f>
        <v>0</v>
      </c>
      <c r="AA813" s="17">
        <v>1</v>
      </c>
      <c r="AB813" s="33"/>
      <c r="AC813" s="17">
        <v>1</v>
      </c>
      <c r="AD813" s="17">
        <v>1</v>
      </c>
      <c r="AE813" s="17">
        <v>1</v>
      </c>
      <c r="AF813" s="17">
        <v>1</v>
      </c>
      <c r="AG813" s="17">
        <v>1</v>
      </c>
      <c r="AH813" s="17">
        <v>1</v>
      </c>
      <c r="AI813" s="33" t="s">
        <v>4412</v>
      </c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customHeight="1" x14ac:dyDescent="0.25">
      <c r="A814" s="1" t="s">
        <v>4911</v>
      </c>
      <c r="B814" s="21" t="s">
        <v>4912</v>
      </c>
      <c r="C814" s="1">
        <v>2</v>
      </c>
      <c r="D814" s="1" t="s">
        <v>4916</v>
      </c>
      <c r="E814" s="7">
        <v>4469</v>
      </c>
      <c r="F814" s="7">
        <v>40</v>
      </c>
      <c r="G814" s="1">
        <v>11.2</v>
      </c>
      <c r="H814" s="34">
        <f>Tabela1[[#This Row],[PESO UNI]]*Tabela1[[#This Row],[QTE]]</f>
        <v>22.4</v>
      </c>
      <c r="I814" s="7" t="s">
        <v>5382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-2</v>
      </c>
      <c r="R814" s="18">
        <f t="shared" si="157"/>
        <v>22.4</v>
      </c>
      <c r="S814" s="18">
        <f t="shared" si="158"/>
        <v>22.4</v>
      </c>
      <c r="T814" s="19">
        <f t="shared" si="159"/>
        <v>0</v>
      </c>
      <c r="U814" s="16">
        <f>IFERROR(SUMIF('LISTA DE EMBARQUE'!B:B,MICRO!E:E,'LISTA DE EMBARQUE'!G:G),"")</f>
        <v>4</v>
      </c>
      <c r="V814" s="12">
        <f>IFERROR(VLOOKUP(Tabela1[[#This Row],[COD.MDE]],'LISTA DE EMBARQUE'!B:L,11,0),"")</f>
        <v>6</v>
      </c>
      <c r="W814" s="13">
        <f>IFERROR(VLOOKUP(Tabela1[[#This Row],[COD.MDE]],'LISTA DE EMBARQUE'!B:M,12,0),"")</f>
        <v>46273</v>
      </c>
      <c r="X814" s="14">
        <f>IFERROR(Tabela1[[#This Row],[QIANTIDADE EXPEDIDA]]*Tabela1[[#This Row],[PESO UNI]],"")</f>
        <v>44.8</v>
      </c>
      <c r="Y814" s="14">
        <f t="shared" si="160"/>
        <v>2</v>
      </c>
      <c r="Z814" s="20">
        <f>Tabela1[[#This Row],[PESO TOTAL]]-Tabela1[[#This Row],[Peso Expedido]]</f>
        <v>-22.4</v>
      </c>
      <c r="AA814" s="17">
        <v>1</v>
      </c>
      <c r="AB814" s="33"/>
      <c r="AC814" s="17">
        <v>1</v>
      </c>
      <c r="AD814" s="17">
        <v>1</v>
      </c>
      <c r="AE814" s="17">
        <v>1</v>
      </c>
      <c r="AF814" s="17">
        <v>1</v>
      </c>
      <c r="AG814" s="17">
        <v>1</v>
      </c>
      <c r="AH814" s="17">
        <v>1</v>
      </c>
      <c r="AI814" s="33" t="s">
        <v>4412</v>
      </c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customHeight="1" x14ac:dyDescent="0.25">
      <c r="A815" s="1" t="s">
        <v>4911</v>
      </c>
      <c r="B815" s="21" t="s">
        <v>4912</v>
      </c>
      <c r="C815" s="1">
        <v>2</v>
      </c>
      <c r="D815" s="1" t="s">
        <v>4917</v>
      </c>
      <c r="E815" s="7">
        <v>4470</v>
      </c>
      <c r="F815" s="7">
        <v>40</v>
      </c>
      <c r="G815" s="1">
        <v>3.4</v>
      </c>
      <c r="H815" s="34">
        <f>Tabela1[[#This Row],[PESO UNI]]*Tabela1[[#This Row],[QTE]]</f>
        <v>6.8</v>
      </c>
      <c r="I815" s="7" t="s">
        <v>5382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si="157"/>
        <v>6.8</v>
      </c>
      <c r="S815" s="18">
        <f t="shared" si="158"/>
        <v>6.8</v>
      </c>
      <c r="T815" s="19">
        <f t="shared" si="159"/>
        <v>0</v>
      </c>
      <c r="U815" s="16">
        <f>IFERROR(SUMIF('LISTA DE EMBARQUE'!B:B,MICRO!E:E,'LISTA DE EMBARQUE'!G:G),"")</f>
        <v>2</v>
      </c>
      <c r="V815" s="12">
        <f>IFERROR(VLOOKUP(Tabela1[[#This Row],[COD.MDE]],'LISTA DE EMBARQUE'!B:L,11,0),"")</f>
        <v>7</v>
      </c>
      <c r="W815" s="13">
        <f>IFERROR(VLOOKUP(Tabela1[[#This Row],[COD.MDE]],'LISTA DE EMBARQUE'!B:M,12,0),"")</f>
        <v>46280</v>
      </c>
      <c r="X815" s="14">
        <f>IFERROR(Tabela1[[#This Row],[QIANTIDADE EXPEDIDA]]*Tabela1[[#This Row],[PESO UNI]],"")</f>
        <v>6.8</v>
      </c>
      <c r="Y815" s="14">
        <f t="shared" si="160"/>
        <v>0</v>
      </c>
      <c r="Z815" s="20">
        <f>Tabela1[[#This Row],[PESO TOTAL]]-Tabela1[[#This Row],[Peso Expedido]]</f>
        <v>0</v>
      </c>
      <c r="AA815" s="17">
        <v>1</v>
      </c>
      <c r="AB815" s="33"/>
      <c r="AC815" s="33">
        <v>1</v>
      </c>
      <c r="AD815" s="33">
        <v>1</v>
      </c>
      <c r="AE815" s="33">
        <v>1</v>
      </c>
      <c r="AF815" s="33">
        <v>1</v>
      </c>
      <c r="AG815" s="33">
        <v>1</v>
      </c>
      <c r="AH815" s="33">
        <v>1</v>
      </c>
      <c r="AI815" s="33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customHeight="1" x14ac:dyDescent="0.25">
      <c r="A816" s="1" t="s">
        <v>4911</v>
      </c>
      <c r="B816" s="21" t="s">
        <v>4912</v>
      </c>
      <c r="C816" s="1">
        <v>2</v>
      </c>
      <c r="D816" s="1" t="s">
        <v>4918</v>
      </c>
      <c r="E816" s="7">
        <v>4471</v>
      </c>
      <c r="F816" s="7">
        <v>40</v>
      </c>
      <c r="G816" s="1">
        <v>6</v>
      </c>
      <c r="H816" s="34">
        <f>Tabela1[[#This Row],[PESO UNI]]*Tabela1[[#This Row],[QTE]]</f>
        <v>12</v>
      </c>
      <c r="I816" s="7" t="s">
        <v>5382</v>
      </c>
      <c r="J816" s="8" t="s">
        <v>3093</v>
      </c>
      <c r="K816" s="8" t="s">
        <v>4320</v>
      </c>
      <c r="L816" s="9" t="s">
        <v>2984</v>
      </c>
      <c r="M816" s="10">
        <v>46233</v>
      </c>
      <c r="N816" s="8" t="s">
        <v>38</v>
      </c>
      <c r="O816" s="12"/>
      <c r="P816" s="13"/>
      <c r="Q816" s="14">
        <f>Tabela1[[#This Row],[QTDE/ Fabricação]]-Tabela1[[#This Row],[QTE]]</f>
        <v>-2</v>
      </c>
      <c r="R816" s="18">
        <f t="shared" si="157"/>
        <v>12</v>
      </c>
      <c r="S816" s="18">
        <f t="shared" si="158"/>
        <v>12</v>
      </c>
      <c r="T816" s="19">
        <f t="shared" si="159"/>
        <v>0</v>
      </c>
      <c r="U816" s="16">
        <f>IFERROR(SUMIF('LISTA DE EMBARQUE'!B:B,MICRO!E:E,'LISTA DE EMBARQUE'!G:G),"")</f>
        <v>2</v>
      </c>
      <c r="V816" s="12">
        <f>IFERROR(VLOOKUP(Tabela1[[#This Row],[COD.MDE]],'LISTA DE EMBARQUE'!B:L,11,0),"")</f>
        <v>7</v>
      </c>
      <c r="W816" s="13">
        <f>IFERROR(VLOOKUP(Tabela1[[#This Row],[COD.MDE]],'LISTA DE EMBARQUE'!B:M,12,0),"")</f>
        <v>46280</v>
      </c>
      <c r="X816" s="14">
        <f>IFERROR(Tabela1[[#This Row],[QIANTIDADE EXPEDIDA]]*Tabela1[[#This Row],[PESO UNI]],"")</f>
        <v>12</v>
      </c>
      <c r="Y816" s="14">
        <f t="shared" si="160"/>
        <v>0</v>
      </c>
      <c r="Z816" s="20">
        <f>Tabela1[[#This Row],[PESO TOTAL]]-Tabela1[[#This Row],[Peso Expedido]]</f>
        <v>0</v>
      </c>
      <c r="AA816" s="17">
        <v>1</v>
      </c>
      <c r="AB816" s="33"/>
      <c r="AC816" s="33">
        <v>1</v>
      </c>
      <c r="AD816" s="33">
        <v>1</v>
      </c>
      <c r="AE816" s="33">
        <v>1</v>
      </c>
      <c r="AF816" s="33">
        <v>1</v>
      </c>
      <c r="AG816" s="33">
        <v>1</v>
      </c>
      <c r="AH816" s="33">
        <v>1</v>
      </c>
      <c r="AI816" s="33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customHeight="1" x14ac:dyDescent="0.25">
      <c r="A817" s="1" t="s">
        <v>4911</v>
      </c>
      <c r="B817" s="21" t="s">
        <v>4912</v>
      </c>
      <c r="C817" s="1">
        <v>28</v>
      </c>
      <c r="D817" s="1" t="s">
        <v>4919</v>
      </c>
      <c r="E817" s="7">
        <v>4472</v>
      </c>
      <c r="F817" s="7">
        <v>40</v>
      </c>
      <c r="G817" s="1">
        <v>7.3</v>
      </c>
      <c r="H817" s="34">
        <f>Tabela1[[#This Row],[PESO UNI]]*Tabela1[[#This Row],[QTE]]</f>
        <v>204.4</v>
      </c>
      <c r="I817" s="7" t="s">
        <v>5382</v>
      </c>
      <c r="J817" s="8" t="s">
        <v>3093</v>
      </c>
      <c r="K817" s="8" t="s">
        <v>44</v>
      </c>
      <c r="L817" s="9" t="s">
        <v>2984</v>
      </c>
      <c r="M817" s="10">
        <v>46233</v>
      </c>
      <c r="N817" s="8" t="s">
        <v>38</v>
      </c>
      <c r="O817" s="12"/>
      <c r="P817" s="13"/>
      <c r="Q817" s="14">
        <f>Tabela1[[#This Row],[QTDE/ Fabricação]]-Tabela1[[#This Row],[QTE]]</f>
        <v>-28</v>
      </c>
      <c r="R817" s="18">
        <f t="shared" si="157"/>
        <v>204.4</v>
      </c>
      <c r="S817" s="18">
        <f t="shared" si="158"/>
        <v>204.4</v>
      </c>
      <c r="T817" s="19">
        <f t="shared" si="159"/>
        <v>0</v>
      </c>
      <c r="U817" s="16">
        <f>IFERROR(SUMIF('LISTA DE EMBARQUE'!B:B,MICRO!E:E,'LISTA DE EMBARQUE'!G:G),"")</f>
        <v>28</v>
      </c>
      <c r="V817" s="12">
        <f>IFERROR(VLOOKUP(Tabela1[[#This Row],[COD.MDE]],'LISTA DE EMBARQUE'!B:L,11,0),"")</f>
        <v>5</v>
      </c>
      <c r="W817" s="13">
        <f>IFERROR(VLOOKUP(Tabela1[[#This Row],[COD.MDE]],'LISTA DE EMBARQUE'!B:M,12,0),"")</f>
        <v>46254</v>
      </c>
      <c r="X817" s="14">
        <f>IFERROR(Tabela1[[#This Row],[QIANTIDADE EXPEDIDA]]*Tabela1[[#This Row],[PESO UNI]],"")</f>
        <v>204.4</v>
      </c>
      <c r="Y817" s="14">
        <f t="shared" si="160"/>
        <v>0</v>
      </c>
      <c r="Z817" s="20">
        <f>Tabela1[[#This Row],[PESO TOTAL]]-Tabela1[[#This Row],[Peso Expedido]]</f>
        <v>0</v>
      </c>
      <c r="AA817" s="17">
        <v>1</v>
      </c>
      <c r="AB817" s="33"/>
      <c r="AC817" s="33">
        <v>1</v>
      </c>
      <c r="AD817" s="33">
        <v>1</v>
      </c>
      <c r="AE817" s="33">
        <v>1</v>
      </c>
      <c r="AF817" s="33">
        <v>1</v>
      </c>
      <c r="AG817" s="33">
        <v>1</v>
      </c>
      <c r="AH817" s="33">
        <v>1</v>
      </c>
      <c r="AI817" s="33" t="str">
        <f>IF(Z817&lt;=0,"ok","")</f>
        <v>ok</v>
      </c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customHeight="1" x14ac:dyDescent="0.25">
      <c r="A818" s="1" t="s">
        <v>4920</v>
      </c>
      <c r="B818" s="21" t="s">
        <v>4921</v>
      </c>
      <c r="C818" s="1">
        <v>1</v>
      </c>
      <c r="D818" s="1" t="s">
        <v>4922</v>
      </c>
      <c r="E818" s="7">
        <v>4473</v>
      </c>
      <c r="F818" s="7">
        <v>41</v>
      </c>
      <c r="G818" s="1">
        <v>715.7</v>
      </c>
      <c r="H818" s="34">
        <f>Tabela1[[#This Row],[PESO UNI]]*Tabela1[[#This Row],[QTE]]</f>
        <v>715.7</v>
      </c>
      <c r="I818" s="7" t="s">
        <v>5007</v>
      </c>
      <c r="J818" s="8" t="s">
        <v>3093</v>
      </c>
      <c r="K818" s="8" t="s">
        <v>4320</v>
      </c>
      <c r="L818" s="9" t="s">
        <v>2984</v>
      </c>
      <c r="M818" s="10">
        <v>46233</v>
      </c>
      <c r="N818" s="8" t="s">
        <v>38</v>
      </c>
      <c r="O818" s="12"/>
      <c r="P818" s="13"/>
      <c r="Q818" s="14">
        <f>Tabela1[[#This Row],[QTDE/ Fabricação]]-Tabela1[[#This Row],[QTE]]</f>
        <v>-1</v>
      </c>
      <c r="R818" s="18">
        <f t="shared" si="157"/>
        <v>178.92500000000001</v>
      </c>
      <c r="S818" s="18">
        <f t="shared" si="158"/>
        <v>0</v>
      </c>
      <c r="T818" s="19">
        <f t="shared" si="159"/>
        <v>-715.7</v>
      </c>
      <c r="U818" s="16">
        <f>IFERROR(SUMIF('LISTA DE EMBARQUE'!B:B,MICRO!E:E,'LISTA DE EMBARQUE'!G:G),"")</f>
        <v>1</v>
      </c>
      <c r="V818" s="12">
        <f>IFERROR(VLOOKUP(Tabela1[[#This Row],[COD.MDE]],'LISTA DE EMBARQUE'!B:L,11,0),"")</f>
        <v>7</v>
      </c>
      <c r="W818" s="13">
        <f>IFERROR(VLOOKUP(Tabela1[[#This Row],[COD.MDE]],'LISTA DE EMBARQUE'!B:M,12,0),"")</f>
        <v>46280</v>
      </c>
      <c r="X818" s="14">
        <f>IFERROR(Tabela1[[#This Row],[QIANTIDADE EXPEDIDA]]*Tabela1[[#This Row],[PESO UNI]],"")</f>
        <v>715.7</v>
      </c>
      <c r="Y818" s="14">
        <f t="shared" si="160"/>
        <v>0</v>
      </c>
      <c r="Z818" s="20">
        <f>Tabela1[[#This Row],[PESO TOTAL]]-Tabela1[[#This Row],[Peso Expedido]]</f>
        <v>0</v>
      </c>
      <c r="AA818" s="17">
        <v>1</v>
      </c>
      <c r="AB818" s="33"/>
      <c r="AC818" s="33"/>
      <c r="AD818" s="33"/>
      <c r="AE818" s="33"/>
      <c r="AF818" s="33"/>
      <c r="AG818" s="33"/>
      <c r="AH818" s="33"/>
      <c r="AI818" s="33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customHeight="1" x14ac:dyDescent="0.25">
      <c r="A819" s="1" t="s">
        <v>4920</v>
      </c>
      <c r="B819" s="21" t="s">
        <v>4921</v>
      </c>
      <c r="C819" s="1">
        <v>4</v>
      </c>
      <c r="D819" s="1" t="s">
        <v>4923</v>
      </c>
      <c r="E819" s="7">
        <v>4474</v>
      </c>
      <c r="F819" s="7">
        <v>41</v>
      </c>
      <c r="G819" s="1">
        <v>10.7</v>
      </c>
      <c r="H819" s="34">
        <f>Tabela1[[#This Row],[PESO UNI]]*Tabela1[[#This Row],[QTE]]</f>
        <v>42.8</v>
      </c>
      <c r="I819" s="7" t="s">
        <v>5007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38</v>
      </c>
      <c r="O819" s="12"/>
      <c r="P819" s="13"/>
      <c r="Q819" s="14">
        <f>Tabela1[[#This Row],[QTDE/ Fabricação]]-Tabela1[[#This Row],[QTE]]</f>
        <v>-4</v>
      </c>
      <c r="R819" s="18">
        <f t="shared" si="157"/>
        <v>10.7</v>
      </c>
      <c r="S819" s="18">
        <f t="shared" si="158"/>
        <v>0</v>
      </c>
      <c r="T819" s="19">
        <f t="shared" si="159"/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 t="shared" si="160"/>
        <v>-4</v>
      </c>
      <c r="Z819" s="20">
        <f>Tabela1[[#This Row],[PESO TOTAL]]-Tabela1[[#This Row],[Peso Expedido]]</f>
        <v>42.8</v>
      </c>
      <c r="AA819" s="17">
        <v>1</v>
      </c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customHeight="1" x14ac:dyDescent="0.25">
      <c r="A820" s="1" t="s">
        <v>4924</v>
      </c>
      <c r="B820" s="21" t="s">
        <v>4925</v>
      </c>
      <c r="C820" s="1">
        <v>2</v>
      </c>
      <c r="D820" s="1" t="s">
        <v>4926</v>
      </c>
      <c r="E820" s="7">
        <v>4475</v>
      </c>
      <c r="F820" s="7">
        <v>42</v>
      </c>
      <c r="G820" s="1">
        <v>23.8</v>
      </c>
      <c r="H820" s="34">
        <f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-2</v>
      </c>
      <c r="R820" s="18">
        <f t="shared" si="157"/>
        <v>21.42</v>
      </c>
      <c r="S820" s="18">
        <f t="shared" si="158"/>
        <v>0</v>
      </c>
      <c r="T820" s="19">
        <f t="shared" si="159"/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si="160"/>
        <v>-2</v>
      </c>
      <c r="Z820" s="20">
        <f>Tabela1[[#This Row],[PESO TOTAL]]-Tabela1[[#This Row],[Peso Expedido]]</f>
        <v>47.6</v>
      </c>
      <c r="AA820" s="17">
        <v>0.9</v>
      </c>
      <c r="AB820" s="33"/>
      <c r="AC820" s="33">
        <v>0.9</v>
      </c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customHeight="1" x14ac:dyDescent="0.25">
      <c r="A821" s="1" t="s">
        <v>4927</v>
      </c>
      <c r="B821" s="21" t="s">
        <v>4928</v>
      </c>
      <c r="C821" s="1">
        <v>1</v>
      </c>
      <c r="D821" s="1" t="s">
        <v>4935</v>
      </c>
      <c r="E821" s="7">
        <v>4476</v>
      </c>
      <c r="F821" s="7">
        <v>43</v>
      </c>
      <c r="G821" s="1">
        <v>1146.0999999999999</v>
      </c>
      <c r="H821" s="34">
        <f>Tabela1[[#This Row],[PESO UNI]]*Tabela1[[#This Row],[QTE]]</f>
        <v>1146.0999999999999</v>
      </c>
      <c r="I821" s="7" t="s">
        <v>5487</v>
      </c>
      <c r="J821" s="8" t="s">
        <v>3140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-1</v>
      </c>
      <c r="R821" s="18">
        <f t="shared" si="157"/>
        <v>1146.0999999999999</v>
      </c>
      <c r="S821" s="18">
        <f t="shared" si="158"/>
        <v>1146.0999999999999</v>
      </c>
      <c r="T821" s="19">
        <f t="shared" si="159"/>
        <v>0</v>
      </c>
      <c r="U821" s="16">
        <f>IFERROR(SUMIF('LISTA DE EMBARQUE'!B:B,MICRO!E:E,'LISTA DE EMBARQUE'!G:G),"")</f>
        <v>1</v>
      </c>
      <c r="V821" s="12">
        <f>IFERROR(VLOOKUP(Tabela1[[#This Row],[COD.MDE]],'LISTA DE EMBARQUE'!B:L,11,0),"")</f>
        <v>6</v>
      </c>
      <c r="W821" s="13">
        <f>IFERROR(VLOOKUP(Tabela1[[#This Row],[COD.MDE]],'LISTA DE EMBARQUE'!B:M,12,0),"")</f>
        <v>46273</v>
      </c>
      <c r="X821" s="14">
        <f>IFERROR(Tabela1[[#This Row],[QIANTIDADE EXPEDIDA]]*Tabela1[[#This Row],[PESO UNI]],"")</f>
        <v>1146.0999999999999</v>
      </c>
      <c r="Y821" s="14">
        <f t="shared" si="160"/>
        <v>0</v>
      </c>
      <c r="Z821" s="20">
        <f>Tabela1[[#This Row],[PESO TOTAL]]-Tabela1[[#This Row],[Peso Expedido]]</f>
        <v>0</v>
      </c>
      <c r="AA821" s="17">
        <v>1</v>
      </c>
      <c r="AB821" s="33"/>
      <c r="AC821" s="17">
        <v>1</v>
      </c>
      <c r="AD821" s="17">
        <v>1</v>
      </c>
      <c r="AE821" s="17">
        <v>1</v>
      </c>
      <c r="AF821" s="17">
        <v>1</v>
      </c>
      <c r="AG821" s="17">
        <v>1</v>
      </c>
      <c r="AH821" s="17">
        <v>1</v>
      </c>
      <c r="AI821" s="33" t="s">
        <v>4412</v>
      </c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customHeight="1" x14ac:dyDescent="0.25">
      <c r="A822" s="1" t="s">
        <v>4929</v>
      </c>
      <c r="B822" s="21" t="s">
        <v>4930</v>
      </c>
      <c r="C822" s="1">
        <v>1</v>
      </c>
      <c r="D822" s="1" t="s">
        <v>4934</v>
      </c>
      <c r="E822" s="7">
        <v>4477</v>
      </c>
      <c r="F822" s="7">
        <v>43</v>
      </c>
      <c r="G822" s="1">
        <v>769.4</v>
      </c>
      <c r="H822" s="34">
        <f>Tabela1[[#This Row],[PESO UNI]]*Tabela1[[#This Row],[QTE]]</f>
        <v>769.4</v>
      </c>
      <c r="I822" s="7" t="s">
        <v>5280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38</v>
      </c>
      <c r="O822" s="12"/>
      <c r="P822" s="13"/>
      <c r="Q822" s="14">
        <f>Tabela1[[#This Row],[QTDE/ Fabricação]]-Tabela1[[#This Row],[QTE]]</f>
        <v>-1</v>
      </c>
      <c r="R822" s="18">
        <f t="shared" si="157"/>
        <v>192.35</v>
      </c>
      <c r="S822" s="18">
        <f t="shared" si="158"/>
        <v>0</v>
      </c>
      <c r="T822" s="19">
        <f t="shared" si="159"/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 t="shared" si="160"/>
        <v>-1</v>
      </c>
      <c r="Z822" s="20">
        <f>Tabela1[[#This Row],[PESO TOTAL]]-Tabela1[[#This Row],[Peso Expedido]]</f>
        <v>769.4</v>
      </c>
      <c r="AA822" s="17">
        <v>1</v>
      </c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customHeight="1" x14ac:dyDescent="0.25">
      <c r="A823" s="1" t="s">
        <v>4931</v>
      </c>
      <c r="B823" s="21" t="s">
        <v>4932</v>
      </c>
      <c r="C823" s="1">
        <v>1</v>
      </c>
      <c r="D823" s="1" t="s">
        <v>4933</v>
      </c>
      <c r="E823" s="7">
        <v>4478</v>
      </c>
      <c r="F823" s="7">
        <v>43</v>
      </c>
      <c r="G823" s="1">
        <v>764.5</v>
      </c>
      <c r="H823" s="34">
        <f>Tabela1[[#This Row],[PESO UNI]]*Tabela1[[#This Row],[QTE]]</f>
        <v>764.5</v>
      </c>
      <c r="I823" s="7" t="s">
        <v>5280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si="157"/>
        <v>191.125</v>
      </c>
      <c r="S823" s="18">
        <f t="shared" si="158"/>
        <v>0</v>
      </c>
      <c r="T823" s="19">
        <f t="shared" si="159"/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si="160"/>
        <v>-1</v>
      </c>
      <c r="Z823" s="20">
        <f>Tabela1[[#This Row],[PESO TOTAL]]-Tabela1[[#This Row],[Peso Expedido]]</f>
        <v>764.5</v>
      </c>
      <c r="AA823" s="17">
        <v>1</v>
      </c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customHeight="1" x14ac:dyDescent="0.25">
      <c r="A824" s="1" t="s">
        <v>4936</v>
      </c>
      <c r="B824" s="21" t="s">
        <v>4937</v>
      </c>
      <c r="C824" s="1">
        <v>1</v>
      </c>
      <c r="D824" s="1" t="s">
        <v>4938</v>
      </c>
      <c r="E824" s="7">
        <v>4479</v>
      </c>
      <c r="F824" s="7">
        <v>43</v>
      </c>
      <c r="G824" s="1">
        <v>748.5</v>
      </c>
      <c r="H824" s="34">
        <f>Tabela1[[#This Row],[PESO UNI]]*Tabela1[[#This Row],[QTE]]</f>
        <v>748.5</v>
      </c>
      <c r="I824" s="7" t="s">
        <v>5482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si="157"/>
        <v>187.125</v>
      </c>
      <c r="S824" s="18">
        <f t="shared" si="158"/>
        <v>0</v>
      </c>
      <c r="T824" s="19">
        <f t="shared" si="159"/>
        <v>-748.5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si="160"/>
        <v>-1</v>
      </c>
      <c r="Z824" s="20">
        <f>Tabela1[[#This Row],[PESO TOTAL]]-Tabela1[[#This Row],[Peso Expedido]]</f>
        <v>748.5</v>
      </c>
      <c r="AA824" s="17">
        <v>1</v>
      </c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customHeight="1" x14ac:dyDescent="0.25">
      <c r="A825" s="1" t="s">
        <v>4936</v>
      </c>
      <c r="B825" s="21" t="s">
        <v>4937</v>
      </c>
      <c r="C825" s="1">
        <v>1</v>
      </c>
      <c r="D825" s="1" t="s">
        <v>5009</v>
      </c>
      <c r="E825" s="7">
        <v>4512</v>
      </c>
      <c r="F825" s="7">
        <v>43</v>
      </c>
      <c r="G825" s="1">
        <v>287.7</v>
      </c>
      <c r="H825" s="34">
        <f>Tabela1[[#This Row],[PESO UNI]]*Tabela1[[#This Row],[QTE]]</f>
        <v>287.7</v>
      </c>
      <c r="I825" s="7" t="s">
        <v>5482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si="157"/>
        <v>71.924999999999997</v>
      </c>
      <c r="S825" s="18">
        <f t="shared" si="158"/>
        <v>0</v>
      </c>
      <c r="T825" s="19">
        <f t="shared" si="159"/>
        <v>-287.7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si="160"/>
        <v>-1</v>
      </c>
      <c r="Z825" s="20">
        <f>Tabela1[[#This Row],[PESO TOTAL]]-Tabela1[[#This Row],[Peso Expedido]]</f>
        <v>287.7</v>
      </c>
      <c r="AA825" s="17">
        <v>1</v>
      </c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customHeight="1" x14ac:dyDescent="0.25">
      <c r="A826" s="1" t="s">
        <v>4936</v>
      </c>
      <c r="B826" s="21" t="s">
        <v>4937</v>
      </c>
      <c r="C826" s="1">
        <v>1</v>
      </c>
      <c r="D826" s="1" t="s">
        <v>4938</v>
      </c>
      <c r="E826" s="7">
        <v>4513</v>
      </c>
      <c r="F826" s="7">
        <v>43</v>
      </c>
      <c r="G826" s="1">
        <v>376.1</v>
      </c>
      <c r="H826" s="34">
        <f>Tabela1[[#This Row],[PESO UNI]]*Tabela1[[#This Row],[QTE]]</f>
        <v>376.1</v>
      </c>
      <c r="I826" s="7" t="s">
        <v>5482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si="157"/>
        <v>94.025000000000006</v>
      </c>
      <c r="S826" s="18">
        <f t="shared" si="158"/>
        <v>0</v>
      </c>
      <c r="T826" s="19">
        <f t="shared" si="159"/>
        <v>-376.1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si="160"/>
        <v>-1</v>
      </c>
      <c r="Z826" s="20">
        <f>Tabela1[[#This Row],[PESO TOTAL]]-Tabela1[[#This Row],[Peso Expedido]]</f>
        <v>376.1</v>
      </c>
      <c r="AA826" s="17">
        <v>1</v>
      </c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customHeight="1" x14ac:dyDescent="0.25">
      <c r="A827" s="1" t="s">
        <v>4939</v>
      </c>
      <c r="B827" s="21" t="s">
        <v>4940</v>
      </c>
      <c r="C827" s="1">
        <v>1</v>
      </c>
      <c r="D827" s="1" t="s">
        <v>4941</v>
      </c>
      <c r="E827" s="7">
        <v>4480</v>
      </c>
      <c r="F827" s="7">
        <v>44</v>
      </c>
      <c r="G827" s="1">
        <v>485.6</v>
      </c>
      <c r="H827" s="34">
        <f>Tabela1[[#This Row],[PESO UNI]]*Tabela1[[#This Row],[QTE]]</f>
        <v>485.6</v>
      </c>
      <c r="I827" s="7" t="s">
        <v>5006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 t="shared" si="157"/>
        <v>121.4</v>
      </c>
      <c r="S827" s="18">
        <f t="shared" si="158"/>
        <v>0</v>
      </c>
      <c r="T827" s="19">
        <f t="shared" si="159"/>
        <v>-485.6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si="160"/>
        <v>-1</v>
      </c>
      <c r="Z827" s="20">
        <f>Tabela1[[#This Row],[PESO TOTAL]]-Tabela1[[#This Row],[Peso Expedido]]</f>
        <v>485.6</v>
      </c>
      <c r="AA827" s="17">
        <v>1</v>
      </c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customHeight="1" x14ac:dyDescent="0.25">
      <c r="A828" s="1" t="s">
        <v>4939</v>
      </c>
      <c r="B828" s="21" t="s">
        <v>4940</v>
      </c>
      <c r="C828" s="1">
        <v>2</v>
      </c>
      <c r="D828" s="1" t="s">
        <v>4942</v>
      </c>
      <c r="E828" s="7">
        <v>4481</v>
      </c>
      <c r="F828" s="7">
        <v>44</v>
      </c>
      <c r="G828" s="1">
        <v>90.6</v>
      </c>
      <c r="H828" s="34">
        <f>Tabela1[[#This Row],[PESO UNI]]*Tabela1[[#This Row],[QTE]]</f>
        <v>181.2</v>
      </c>
      <c r="I828" s="7" t="s">
        <v>5006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-2</v>
      </c>
      <c r="R828" s="18">
        <f t="shared" si="157"/>
        <v>45.3</v>
      </c>
      <c r="S828" s="18">
        <f t="shared" si="158"/>
        <v>0</v>
      </c>
      <c r="T828" s="19">
        <f t="shared" si="159"/>
        <v>-181.2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si="160"/>
        <v>-2</v>
      </c>
      <c r="Z828" s="20">
        <f>Tabela1[[#This Row],[PESO TOTAL]]-Tabela1[[#This Row],[Peso Expedido]]</f>
        <v>181.2</v>
      </c>
      <c r="AA828" s="17">
        <v>1</v>
      </c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customHeight="1" x14ac:dyDescent="0.25">
      <c r="A829" s="1" t="s">
        <v>4939</v>
      </c>
      <c r="B829" s="21" t="s">
        <v>4940</v>
      </c>
      <c r="C829" s="1">
        <v>2</v>
      </c>
      <c r="D829" s="1" t="s">
        <v>4943</v>
      </c>
      <c r="E829" s="7">
        <v>4482</v>
      </c>
      <c r="F829" s="7">
        <v>44</v>
      </c>
      <c r="G829" s="1">
        <v>113.8</v>
      </c>
      <c r="H829" s="34">
        <f>Tabela1[[#This Row],[PESO UNI]]*Tabela1[[#This Row],[QTE]]</f>
        <v>227.6</v>
      </c>
      <c r="I829" s="7" t="s">
        <v>5006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si="157"/>
        <v>56.9</v>
      </c>
      <c r="S829" s="18">
        <f t="shared" si="158"/>
        <v>0</v>
      </c>
      <c r="T829" s="19">
        <f t="shared" si="159"/>
        <v>-227.6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si="160"/>
        <v>-2</v>
      </c>
      <c r="Z829" s="20">
        <f>Tabela1[[#This Row],[PESO TOTAL]]-Tabela1[[#This Row],[Peso Expedido]]</f>
        <v>227.6</v>
      </c>
      <c r="AA829" s="17">
        <v>1</v>
      </c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customHeight="1" x14ac:dyDescent="0.25">
      <c r="A830" s="1" t="s">
        <v>4944</v>
      </c>
      <c r="B830" s="21" t="s">
        <v>4945</v>
      </c>
      <c r="C830" s="1">
        <v>2</v>
      </c>
      <c r="D830" s="1" t="s">
        <v>4946</v>
      </c>
      <c r="E830" s="7">
        <v>4483</v>
      </c>
      <c r="F830" s="7">
        <v>44</v>
      </c>
      <c r="G830" s="1">
        <v>19.399999999999999</v>
      </c>
      <c r="H830" s="34">
        <f>Tabela1[[#This Row],[PESO UNI]]*Tabela1[[#This Row],[QTE]]</f>
        <v>38.799999999999997</v>
      </c>
      <c r="I830" s="7" t="s">
        <v>5006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si="157"/>
        <v>9.6999999999999993</v>
      </c>
      <c r="S830" s="18">
        <f t="shared" si="158"/>
        <v>0</v>
      </c>
      <c r="T830" s="19">
        <f t="shared" si="159"/>
        <v>-38.799999999999997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si="160"/>
        <v>-2</v>
      </c>
      <c r="Z830" s="20">
        <f>Tabela1[[#This Row],[PESO TOTAL]]-Tabela1[[#This Row],[Peso Expedido]]</f>
        <v>38.799999999999997</v>
      </c>
      <c r="AA830" s="17">
        <v>1</v>
      </c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customHeight="1" x14ac:dyDescent="0.25">
      <c r="A831" s="1" t="s">
        <v>4944</v>
      </c>
      <c r="B831" s="21" t="s">
        <v>4945</v>
      </c>
      <c r="C831" s="1">
        <v>2</v>
      </c>
      <c r="D831" s="1" t="s">
        <v>4947</v>
      </c>
      <c r="E831" s="7">
        <v>4484</v>
      </c>
      <c r="F831" s="7">
        <v>44</v>
      </c>
      <c r="G831" s="1">
        <v>26.2</v>
      </c>
      <c r="H831" s="34">
        <f>Tabela1[[#This Row],[PESO UNI]]*Tabela1[[#This Row],[QTE]]</f>
        <v>52.4</v>
      </c>
      <c r="I831" s="7" t="s">
        <v>5006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si="157"/>
        <v>13.1</v>
      </c>
      <c r="S831" s="18">
        <f t="shared" si="158"/>
        <v>0</v>
      </c>
      <c r="T831" s="19">
        <f t="shared" si="159"/>
        <v>-52.4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si="160"/>
        <v>-2</v>
      </c>
      <c r="Z831" s="20">
        <f>Tabela1[[#This Row],[PESO TOTAL]]-Tabela1[[#This Row],[Peso Expedido]]</f>
        <v>52.4</v>
      </c>
      <c r="AA831" s="17">
        <v>1</v>
      </c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customHeight="1" x14ac:dyDescent="0.25">
      <c r="A832" s="1" t="s">
        <v>4944</v>
      </c>
      <c r="B832" s="21" t="s">
        <v>4945</v>
      </c>
      <c r="C832" s="1">
        <v>2</v>
      </c>
      <c r="D832" s="1" t="s">
        <v>4948</v>
      </c>
      <c r="E832" s="7">
        <v>4485</v>
      </c>
      <c r="F832" s="7">
        <v>44</v>
      </c>
      <c r="G832" s="1">
        <v>2.2000000000000002</v>
      </c>
      <c r="H832" s="34">
        <f>Tabela1[[#This Row],[PESO UNI]]*Tabela1[[#This Row],[QTE]]</f>
        <v>4.4000000000000004</v>
      </c>
      <c r="I832" s="7" t="s">
        <v>5006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si="157"/>
        <v>1.1000000000000001</v>
      </c>
      <c r="S832" s="18">
        <f t="shared" si="158"/>
        <v>0</v>
      </c>
      <c r="T832" s="19">
        <f t="shared" si="159"/>
        <v>-4.4000000000000004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si="160"/>
        <v>-2</v>
      </c>
      <c r="Z832" s="20">
        <f>Tabela1[[#This Row],[PESO TOTAL]]-Tabela1[[#This Row],[Peso Expedido]]</f>
        <v>4.4000000000000004</v>
      </c>
      <c r="AA832" s="17">
        <v>1</v>
      </c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customHeight="1" x14ac:dyDescent="0.25">
      <c r="A833" s="1" t="s">
        <v>4944</v>
      </c>
      <c r="B833" s="21" t="s">
        <v>4945</v>
      </c>
      <c r="C833" s="1">
        <v>2</v>
      </c>
      <c r="D833" s="1" t="s">
        <v>4949</v>
      </c>
      <c r="E833" s="7">
        <v>4486</v>
      </c>
      <c r="F833" s="7">
        <v>44</v>
      </c>
      <c r="G833" s="1">
        <v>6.9</v>
      </c>
      <c r="H833" s="34">
        <f>Tabela1[[#This Row],[PESO UNI]]*Tabela1[[#This Row],[QTE]]</f>
        <v>13.8</v>
      </c>
      <c r="I833" s="7" t="s">
        <v>5006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 t="shared" si="157"/>
        <v>3.45</v>
      </c>
      <c r="S833" s="18">
        <f t="shared" si="158"/>
        <v>0</v>
      </c>
      <c r="T833" s="19">
        <f t="shared" si="159"/>
        <v>-13.8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si="160"/>
        <v>-2</v>
      </c>
      <c r="Z833" s="20">
        <f>Tabela1[[#This Row],[PESO TOTAL]]-Tabela1[[#This Row],[Peso Expedido]]</f>
        <v>13.8</v>
      </c>
      <c r="AA833" s="17">
        <v>1</v>
      </c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customHeight="1" x14ac:dyDescent="0.25">
      <c r="A834" s="1" t="s">
        <v>733</v>
      </c>
      <c r="B834" s="21"/>
      <c r="C834" s="1">
        <v>2</v>
      </c>
      <c r="D834" s="1" t="s">
        <v>4951</v>
      </c>
      <c r="E834" s="7">
        <v>4487</v>
      </c>
      <c r="F834" s="7">
        <v>71</v>
      </c>
      <c r="G834" s="1">
        <v>7.4</v>
      </c>
      <c r="H834" s="34">
        <f>Tabela1[[#This Row],[PESO UNI]]*Tabela1[[#This Row],[QTE]]</f>
        <v>14.8</v>
      </c>
      <c r="I834" s="7">
        <v>0</v>
      </c>
      <c r="J834" s="8" t="s">
        <v>585</v>
      </c>
      <c r="K834" s="8" t="s">
        <v>23</v>
      </c>
      <c r="L834" s="9" t="s">
        <v>4952</v>
      </c>
      <c r="M834" s="10">
        <v>46234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ref="R834" si="161">IFERROR(H834*((AA834*0.25)+(AC834*0.25)+(AD834*0.225)+(AE834*0.225)+(AF834*0.05)),"")</f>
        <v>14.8</v>
      </c>
      <c r="S834" s="18">
        <f t="shared" ref="S834" si="162">IFERROR(H834*AG834,"")</f>
        <v>14.8</v>
      </c>
      <c r="T834" s="19">
        <f t="shared" ref="T834" si="163">IFERROR(S834-H834,"")</f>
        <v>0</v>
      </c>
      <c r="U834" s="16">
        <v>2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14.8</v>
      </c>
      <c r="Y834" s="14">
        <f t="shared" ref="Y834" si="164">U834-C834</f>
        <v>0</v>
      </c>
      <c r="Z834" s="20">
        <f>Tabela1[[#This Row],[PESO TOTAL]]-Tabela1[[#This Row],[Peso Expedido]]</f>
        <v>0</v>
      </c>
      <c r="AA834" s="17">
        <v>1</v>
      </c>
      <c r="AB834" s="17">
        <v>1</v>
      </c>
      <c r="AC834" s="17">
        <v>1</v>
      </c>
      <c r="AD834" s="17">
        <v>1</v>
      </c>
      <c r="AE834" s="17">
        <v>1</v>
      </c>
      <c r="AF834" s="33">
        <v>1</v>
      </c>
      <c r="AG834" s="33">
        <v>1</v>
      </c>
      <c r="AH834" s="33">
        <v>1</v>
      </c>
      <c r="AI834" s="33" t="s">
        <v>5414</v>
      </c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customHeight="1" x14ac:dyDescent="0.25">
      <c r="A835" s="1" t="s">
        <v>4953</v>
      </c>
      <c r="B835" s="21"/>
      <c r="C835" s="1">
        <v>1</v>
      </c>
      <c r="D835" s="1" t="s">
        <v>4954</v>
      </c>
      <c r="E835" s="7">
        <v>4488</v>
      </c>
      <c r="F835" s="7">
        <v>45</v>
      </c>
      <c r="G835" s="1">
        <v>3649.4</v>
      </c>
      <c r="H835" s="34">
        <f>Tabela1[[#This Row],[PESO UNI]]*Tabela1[[#This Row],[QTE]]</f>
        <v>3649.4</v>
      </c>
      <c r="I835" s="7">
        <v>0</v>
      </c>
      <c r="J835" s="8" t="s">
        <v>3093</v>
      </c>
      <c r="K835" s="8" t="s">
        <v>22</v>
      </c>
      <c r="L835" s="9" t="s">
        <v>2984</v>
      </c>
      <c r="M835" s="10">
        <v>46237</v>
      </c>
      <c r="N835" s="8" t="s">
        <v>38</v>
      </c>
      <c r="O835" s="12"/>
      <c r="P835" s="13"/>
      <c r="Q835" s="14">
        <f>Tabela1[[#This Row],[QTDE/ Fabricação]]-Tabela1[[#This Row],[QTE]]</f>
        <v>-1</v>
      </c>
      <c r="R835" s="18">
        <f t="shared" ref="R835:R841" si="165">IFERROR(H835*((AA835*0.25)+(AC835*0.25)+(AD835*0.225)+(AE835*0.225)+(AF835*0.05)),"")</f>
        <v>1642.23</v>
      </c>
      <c r="S835" s="18">
        <f t="shared" ref="S835:S841" si="166">IFERROR(H835*AG835,"")</f>
        <v>0</v>
      </c>
      <c r="T835" s="19">
        <f t="shared" ref="T835:T841" si="167">IFERROR(S835-H835,"")</f>
        <v>-3649.4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0</v>
      </c>
      <c r="Y835" s="14">
        <f t="shared" ref="Y835:Y841" si="168">U835-C835</f>
        <v>-1</v>
      </c>
      <c r="Z835" s="20">
        <f>Tabela1[[#This Row],[PESO TOTAL]]-Tabela1[[#This Row],[Peso Expedido]]</f>
        <v>3649.4</v>
      </c>
      <c r="AA835" s="17">
        <v>0.9</v>
      </c>
      <c r="AB835" s="33"/>
      <c r="AC835" s="33">
        <v>0.9</v>
      </c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customHeight="1" x14ac:dyDescent="0.25">
      <c r="A836" s="1" t="s">
        <v>4956</v>
      </c>
      <c r="B836" s="21"/>
      <c r="C836" s="1">
        <v>1</v>
      </c>
      <c r="D836" s="1" t="s">
        <v>4955</v>
      </c>
      <c r="E836" s="7">
        <v>4489</v>
      </c>
      <c r="F836" s="7">
        <v>45</v>
      </c>
      <c r="G836" s="1">
        <v>2670.7</v>
      </c>
      <c r="H836" s="34">
        <f>Tabela1[[#This Row],[PESO UNI]]*Tabela1[[#This Row],[QTE]]</f>
        <v>2670.7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 t="shared" si="165"/>
        <v>1201.8150000000001</v>
      </c>
      <c r="S836" s="18">
        <f t="shared" si="166"/>
        <v>0</v>
      </c>
      <c r="T836" s="19">
        <f t="shared" si="167"/>
        <v>-2670.7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 t="shared" si="168"/>
        <v>-1</v>
      </c>
      <c r="Z836" s="20">
        <f>Tabela1[[#This Row],[PESO TOTAL]]-Tabela1[[#This Row],[Peso Expedido]]</f>
        <v>2670.7</v>
      </c>
      <c r="AA836" s="17">
        <v>0.9</v>
      </c>
      <c r="AB836" s="33"/>
      <c r="AC836" s="33">
        <v>0.9</v>
      </c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customHeight="1" x14ac:dyDescent="0.25">
      <c r="A837" s="1" t="s">
        <v>4957</v>
      </c>
      <c r="B837" s="21" t="s">
        <v>4958</v>
      </c>
      <c r="C837" s="1">
        <v>1</v>
      </c>
      <c r="D837" s="1" t="s">
        <v>4959</v>
      </c>
      <c r="E837" s="7">
        <v>4490</v>
      </c>
      <c r="F837" s="7">
        <v>46</v>
      </c>
      <c r="G837" s="1">
        <v>2649.8</v>
      </c>
      <c r="H837" s="34">
        <f>Tabela1[[#This Row],[PESO UNI]]*Tabela1[[#This Row],[QTE]]</f>
        <v>2649.8</v>
      </c>
      <c r="I837" s="7" t="s">
        <v>5006</v>
      </c>
      <c r="J837" s="8" t="s">
        <v>3093</v>
      </c>
      <c r="K837" s="8" t="s">
        <v>4320</v>
      </c>
      <c r="L837" s="9" t="s">
        <v>2984</v>
      </c>
      <c r="M837" s="10">
        <v>46238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 t="shared" si="165"/>
        <v>662.45</v>
      </c>
      <c r="S837" s="18">
        <f t="shared" si="166"/>
        <v>0</v>
      </c>
      <c r="T837" s="19">
        <f t="shared" si="167"/>
        <v>-2649.8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 t="shared" si="168"/>
        <v>-1</v>
      </c>
      <c r="Z837" s="20">
        <f>Tabela1[[#This Row],[PESO TOTAL]]-Tabela1[[#This Row],[Peso Expedido]]</f>
        <v>2649.8</v>
      </c>
      <c r="AA837" s="17">
        <v>1</v>
      </c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customHeight="1" x14ac:dyDescent="0.25">
      <c r="A838" s="1" t="s">
        <v>4960</v>
      </c>
      <c r="B838" s="21" t="s">
        <v>4961</v>
      </c>
      <c r="C838" s="1">
        <v>1</v>
      </c>
      <c r="D838" s="1" t="s">
        <v>4964</v>
      </c>
      <c r="E838" s="7">
        <v>4491</v>
      </c>
      <c r="F838" s="7">
        <v>47</v>
      </c>
      <c r="G838" s="1">
        <v>435.1</v>
      </c>
      <c r="H838" s="34">
        <f>Tabela1[[#This Row],[PESO UNI]]*Tabela1[[#This Row],[QTE]]</f>
        <v>435.1</v>
      </c>
      <c r="I838" s="7" t="s">
        <v>5299</v>
      </c>
      <c r="J838" s="8" t="s">
        <v>3045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 t="shared" si="165"/>
        <v>108.77500000000001</v>
      </c>
      <c r="S838" s="18">
        <f t="shared" si="166"/>
        <v>0</v>
      </c>
      <c r="T838" s="19">
        <f t="shared" si="167"/>
        <v>-435.1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si="168"/>
        <v>-1</v>
      </c>
      <c r="Z838" s="20">
        <f>Tabela1[[#This Row],[PESO TOTAL]]-Tabela1[[#This Row],[Peso Expedido]]</f>
        <v>435.1</v>
      </c>
      <c r="AA838" s="17">
        <v>1</v>
      </c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customHeight="1" x14ac:dyDescent="0.25">
      <c r="A839" s="1" t="s">
        <v>4963</v>
      </c>
      <c r="B839" s="21" t="s">
        <v>4962</v>
      </c>
      <c r="C839" s="1">
        <v>1</v>
      </c>
      <c r="D839" s="1" t="s">
        <v>4965</v>
      </c>
      <c r="E839" s="7">
        <v>4492</v>
      </c>
      <c r="F839" s="7">
        <v>47</v>
      </c>
      <c r="G839" s="1">
        <v>670.6</v>
      </c>
      <c r="H839" s="34">
        <f>Tabela1[[#This Row],[PESO UNI]]*Tabela1[[#This Row],[QTE]]</f>
        <v>670.6</v>
      </c>
      <c r="I839" s="7" t="s">
        <v>5299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 t="shared" si="165"/>
        <v>670.6</v>
      </c>
      <c r="S839" s="18">
        <f t="shared" si="166"/>
        <v>670.6</v>
      </c>
      <c r="T839" s="19">
        <f t="shared" si="167"/>
        <v>0</v>
      </c>
      <c r="U839" s="16">
        <f>IFERROR(SUMIF('LISTA DE EMBARQUE'!B:B,MICRO!E:E,'LISTA DE EMBARQUE'!G:G),"")</f>
        <v>1</v>
      </c>
      <c r="V839" s="12">
        <f>IFERROR(VLOOKUP(Tabela1[[#This Row],[COD.MDE]],'LISTA DE EMBARQUE'!B:L,11,0),"")</f>
        <v>6</v>
      </c>
      <c r="W839" s="13">
        <f>IFERROR(VLOOKUP(Tabela1[[#This Row],[COD.MDE]],'LISTA DE EMBARQUE'!B:M,12,0),"")</f>
        <v>46273</v>
      </c>
      <c r="X839" s="14">
        <f>IFERROR(Tabela1[[#This Row],[QIANTIDADE EXPEDIDA]]*Tabela1[[#This Row],[PESO UNI]],"")</f>
        <v>670.6</v>
      </c>
      <c r="Y839" s="14">
        <f t="shared" si="168"/>
        <v>0</v>
      </c>
      <c r="Z839" s="20">
        <f>Tabela1[[#This Row],[PESO TOTAL]]-Tabela1[[#This Row],[Peso Expedido]]</f>
        <v>0</v>
      </c>
      <c r="AA839" s="17">
        <v>1</v>
      </c>
      <c r="AB839" s="33"/>
      <c r="AC839" s="17">
        <v>1</v>
      </c>
      <c r="AD839" s="17">
        <v>1</v>
      </c>
      <c r="AE839" s="17">
        <v>1</v>
      </c>
      <c r="AF839" s="17">
        <v>1</v>
      </c>
      <c r="AG839" s="17">
        <v>1</v>
      </c>
      <c r="AH839" s="17">
        <v>1</v>
      </c>
      <c r="AI839" s="33" t="s">
        <v>4412</v>
      </c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customHeight="1" x14ac:dyDescent="0.25">
      <c r="A840" s="1" t="s">
        <v>4972</v>
      </c>
      <c r="B840" s="21" t="s">
        <v>4973</v>
      </c>
      <c r="C840" s="1">
        <v>4</v>
      </c>
      <c r="D840" s="1" t="s">
        <v>4974</v>
      </c>
      <c r="E840" s="7">
        <v>4493</v>
      </c>
      <c r="F840" s="7">
        <v>48</v>
      </c>
      <c r="G840" s="1">
        <v>8.9</v>
      </c>
      <c r="H840" s="34">
        <f>Tabela1[[#This Row],[PESO UNI]]*Tabela1[[#This Row],[QTE]]</f>
        <v>35.6</v>
      </c>
      <c r="I840" s="7" t="s">
        <v>5299</v>
      </c>
      <c r="J840" s="8" t="s">
        <v>3045</v>
      </c>
      <c r="K840" s="8" t="s">
        <v>4320</v>
      </c>
      <c r="L840" s="9" t="s">
        <v>2984</v>
      </c>
      <c r="M840" s="10">
        <v>46238</v>
      </c>
      <c r="N840" s="8" t="s">
        <v>38</v>
      </c>
      <c r="O840" s="12"/>
      <c r="P840" s="13"/>
      <c r="Q840" s="14">
        <f>Tabela1[[#This Row],[QTDE/ Fabricação]]-Tabela1[[#This Row],[QTE]]</f>
        <v>-4</v>
      </c>
      <c r="R840" s="18">
        <f t="shared" si="165"/>
        <v>8.9</v>
      </c>
      <c r="S840" s="18">
        <f t="shared" si="166"/>
        <v>0</v>
      </c>
      <c r="T840" s="19">
        <f t="shared" si="167"/>
        <v>-35.6</v>
      </c>
      <c r="U840" s="16">
        <f>IFERROR(SUMIF('LISTA DE EMBARQUE'!B:B,MICRO!E:E,'LISTA DE EMBARQUE'!G:G),"")</f>
        <v>0</v>
      </c>
      <c r="V840" s="12" t="str">
        <f>IFERROR(VLOOKUP(Tabela1[[#This Row],[COD.MDE]],'LISTA DE EMBARQUE'!B:L,11,0),"")</f>
        <v/>
      </c>
      <c r="W840" s="13" t="str">
        <f>IFERROR(VLOOKUP(Tabela1[[#This Row],[COD.MDE]],'LISTA DE EMBARQUE'!B:M,12,0),"")</f>
        <v/>
      </c>
      <c r="X840" s="14">
        <f>IFERROR(Tabela1[[#This Row],[QIANTIDADE EXPEDIDA]]*Tabela1[[#This Row],[PESO UNI]],"")</f>
        <v>0</v>
      </c>
      <c r="Y840" s="14">
        <f t="shared" si="168"/>
        <v>-4</v>
      </c>
      <c r="Z840" s="20">
        <f>Tabela1[[#This Row],[PESO TOTAL]]-Tabela1[[#This Row],[Peso Expedido]]</f>
        <v>35.6</v>
      </c>
      <c r="AA840" s="17">
        <v>1</v>
      </c>
      <c r="AB840" s="33"/>
      <c r="AC840" s="33"/>
      <c r="AD840" s="33"/>
      <c r="AE840" s="33"/>
      <c r="AF840" s="33"/>
      <c r="AG840" s="33"/>
      <c r="AH840" s="33"/>
      <c r="AI840" s="33"/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customHeight="1" x14ac:dyDescent="0.25">
      <c r="A841" s="1" t="s">
        <v>4972</v>
      </c>
      <c r="B841" s="21" t="s">
        <v>4973</v>
      </c>
      <c r="C841" s="1">
        <v>1</v>
      </c>
      <c r="D841" s="1" t="s">
        <v>4975</v>
      </c>
      <c r="E841" s="7">
        <v>4494</v>
      </c>
      <c r="F841" s="7">
        <v>48</v>
      </c>
      <c r="G841" s="1">
        <v>325</v>
      </c>
      <c r="H841" s="34">
        <f>Tabela1[[#This Row],[PESO UNI]]*Tabela1[[#This Row],[QTE]]</f>
        <v>325</v>
      </c>
      <c r="I841" s="7" t="s">
        <v>5299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-1</v>
      </c>
      <c r="R841" s="18">
        <f t="shared" si="165"/>
        <v>81.25</v>
      </c>
      <c r="S841" s="18">
        <f t="shared" si="166"/>
        <v>0</v>
      </c>
      <c r="T841" s="19">
        <f t="shared" si="167"/>
        <v>-325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168"/>
        <v>-1</v>
      </c>
      <c r="Z841" s="20">
        <f>Tabela1[[#This Row],[PESO TOTAL]]-Tabela1[[#This Row],[Peso Expedido]]</f>
        <v>325</v>
      </c>
      <c r="AA841" s="17">
        <v>1</v>
      </c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customHeight="1" x14ac:dyDescent="0.25">
      <c r="A842" s="1" t="s">
        <v>2277</v>
      </c>
      <c r="B842" s="21"/>
      <c r="C842" s="1">
        <v>4</v>
      </c>
      <c r="D842" s="1" t="s">
        <v>4977</v>
      </c>
      <c r="E842" s="7">
        <v>4495</v>
      </c>
      <c r="F842" s="7">
        <v>12</v>
      </c>
      <c r="G842" s="1">
        <v>2.7</v>
      </c>
      <c r="H842" s="34">
        <f>Tabela1[[#This Row],[PESO UNI]]*Tabela1[[#This Row],[QTE]]</f>
        <v>10.8</v>
      </c>
      <c r="I842" s="7">
        <v>1</v>
      </c>
      <c r="J842" s="8" t="s">
        <v>4834</v>
      </c>
      <c r="K842" s="8" t="s">
        <v>33</v>
      </c>
      <c r="L842" s="9" t="s">
        <v>3291</v>
      </c>
      <c r="M842" s="10">
        <v>46239</v>
      </c>
      <c r="N842" s="8" t="s">
        <v>38</v>
      </c>
      <c r="O842" s="12"/>
      <c r="P842" s="13"/>
      <c r="Q842" s="14">
        <f>Tabela1[[#This Row],[QTDE/ Fabricação]]-Tabela1[[#This Row],[QTE]]</f>
        <v>-4</v>
      </c>
      <c r="R842" s="18">
        <f t="shared" ref="R842:R853" si="169">IFERROR(H842*((AA842*0.25)+(AC842*0.25)+(AD842*0.225)+(AE842*0.225)+(AF842*0.05)),"")</f>
        <v>3.78</v>
      </c>
      <c r="S842" s="18">
        <f t="shared" ref="S842:S853" si="170">IFERROR(H842*AG842,"")</f>
        <v>3.78</v>
      </c>
      <c r="T842" s="19">
        <f t="shared" ref="T842:T853" si="171">IFERROR(S842-H842,"")</f>
        <v>-7.0200000000000014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ref="Y842:Y853" si="172">U842-C842</f>
        <v>-4</v>
      </c>
      <c r="Z842" s="20">
        <f>Tabela1[[#This Row],[PESO TOTAL]]-Tabela1[[#This Row],[Peso Expedido]]</f>
        <v>10.8</v>
      </c>
      <c r="AA842" s="17">
        <v>0.35</v>
      </c>
      <c r="AB842" s="33"/>
      <c r="AC842" s="33">
        <v>0.35</v>
      </c>
      <c r="AD842" s="33">
        <v>0.35</v>
      </c>
      <c r="AE842" s="33">
        <v>0.35</v>
      </c>
      <c r="AF842" s="33">
        <v>0.35</v>
      </c>
      <c r="AG842" s="33">
        <v>0.35</v>
      </c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customHeight="1" x14ac:dyDescent="0.25">
      <c r="A843" s="1" t="s">
        <v>4978</v>
      </c>
      <c r="B843" s="21"/>
      <c r="C843" s="1">
        <v>32</v>
      </c>
      <c r="D843" s="1" t="s">
        <v>5411</v>
      </c>
      <c r="E843" s="7">
        <v>4496</v>
      </c>
      <c r="F843" s="7">
        <v>12</v>
      </c>
      <c r="G843" s="1">
        <v>18.399999999999999</v>
      </c>
      <c r="H843" s="34">
        <f>Tabela1[[#This Row],[PESO UNI]]*Tabela1[[#This Row],[QTE]]</f>
        <v>588.79999999999995</v>
      </c>
      <c r="I843" s="7" t="s">
        <v>5716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-32</v>
      </c>
      <c r="R843" s="18">
        <f>IFERROR(H843*((AA843*0.25)+(AC843*0.25)+(AD843*0.225)+(AE843*0.225)+(AF843*0.05)),"")</f>
        <v>264.96000000000004</v>
      </c>
      <c r="S843" s="18">
        <f>IFERROR(H843*AG843,"")</f>
        <v>235.51999999999998</v>
      </c>
      <c r="T843" s="19">
        <f>IFERROR(S843-H843,"")</f>
        <v>-353.28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>U843-C843</f>
        <v>-32</v>
      </c>
      <c r="Z843" s="20">
        <f>Tabela1[[#This Row],[PESO TOTAL]]-Tabela1[[#This Row],[Peso Expedido]]</f>
        <v>588.79999999999995</v>
      </c>
      <c r="AA843" s="17">
        <v>0.5</v>
      </c>
      <c r="AB843" s="33"/>
      <c r="AC843" s="33">
        <v>0.5</v>
      </c>
      <c r="AD843" s="33">
        <v>0.4</v>
      </c>
      <c r="AE843" s="33">
        <v>0.4</v>
      </c>
      <c r="AF843" s="33">
        <v>0.4</v>
      </c>
      <c r="AG843" s="33">
        <v>0.4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customHeight="1" x14ac:dyDescent="0.25">
      <c r="A844" s="1" t="s">
        <v>4978</v>
      </c>
      <c r="B844" s="21"/>
      <c r="C844" s="1">
        <v>64</v>
      </c>
      <c r="D844" s="1" t="s">
        <v>5412</v>
      </c>
      <c r="E844" s="7">
        <v>4748</v>
      </c>
      <c r="F844" s="7">
        <v>12</v>
      </c>
      <c r="G844" s="1">
        <v>40</v>
      </c>
      <c r="H844" s="34">
        <f>Tabela1[[#This Row],[PESO UNI]]*Tabela1[[#This Row],[QTE]]</f>
        <v>2560</v>
      </c>
      <c r="I844" s="7" t="s">
        <v>5410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-64</v>
      </c>
      <c r="R844" s="18">
        <f>IFERROR(H844*((AA844*0.25)+(AC844*0.25)+(AD844*0.225)+(AE844*0.225)+(AF844*0.05)),"")</f>
        <v>1152.0000000000002</v>
      </c>
      <c r="S844" s="18">
        <f>IFERROR(H844*AG844,"")</f>
        <v>1024</v>
      </c>
      <c r="T844" s="19">
        <f>IFERROR(S844-H844,"")</f>
        <v>-1536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>U844-C844</f>
        <v>-64</v>
      </c>
      <c r="Z844" s="20">
        <f>Tabela1[[#This Row],[PESO TOTAL]]-Tabela1[[#This Row],[Peso Expedido]]</f>
        <v>2560</v>
      </c>
      <c r="AA844" s="17">
        <v>0.5</v>
      </c>
      <c r="AB844" s="33"/>
      <c r="AC844" s="33">
        <v>0.5</v>
      </c>
      <c r="AD844" s="33">
        <v>0.4</v>
      </c>
      <c r="AE844" s="33">
        <v>0.4</v>
      </c>
      <c r="AF844" s="33">
        <v>0.4</v>
      </c>
      <c r="AG844" s="33">
        <v>0.4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customHeight="1" x14ac:dyDescent="0.25">
      <c r="A845" s="1" t="s">
        <v>4979</v>
      </c>
      <c r="B845" s="21"/>
      <c r="C845" s="1">
        <v>11</v>
      </c>
      <c r="D845" s="1" t="s">
        <v>4980</v>
      </c>
      <c r="E845" s="7">
        <v>4497</v>
      </c>
      <c r="F845" s="7">
        <v>12</v>
      </c>
      <c r="G845" s="1">
        <v>18.399999999999999</v>
      </c>
      <c r="H845" s="34">
        <f>Tabela1[[#This Row],[PESO UNI]]*Tabela1[[#This Row],[QTE]]</f>
        <v>202.39999999999998</v>
      </c>
      <c r="I845" s="7" t="s">
        <v>5716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-11</v>
      </c>
      <c r="R845" s="18">
        <f>IFERROR(H845*((AA845*0.25)+(AC845*0.25)+(AD845*0.225)+(AE845*0.225)+(AF845*0.05)),"")</f>
        <v>70.839999999999989</v>
      </c>
      <c r="S845" s="18">
        <f>IFERROR(H845*AG845,"")</f>
        <v>70.839999999999989</v>
      </c>
      <c r="T845" s="19">
        <f>IFERROR(S845-H845,"")</f>
        <v>-131.56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>U845-C845</f>
        <v>-11</v>
      </c>
      <c r="Z845" s="20">
        <f>Tabela1[[#This Row],[PESO TOTAL]]-Tabela1[[#This Row],[Peso Expedido]]</f>
        <v>202.39999999999998</v>
      </c>
      <c r="AA845" s="17">
        <v>0.35</v>
      </c>
      <c r="AB845" s="33"/>
      <c r="AC845" s="33">
        <v>0.35</v>
      </c>
      <c r="AD845" s="33">
        <v>0.35</v>
      </c>
      <c r="AE845" s="33">
        <v>0.35</v>
      </c>
      <c r="AF845" s="33">
        <v>0.35</v>
      </c>
      <c r="AG845" s="33">
        <v>0.35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customHeight="1" x14ac:dyDescent="0.25">
      <c r="A846" s="1" t="s">
        <v>4979</v>
      </c>
      <c r="B846" s="21"/>
      <c r="C846" s="1">
        <v>22</v>
      </c>
      <c r="D846" s="1" t="s">
        <v>5413</v>
      </c>
      <c r="E846" s="7">
        <v>4749</v>
      </c>
      <c r="F846" s="7">
        <v>12</v>
      </c>
      <c r="G846" s="1">
        <v>20</v>
      </c>
      <c r="H846" s="34">
        <f>Tabela1[[#This Row],[PESO UNI]]*Tabela1[[#This Row],[QTE]]</f>
        <v>440</v>
      </c>
      <c r="I846" s="7" t="s">
        <v>5410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-22</v>
      </c>
      <c r="R846" s="18">
        <f>IFERROR(H846*((AA846*0.25)+(AC846*0.25)+(AD846*0.225)+(AE846*0.225)+(AF846*0.05)),"")</f>
        <v>154</v>
      </c>
      <c r="S846" s="18">
        <f>IFERROR(H846*AG846,"")</f>
        <v>154</v>
      </c>
      <c r="T846" s="19">
        <f>IFERROR(S846-H846,"")</f>
        <v>-286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>U846-C846</f>
        <v>-22</v>
      </c>
      <c r="Z846" s="20">
        <f>Tabela1[[#This Row],[PESO TOTAL]]-Tabela1[[#This Row],[Peso Expedido]]</f>
        <v>440</v>
      </c>
      <c r="AA846" s="17">
        <v>0.35</v>
      </c>
      <c r="AB846" s="33"/>
      <c r="AC846" s="33">
        <v>0.35</v>
      </c>
      <c r="AD846" s="33">
        <v>0.35</v>
      </c>
      <c r="AE846" s="33">
        <v>0.35</v>
      </c>
      <c r="AF846" s="33">
        <v>0.35</v>
      </c>
      <c r="AG846" s="33">
        <v>0.35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customHeight="1" x14ac:dyDescent="0.25">
      <c r="A847" s="1" t="s">
        <v>4981</v>
      </c>
      <c r="B847" s="21"/>
      <c r="C847" s="1">
        <v>4</v>
      </c>
      <c r="D847" s="1" t="s">
        <v>4982</v>
      </c>
      <c r="E847" s="7">
        <v>4498</v>
      </c>
      <c r="F847" s="7">
        <v>12</v>
      </c>
      <c r="G847" s="1">
        <v>32.299999999999997</v>
      </c>
      <c r="H847" s="34">
        <f>Tabela1[[#This Row],[PESO UNI]]*Tabela1[[#This Row],[QTE]]</f>
        <v>129.19999999999999</v>
      </c>
      <c r="I847" s="7" t="s">
        <v>5410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-4</v>
      </c>
      <c r="R847" s="18">
        <f t="shared" si="169"/>
        <v>58.14</v>
      </c>
      <c r="S847" s="18">
        <f t="shared" si="170"/>
        <v>51.68</v>
      </c>
      <c r="T847" s="19">
        <f t="shared" si="171"/>
        <v>-77.519999999999982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 t="shared" si="172"/>
        <v>-4</v>
      </c>
      <c r="Z847" s="20">
        <f>Tabela1[[#This Row],[PESO TOTAL]]-Tabela1[[#This Row],[Peso Expedido]]</f>
        <v>129.19999999999999</v>
      </c>
      <c r="AA847" s="17">
        <v>0.5</v>
      </c>
      <c r="AB847" s="33"/>
      <c r="AC847" s="33">
        <v>0.5</v>
      </c>
      <c r="AD847" s="33">
        <v>0.4</v>
      </c>
      <c r="AE847" s="33">
        <v>0.4</v>
      </c>
      <c r="AF847" s="33">
        <v>0.4</v>
      </c>
      <c r="AG847" s="33">
        <v>0.4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customHeight="1" x14ac:dyDescent="0.25">
      <c r="A848" s="1" t="s">
        <v>4981</v>
      </c>
      <c r="B848" s="21"/>
      <c r="C848" s="1">
        <v>4</v>
      </c>
      <c r="D848" s="1" t="s">
        <v>4983</v>
      </c>
      <c r="E848" s="7">
        <v>4499</v>
      </c>
      <c r="F848" s="7">
        <v>12</v>
      </c>
      <c r="G848" s="1">
        <v>28.8</v>
      </c>
      <c r="H848" s="34">
        <f>Tabela1[[#This Row],[PESO UNI]]*Tabela1[[#This Row],[QTE]]</f>
        <v>115.2</v>
      </c>
      <c r="I848" s="7" t="s">
        <v>5410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-4</v>
      </c>
      <c r="R848" s="18">
        <f t="shared" si="169"/>
        <v>51.840000000000011</v>
      </c>
      <c r="S848" s="18">
        <f t="shared" si="170"/>
        <v>46.080000000000005</v>
      </c>
      <c r="T848" s="19">
        <f t="shared" si="171"/>
        <v>-69.12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172"/>
        <v>-4</v>
      </c>
      <c r="Z848" s="20">
        <f>Tabela1[[#This Row],[PESO TOTAL]]-Tabela1[[#This Row],[Peso Expedido]]</f>
        <v>115.2</v>
      </c>
      <c r="AA848" s="17">
        <v>0.5</v>
      </c>
      <c r="AB848" s="33"/>
      <c r="AC848" s="33">
        <v>0.5</v>
      </c>
      <c r="AD848" s="33">
        <v>0.4</v>
      </c>
      <c r="AE848" s="33">
        <v>0.4</v>
      </c>
      <c r="AF848" s="33">
        <v>0.4</v>
      </c>
      <c r="AG848" s="33">
        <v>0.4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customHeight="1" x14ac:dyDescent="0.25">
      <c r="A849" s="1" t="s">
        <v>4981</v>
      </c>
      <c r="B849" s="21"/>
      <c r="C849" s="1">
        <v>4</v>
      </c>
      <c r="D849" s="1" t="s">
        <v>4984</v>
      </c>
      <c r="E849" s="7">
        <v>4500</v>
      </c>
      <c r="F849" s="7">
        <v>12</v>
      </c>
      <c r="G849" s="1">
        <v>28.8</v>
      </c>
      <c r="H849" s="34">
        <f>Tabela1[[#This Row],[PESO UNI]]*Tabela1[[#This Row],[QTE]]</f>
        <v>115.2</v>
      </c>
      <c r="I849" s="7" t="s">
        <v>5410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 t="shared" si="169"/>
        <v>51.840000000000011</v>
      </c>
      <c r="S849" s="18">
        <f t="shared" si="170"/>
        <v>46.080000000000005</v>
      </c>
      <c r="T849" s="19">
        <f t="shared" si="171"/>
        <v>-69.12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172"/>
        <v>-4</v>
      </c>
      <c r="Z849" s="20">
        <f>Tabela1[[#This Row],[PESO TOTAL]]-Tabela1[[#This Row],[Peso Expedido]]</f>
        <v>115.2</v>
      </c>
      <c r="AA849" s="17">
        <v>0.5</v>
      </c>
      <c r="AB849" s="33"/>
      <c r="AC849" s="33">
        <v>0.5</v>
      </c>
      <c r="AD849" s="33">
        <v>0.4</v>
      </c>
      <c r="AE849" s="33">
        <v>0.4</v>
      </c>
      <c r="AF849" s="33">
        <v>0.4</v>
      </c>
      <c r="AG849" s="33">
        <v>0.4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customHeight="1" x14ac:dyDescent="0.25">
      <c r="A850" s="1" t="s">
        <v>4981</v>
      </c>
      <c r="B850" s="21"/>
      <c r="C850" s="1">
        <v>8</v>
      </c>
      <c r="D850" s="1" t="s">
        <v>4985</v>
      </c>
      <c r="E850" s="7">
        <v>4501</v>
      </c>
      <c r="F850" s="7">
        <v>12</v>
      </c>
      <c r="G850" s="1">
        <v>13.8</v>
      </c>
      <c r="H850" s="34">
        <f>Tabela1[[#This Row],[PESO UNI]]*Tabela1[[#This Row],[QTE]]</f>
        <v>110.4</v>
      </c>
      <c r="I850" s="7" t="s">
        <v>5410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-8</v>
      </c>
      <c r="R850" s="18">
        <f t="shared" si="169"/>
        <v>49.680000000000007</v>
      </c>
      <c r="S850" s="18">
        <f t="shared" si="170"/>
        <v>44.160000000000004</v>
      </c>
      <c r="T850" s="19">
        <f t="shared" si="171"/>
        <v>-66.240000000000009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172"/>
        <v>-8</v>
      </c>
      <c r="Z850" s="20">
        <f>Tabela1[[#This Row],[PESO TOTAL]]-Tabela1[[#This Row],[Peso Expedido]]</f>
        <v>110.4</v>
      </c>
      <c r="AA850" s="17">
        <v>0.5</v>
      </c>
      <c r="AB850" s="33"/>
      <c r="AC850" s="33">
        <v>0.5</v>
      </c>
      <c r="AD850" s="33">
        <v>0.4</v>
      </c>
      <c r="AE850" s="33">
        <v>0.4</v>
      </c>
      <c r="AF850" s="33">
        <v>0.4</v>
      </c>
      <c r="AG850" s="33">
        <v>0.4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customHeight="1" x14ac:dyDescent="0.25">
      <c r="A851" s="1" t="s">
        <v>4986</v>
      </c>
      <c r="B851" s="21"/>
      <c r="C851" s="1">
        <v>4</v>
      </c>
      <c r="D851" s="1" t="s">
        <v>4987</v>
      </c>
      <c r="E851" s="7">
        <v>4502</v>
      </c>
      <c r="F851" s="7">
        <v>12</v>
      </c>
      <c r="G851" s="1">
        <v>18.399999999999999</v>
      </c>
      <c r="H851" s="34">
        <f>Tabela1[[#This Row],[PESO UNI]]*Tabela1[[#This Row],[QTE]]</f>
        <v>73.599999999999994</v>
      </c>
      <c r="I851" s="7" t="s">
        <v>5716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-4</v>
      </c>
      <c r="R851" s="18">
        <f>IFERROR(H851*((AA851*0.25)+(AC851*0.25)+(AD851*0.225)+(AE851*0.225)+(AF851*0.05)),"")</f>
        <v>33.120000000000005</v>
      </c>
      <c r="S851" s="18">
        <f t="shared" si="170"/>
        <v>29.439999999999998</v>
      </c>
      <c r="T851" s="19">
        <f t="shared" si="171"/>
        <v>-44.16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172"/>
        <v>-4</v>
      </c>
      <c r="Z851" s="20">
        <f>Tabela1[[#This Row],[PESO TOTAL]]-Tabela1[[#This Row],[Peso Expedido]]</f>
        <v>73.599999999999994</v>
      </c>
      <c r="AA851" s="17">
        <v>0.5</v>
      </c>
      <c r="AB851" s="33"/>
      <c r="AC851" s="33">
        <v>0.5</v>
      </c>
      <c r="AD851" s="33">
        <v>0.4</v>
      </c>
      <c r="AE851" s="33">
        <v>0.4</v>
      </c>
      <c r="AF851" s="33">
        <v>0.4</v>
      </c>
      <c r="AG851" s="33">
        <v>0.4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customHeight="1" x14ac:dyDescent="0.25">
      <c r="A852" s="1" t="s">
        <v>4986</v>
      </c>
      <c r="B852" s="21"/>
      <c r="C852" s="1">
        <v>8</v>
      </c>
      <c r="D852" s="1" t="s">
        <v>4988</v>
      </c>
      <c r="E852" s="7">
        <v>4502</v>
      </c>
      <c r="F852" s="7">
        <v>12</v>
      </c>
      <c r="G852" s="1">
        <v>28.6</v>
      </c>
      <c r="H852" s="34">
        <f>Tabela1[[#This Row],[PESO UNI]]*Tabela1[[#This Row],[QTE]]</f>
        <v>228.8</v>
      </c>
      <c r="I852" s="7" t="s">
        <v>5716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-8</v>
      </c>
      <c r="R852" s="18">
        <f>IFERROR(H852*((AA852*0.25)+(AC852*0.25)+(AD852*0.225)+(AE852*0.225)+(AF852*0.05)),"")</f>
        <v>102.96000000000002</v>
      </c>
      <c r="S852" s="18">
        <f t="shared" si="170"/>
        <v>91.52000000000001</v>
      </c>
      <c r="T852" s="19">
        <f t="shared" si="171"/>
        <v>-137.28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 t="shared" si="172"/>
        <v>-8</v>
      </c>
      <c r="Z852" s="20">
        <f>Tabela1[[#This Row],[PESO TOTAL]]-Tabela1[[#This Row],[Peso Expedido]]</f>
        <v>228.8</v>
      </c>
      <c r="AA852" s="17">
        <v>0.5</v>
      </c>
      <c r="AB852" s="33"/>
      <c r="AC852" s="33">
        <v>0.5</v>
      </c>
      <c r="AD852" s="33">
        <v>0.4</v>
      </c>
      <c r="AE852" s="33">
        <v>0.4</v>
      </c>
      <c r="AF852" s="33">
        <v>0.4</v>
      </c>
      <c r="AG852" s="33">
        <v>0.4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customHeight="1" x14ac:dyDescent="0.25">
      <c r="A853" s="1" t="s">
        <v>4989</v>
      </c>
      <c r="B853" s="21"/>
      <c r="C853" s="1">
        <v>1</v>
      </c>
      <c r="D853" s="1" t="s">
        <v>4990</v>
      </c>
      <c r="E853" s="7">
        <v>4503</v>
      </c>
      <c r="F853" s="7">
        <v>12</v>
      </c>
      <c r="G853" s="1">
        <v>27</v>
      </c>
      <c r="H853" s="34">
        <f>Tabela1[[#This Row],[PESO UNI]]*Tabela1[[#This Row],[QTE]]</f>
        <v>27</v>
      </c>
      <c r="I853" s="7" t="s">
        <v>5716</v>
      </c>
      <c r="J853" s="8" t="s">
        <v>4834</v>
      </c>
      <c r="K853" s="8" t="s">
        <v>33</v>
      </c>
      <c r="L853" s="9" t="s">
        <v>3291</v>
      </c>
      <c r="M853" s="10">
        <v>46239</v>
      </c>
      <c r="N853" s="8" t="s">
        <v>38</v>
      </c>
      <c r="O853" s="12"/>
      <c r="P853" s="13"/>
      <c r="Q853" s="14">
        <f>Tabela1[[#This Row],[QTDE/ Fabricação]]-Tabela1[[#This Row],[QTE]]</f>
        <v>-1</v>
      </c>
      <c r="R853" s="18">
        <f t="shared" si="169"/>
        <v>12.150000000000002</v>
      </c>
      <c r="S853" s="18">
        <f t="shared" si="170"/>
        <v>10.8</v>
      </c>
      <c r="T853" s="19">
        <f t="shared" si="171"/>
        <v>-16.2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si="172"/>
        <v>-1</v>
      </c>
      <c r="Z853" s="20">
        <f>Tabela1[[#This Row],[PESO TOTAL]]-Tabela1[[#This Row],[Peso Expedido]]</f>
        <v>27</v>
      </c>
      <c r="AA853" s="17">
        <v>0.5</v>
      </c>
      <c r="AB853" s="33"/>
      <c r="AC853" s="33">
        <v>0.5</v>
      </c>
      <c r="AD853" s="33">
        <v>0.4</v>
      </c>
      <c r="AE853" s="33">
        <v>0.4</v>
      </c>
      <c r="AF853" s="33">
        <v>0.4</v>
      </c>
      <c r="AG853" s="33">
        <v>0.4</v>
      </c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customHeight="1" x14ac:dyDescent="0.25">
      <c r="A854" s="1" t="s">
        <v>4991</v>
      </c>
      <c r="B854" s="21"/>
      <c r="C854" s="1">
        <v>14</v>
      </c>
      <c r="D854" s="1" t="s">
        <v>4992</v>
      </c>
      <c r="E854" s="7">
        <v>4504</v>
      </c>
      <c r="F854" s="7">
        <v>12</v>
      </c>
      <c r="G854" s="1">
        <v>7</v>
      </c>
      <c r="H854" s="34">
        <f>Tabela1[[#This Row],[PESO UNI]]*Tabela1[[#This Row],[QTE]]</f>
        <v>98</v>
      </c>
      <c r="I854" s="7" t="s">
        <v>5715</v>
      </c>
      <c r="J854" s="8" t="s">
        <v>4834</v>
      </c>
      <c r="K854" s="8" t="s">
        <v>33</v>
      </c>
      <c r="L854" s="9" t="s">
        <v>3291</v>
      </c>
      <c r="M854" s="10">
        <v>46239</v>
      </c>
      <c r="N854" s="8" t="s">
        <v>38</v>
      </c>
      <c r="O854" s="12"/>
      <c r="P854" s="13"/>
      <c r="Q854" s="14">
        <f>Tabela1[[#This Row],[QTDE/ Fabricação]]-Tabela1[[#This Row],[QTE]]</f>
        <v>-14</v>
      </c>
      <c r="R854" s="18">
        <f t="shared" ref="R854:R869" si="173">IFERROR(H854*((AA854*0.25)+(AC854*0.25)+(AD854*0.225)+(AE854*0.225)+(AF854*0.05)),"")</f>
        <v>34.299999999999997</v>
      </c>
      <c r="S854" s="18">
        <f t="shared" ref="S854:S869" si="174">IFERROR(H854*AG854,"")</f>
        <v>34.299999999999997</v>
      </c>
      <c r="T854" s="19">
        <f t="shared" ref="T854:T869" si="175">IFERROR(S854-H854,"")</f>
        <v>-63.7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ref="Y854:Y869" si="176">U854-C854</f>
        <v>-14</v>
      </c>
      <c r="Z854" s="20">
        <f>Tabela1[[#This Row],[PESO TOTAL]]-Tabela1[[#This Row],[Peso Expedido]]</f>
        <v>98</v>
      </c>
      <c r="AA854" s="17">
        <v>0.35</v>
      </c>
      <c r="AB854" s="33"/>
      <c r="AC854" s="33">
        <v>0.35</v>
      </c>
      <c r="AD854" s="33">
        <v>0.35</v>
      </c>
      <c r="AE854" s="33">
        <v>0.35</v>
      </c>
      <c r="AF854" s="33">
        <v>0.35</v>
      </c>
      <c r="AG854" s="33">
        <v>0.35</v>
      </c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customHeight="1" x14ac:dyDescent="0.25">
      <c r="A855" s="1" t="s">
        <v>4993</v>
      </c>
      <c r="B855" s="21" t="s">
        <v>4994</v>
      </c>
      <c r="C855" s="1">
        <v>1</v>
      </c>
      <c r="D855" s="1" t="s">
        <v>4995</v>
      </c>
      <c r="E855" s="7">
        <v>4505</v>
      </c>
      <c r="F855" s="7">
        <v>49</v>
      </c>
      <c r="G855" s="1">
        <v>355.2</v>
      </c>
      <c r="H855" s="34">
        <f>Tabela1[[#This Row],[PESO UNI]]*Tabela1[[#This Row],[QTE]]</f>
        <v>355.2</v>
      </c>
      <c r="I855" s="7">
        <v>0</v>
      </c>
      <c r="J855" s="8" t="s">
        <v>3093</v>
      </c>
      <c r="K855" s="8" t="s">
        <v>4320</v>
      </c>
      <c r="L855" s="9" t="s">
        <v>2984</v>
      </c>
      <c r="M855" s="10">
        <v>46240</v>
      </c>
      <c r="N855" s="8" t="s">
        <v>38</v>
      </c>
      <c r="O855" s="12"/>
      <c r="P855" s="13"/>
      <c r="Q855" s="14">
        <f>Tabela1[[#This Row],[QTDE/ Fabricação]]-Tabela1[[#This Row],[QTE]]</f>
        <v>-1</v>
      </c>
      <c r="R855" s="18">
        <f t="shared" si="173"/>
        <v>159.84</v>
      </c>
      <c r="S855" s="18">
        <f t="shared" si="174"/>
        <v>0</v>
      </c>
      <c r="T855" s="19">
        <f t="shared" si="175"/>
        <v>-355.2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 t="shared" si="176"/>
        <v>-1</v>
      </c>
      <c r="Z855" s="20">
        <f>Tabela1[[#This Row],[PESO TOTAL]]-Tabela1[[#This Row],[Peso Expedido]]</f>
        <v>355.2</v>
      </c>
      <c r="AA855" s="17">
        <v>0.9</v>
      </c>
      <c r="AB855" s="33"/>
      <c r="AC855" s="33">
        <v>0.9</v>
      </c>
      <c r="AD855" s="33"/>
      <c r="AE855" s="33"/>
      <c r="AF855" s="33"/>
      <c r="AG855" s="33"/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customHeight="1" x14ac:dyDescent="0.25">
      <c r="A856" s="1" t="s">
        <v>4993</v>
      </c>
      <c r="B856" s="21" t="s">
        <v>4994</v>
      </c>
      <c r="C856" s="1">
        <v>2</v>
      </c>
      <c r="D856" s="1" t="s">
        <v>4996</v>
      </c>
      <c r="E856" s="7">
        <v>4506</v>
      </c>
      <c r="F856" s="7">
        <v>49</v>
      </c>
      <c r="G856" s="1">
        <v>40.6</v>
      </c>
      <c r="H856" s="34">
        <f>Tabela1[[#This Row],[PESO UNI]]*Tabela1[[#This Row],[QTE]]</f>
        <v>81.2</v>
      </c>
      <c r="I856" s="7">
        <v>0</v>
      </c>
      <c r="J856" s="8" t="s">
        <v>3093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-2</v>
      </c>
      <c r="R856" s="18">
        <f t="shared" si="173"/>
        <v>36.54</v>
      </c>
      <c r="S856" s="18">
        <f t="shared" si="174"/>
        <v>0</v>
      </c>
      <c r="T856" s="19">
        <f t="shared" si="175"/>
        <v>-81.2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si="176"/>
        <v>-2</v>
      </c>
      <c r="Z856" s="20">
        <f>Tabela1[[#This Row],[PESO TOTAL]]-Tabela1[[#This Row],[Peso Expedido]]</f>
        <v>81.2</v>
      </c>
      <c r="AA856" s="17">
        <v>0.9</v>
      </c>
      <c r="AB856" s="33"/>
      <c r="AC856" s="33">
        <v>0.9</v>
      </c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customHeight="1" x14ac:dyDescent="0.25">
      <c r="A857" s="1" t="s">
        <v>4993</v>
      </c>
      <c r="B857" s="21" t="s">
        <v>4994</v>
      </c>
      <c r="C857" s="1">
        <v>2</v>
      </c>
      <c r="D857" s="1" t="s">
        <v>4997</v>
      </c>
      <c r="E857" s="7">
        <v>4507</v>
      </c>
      <c r="F857" s="7">
        <v>49</v>
      </c>
      <c r="G857" s="1">
        <v>106.4</v>
      </c>
      <c r="H857" s="34">
        <f>Tabela1[[#This Row],[PESO UNI]]*Tabela1[[#This Row],[QTE]]</f>
        <v>212.8</v>
      </c>
      <c r="I857" s="7">
        <v>0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173"/>
        <v>95.76</v>
      </c>
      <c r="S857" s="18">
        <f t="shared" si="174"/>
        <v>0</v>
      </c>
      <c r="T857" s="19">
        <f t="shared" si="175"/>
        <v>-212.8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176"/>
        <v>-2</v>
      </c>
      <c r="Z857" s="20">
        <f>Tabela1[[#This Row],[PESO TOTAL]]-Tabela1[[#This Row],[Peso Expedido]]</f>
        <v>212.8</v>
      </c>
      <c r="AA857" s="17">
        <v>0.9</v>
      </c>
      <c r="AB857" s="33"/>
      <c r="AC857" s="33">
        <v>0.9</v>
      </c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customHeight="1" x14ac:dyDescent="0.25">
      <c r="A858" s="1" t="s">
        <v>4998</v>
      </c>
      <c r="B858" s="21" t="s">
        <v>4999</v>
      </c>
      <c r="C858" s="1">
        <v>1</v>
      </c>
      <c r="D858" s="1" t="s">
        <v>5000</v>
      </c>
      <c r="E858" s="7">
        <v>4508</v>
      </c>
      <c r="F858" s="7">
        <v>50</v>
      </c>
      <c r="G858" s="1">
        <v>435.1</v>
      </c>
      <c r="H858" s="34">
        <f>Tabela1[[#This Row],[PESO UNI]]*Tabela1[[#This Row],[QTE]]</f>
        <v>435.1</v>
      </c>
      <c r="I858" s="7" t="s">
        <v>5299</v>
      </c>
      <c r="J858" s="8" t="s">
        <v>3045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-1</v>
      </c>
      <c r="R858" s="18">
        <f t="shared" si="173"/>
        <v>108.77500000000001</v>
      </c>
      <c r="S858" s="18">
        <f t="shared" si="174"/>
        <v>0</v>
      </c>
      <c r="T858" s="19">
        <f t="shared" si="175"/>
        <v>-435.1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si="176"/>
        <v>-1</v>
      </c>
      <c r="Z858" s="20">
        <f>Tabela1[[#This Row],[PESO TOTAL]]-Tabela1[[#This Row],[Peso Expedido]]</f>
        <v>435.1</v>
      </c>
      <c r="AA858" s="17">
        <v>1</v>
      </c>
      <c r="AB858" s="33"/>
      <c r="AC858" s="33"/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customHeight="1" x14ac:dyDescent="0.25">
      <c r="A859" s="1" t="s">
        <v>5001</v>
      </c>
      <c r="B859" s="21" t="s">
        <v>5002</v>
      </c>
      <c r="C859" s="1">
        <v>2</v>
      </c>
      <c r="D859" s="1" t="s">
        <v>5003</v>
      </c>
      <c r="E859" s="7">
        <v>4509</v>
      </c>
      <c r="F859" s="7">
        <v>51</v>
      </c>
      <c r="G859" s="1">
        <v>43.6</v>
      </c>
      <c r="H859" s="34">
        <f>Tabela1[[#This Row],[PESO UNI]]*Tabela1[[#This Row],[QTE]]</f>
        <v>87.2</v>
      </c>
      <c r="I859" s="7" t="s">
        <v>5008</v>
      </c>
      <c r="J859" s="8" t="s">
        <v>3093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-2</v>
      </c>
      <c r="R859" s="18">
        <f t="shared" si="173"/>
        <v>39.24</v>
      </c>
      <c r="S859" s="18">
        <f t="shared" si="174"/>
        <v>0</v>
      </c>
      <c r="T859" s="19">
        <f t="shared" si="175"/>
        <v>-87.2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 t="shared" si="176"/>
        <v>-2</v>
      </c>
      <c r="Z859" s="20">
        <f>Tabela1[[#This Row],[PESO TOTAL]]-Tabela1[[#This Row],[Peso Expedido]]</f>
        <v>87.2</v>
      </c>
      <c r="AA859" s="17">
        <v>0.9</v>
      </c>
      <c r="AB859" s="33"/>
      <c r="AC859" s="33">
        <v>0.9</v>
      </c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customHeight="1" x14ac:dyDescent="0.25">
      <c r="A860" s="1" t="s">
        <v>5001</v>
      </c>
      <c r="B860" s="21" t="s">
        <v>5002</v>
      </c>
      <c r="C860" s="1">
        <v>1</v>
      </c>
      <c r="D860" s="1" t="s">
        <v>5004</v>
      </c>
      <c r="E860" s="7">
        <v>4510</v>
      </c>
      <c r="F860" s="7">
        <v>51</v>
      </c>
      <c r="G860" s="1">
        <v>72</v>
      </c>
      <c r="H860" s="34">
        <f>Tabela1[[#This Row],[PESO UNI]]*Tabela1[[#This Row],[QTE]]</f>
        <v>72</v>
      </c>
      <c r="I860" s="7" t="s">
        <v>5008</v>
      </c>
      <c r="J860" s="8" t="s">
        <v>3093</v>
      </c>
      <c r="K860" s="8" t="s">
        <v>4320</v>
      </c>
      <c r="L860" s="9" t="s">
        <v>2984</v>
      </c>
      <c r="M860" s="10">
        <v>46240</v>
      </c>
      <c r="N860" s="8" t="s">
        <v>38</v>
      </c>
      <c r="O860" s="12"/>
      <c r="P860" s="13"/>
      <c r="Q860" s="14">
        <f>Tabela1[[#This Row],[QTDE/ Fabricação]]-Tabela1[[#This Row],[QTE]]</f>
        <v>-1</v>
      </c>
      <c r="R860" s="18">
        <f t="shared" si="173"/>
        <v>32.4</v>
      </c>
      <c r="S860" s="18">
        <f t="shared" si="174"/>
        <v>0</v>
      </c>
      <c r="T860" s="19">
        <f t="shared" si="175"/>
        <v>-72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 t="shared" si="176"/>
        <v>-1</v>
      </c>
      <c r="Z860" s="20">
        <f>Tabela1[[#This Row],[PESO TOTAL]]-Tabela1[[#This Row],[Peso Expedido]]</f>
        <v>72</v>
      </c>
      <c r="AA860" s="17">
        <v>0.9</v>
      </c>
      <c r="AB860" s="33"/>
      <c r="AC860" s="33">
        <v>0.9</v>
      </c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customHeight="1" x14ac:dyDescent="0.25">
      <c r="A861" s="1" t="s">
        <v>5001</v>
      </c>
      <c r="B861" s="21" t="s">
        <v>5002</v>
      </c>
      <c r="C861" s="1">
        <v>2</v>
      </c>
      <c r="D861" s="1" t="s">
        <v>5005</v>
      </c>
      <c r="E861" s="7">
        <v>4511</v>
      </c>
      <c r="F861" s="7">
        <v>51</v>
      </c>
      <c r="G861" s="1">
        <v>6.3</v>
      </c>
      <c r="H861" s="34">
        <f>Tabela1[[#This Row],[PESO UNI]]*Tabela1[[#This Row],[QTE]]</f>
        <v>12.6</v>
      </c>
      <c r="I861" s="7" t="s">
        <v>5008</v>
      </c>
      <c r="J861" s="8" t="s">
        <v>3093</v>
      </c>
      <c r="K861" s="8" t="s">
        <v>4320</v>
      </c>
      <c r="L861" s="9" t="s">
        <v>2984</v>
      </c>
      <c r="M861" s="10">
        <v>46240</v>
      </c>
      <c r="N861" s="8" t="s">
        <v>38</v>
      </c>
      <c r="O861" s="12"/>
      <c r="P861" s="13"/>
      <c r="Q861" s="14">
        <f>Tabela1[[#This Row],[QTDE/ Fabricação]]-Tabela1[[#This Row],[QTE]]</f>
        <v>-2</v>
      </c>
      <c r="R861" s="18">
        <f t="shared" si="173"/>
        <v>5.67</v>
      </c>
      <c r="S861" s="18">
        <f t="shared" si="174"/>
        <v>0</v>
      </c>
      <c r="T861" s="19">
        <f t="shared" si="175"/>
        <v>-12.6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 t="shared" si="176"/>
        <v>-2</v>
      </c>
      <c r="Z861" s="20">
        <f>Tabela1[[#This Row],[PESO TOTAL]]-Tabela1[[#This Row],[Peso Expedido]]</f>
        <v>12.6</v>
      </c>
      <c r="AA861" s="17">
        <v>0.9</v>
      </c>
      <c r="AB861" s="33"/>
      <c r="AC861" s="33">
        <v>0.9</v>
      </c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customHeight="1" x14ac:dyDescent="0.25">
      <c r="A862" s="7" t="s">
        <v>814</v>
      </c>
      <c r="B862" s="7"/>
      <c r="C862" s="7">
        <v>2</v>
      </c>
      <c r="D862" s="7" t="s">
        <v>5010</v>
      </c>
      <c r="E862" s="7">
        <v>4514</v>
      </c>
      <c r="F862" s="7">
        <v>1</v>
      </c>
      <c r="G862" s="7">
        <v>5.2</v>
      </c>
      <c r="H862" s="7">
        <f>Tabela1[[#This Row],[PESO UNI]]*Tabela1[[#This Row],[QTE]]</f>
        <v>10.4</v>
      </c>
      <c r="I862" s="7">
        <v>1</v>
      </c>
      <c r="J862" s="7" t="s">
        <v>5011</v>
      </c>
      <c r="K862" s="7" t="s">
        <v>23</v>
      </c>
      <c r="L862" s="7" t="s">
        <v>5012</v>
      </c>
      <c r="M862" s="7">
        <v>46241</v>
      </c>
      <c r="N862" s="7" t="s">
        <v>38</v>
      </c>
      <c r="O862" s="7"/>
      <c r="P862" s="7"/>
      <c r="Q862" s="7">
        <f>Tabela1[[#This Row],[QTDE/ Fabricação]]-Tabela1[[#This Row],[QTE]]</f>
        <v>-2</v>
      </c>
      <c r="R862" s="7">
        <f t="shared" si="173"/>
        <v>10.4</v>
      </c>
      <c r="S862" s="7">
        <f t="shared" si="174"/>
        <v>10.4</v>
      </c>
      <c r="T862" s="7">
        <f t="shared" si="175"/>
        <v>0</v>
      </c>
      <c r="U862" s="7">
        <f>IFERROR(SUMIF('LISTA DE EMBARQUE'!B:B,MICRO!E:E,'LISTA DE EMBARQUE'!G:G),"")</f>
        <v>2</v>
      </c>
      <c r="V862" s="7">
        <f>IFERROR(VLOOKUP(Tabela1[[#This Row],[COD.MDE]],'LISTA DE EMBARQUE'!B:L,11,0),"")</f>
        <v>1</v>
      </c>
      <c r="W862" s="10">
        <f>IFERROR(VLOOKUP(Tabela1[[#This Row],[COD.MDE]],'LISTA DE EMBARQUE'!B:M,12,0),"")</f>
        <v>46273</v>
      </c>
      <c r="X862" s="7">
        <f>IFERROR(Tabela1[[#This Row],[QIANTIDADE EXPEDIDA]]*Tabela1[[#This Row],[PESO UNI]],"")</f>
        <v>10.4</v>
      </c>
      <c r="Y862" s="14">
        <f t="shared" si="176"/>
        <v>0</v>
      </c>
      <c r="Z862" s="20">
        <f>Tabela1[[#This Row],[PESO TOTAL]]-Tabela1[[#This Row],[Peso Expedido]]</f>
        <v>0</v>
      </c>
      <c r="AA862" s="17">
        <v>1</v>
      </c>
      <c r="AB862" s="33">
        <v>1</v>
      </c>
      <c r="AC862" s="33">
        <v>1</v>
      </c>
      <c r="AD862" s="33">
        <v>1</v>
      </c>
      <c r="AE862" s="33">
        <v>1</v>
      </c>
      <c r="AF862" s="33">
        <v>1</v>
      </c>
      <c r="AG862" s="33">
        <v>1</v>
      </c>
      <c r="AH862" s="33">
        <v>1</v>
      </c>
      <c r="AI862" s="33" t="s">
        <v>4509</v>
      </c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customHeight="1" x14ac:dyDescent="0.25">
      <c r="A863" s="1" t="s">
        <v>5013</v>
      </c>
      <c r="B863" s="21" t="s">
        <v>5014</v>
      </c>
      <c r="C863" s="1">
        <v>2</v>
      </c>
      <c r="D863" s="1" t="s">
        <v>5015</v>
      </c>
      <c r="E863" s="7">
        <v>4515</v>
      </c>
      <c r="F863" s="7">
        <v>52</v>
      </c>
      <c r="G863" s="1">
        <v>53.7</v>
      </c>
      <c r="H863" s="34">
        <f>Tabela1[[#This Row],[PESO UNI]]*Tabela1[[#This Row],[QTE]]</f>
        <v>107.4</v>
      </c>
      <c r="I863" s="7">
        <v>0</v>
      </c>
      <c r="J863" s="8" t="s">
        <v>3045</v>
      </c>
      <c r="K863" s="8" t="s">
        <v>4320</v>
      </c>
      <c r="L863" s="9" t="s">
        <v>2984</v>
      </c>
      <c r="M863" s="10">
        <v>46241</v>
      </c>
      <c r="N863" s="8" t="s">
        <v>38</v>
      </c>
      <c r="O863" s="12"/>
      <c r="P863" s="13"/>
      <c r="Q863" s="14">
        <f>Tabela1[[#This Row],[QTDE/ Fabricação]]-Tabela1[[#This Row],[QTE]]</f>
        <v>-2</v>
      </c>
      <c r="R863" s="18">
        <f t="shared" si="173"/>
        <v>48.330000000000005</v>
      </c>
      <c r="S863" s="18">
        <f t="shared" si="174"/>
        <v>0</v>
      </c>
      <c r="T863" s="19">
        <f t="shared" si="175"/>
        <v>-107.4</v>
      </c>
      <c r="U863" s="16">
        <f>IFERROR(SUMIF('LISTA DE EMBARQUE'!B:B,MICRO!E:E,'LISTA DE EMBARQUE'!G:G),"")</f>
        <v>0</v>
      </c>
      <c r="V863" s="12" t="str">
        <f>IFERROR(VLOOKUP(Tabela1[[#This Row],[COD.MDE]],'LISTA DE EMBARQUE'!B:L,11,0),"")</f>
        <v/>
      </c>
      <c r="W863" s="13" t="str">
        <f>IFERROR(VLOOKUP(Tabela1[[#This Row],[COD.MDE]],'LISTA DE EMBARQUE'!B:M,12,0),"")</f>
        <v/>
      </c>
      <c r="X863" s="14">
        <f>IFERROR(Tabela1[[#This Row],[QIANTIDADE EXPEDIDA]]*Tabela1[[#This Row],[PESO UNI]],"")</f>
        <v>0</v>
      </c>
      <c r="Y863" s="14">
        <f t="shared" si="176"/>
        <v>-2</v>
      </c>
      <c r="Z863" s="20">
        <f>Tabela1[[#This Row],[PESO TOTAL]]-Tabela1[[#This Row],[Peso Expedido]]</f>
        <v>107.4</v>
      </c>
      <c r="AA863" s="17">
        <v>0.9</v>
      </c>
      <c r="AB863" s="33"/>
      <c r="AC863" s="33">
        <v>0.9</v>
      </c>
      <c r="AD863" s="33"/>
      <c r="AE863" s="33"/>
      <c r="AF863" s="33"/>
      <c r="AG863" s="33"/>
      <c r="AH863" s="33"/>
      <c r="AI863" s="33"/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customHeight="1" x14ac:dyDescent="0.25">
      <c r="A864" s="1" t="s">
        <v>5013</v>
      </c>
      <c r="B864" s="21" t="s">
        <v>5014</v>
      </c>
      <c r="C864" s="1">
        <v>1</v>
      </c>
      <c r="D864" s="1" t="s">
        <v>5016</v>
      </c>
      <c r="E864" s="7">
        <v>4516</v>
      </c>
      <c r="F864" s="7">
        <v>52</v>
      </c>
      <c r="G864" s="1">
        <v>170.2</v>
      </c>
      <c r="H864" s="34">
        <f>Tabela1[[#This Row],[PESO UNI]]*Tabela1[[#This Row],[QTE]]</f>
        <v>170.2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-1</v>
      </c>
      <c r="R864" s="18">
        <f t="shared" si="173"/>
        <v>76.59</v>
      </c>
      <c r="S864" s="18">
        <f t="shared" si="174"/>
        <v>0</v>
      </c>
      <c r="T864" s="19">
        <f t="shared" si="175"/>
        <v>-170.2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176"/>
        <v>-1</v>
      </c>
      <c r="Z864" s="20">
        <f>Tabela1[[#This Row],[PESO TOTAL]]-Tabela1[[#This Row],[Peso Expedido]]</f>
        <v>170.2</v>
      </c>
      <c r="AA864" s="17">
        <v>0.9</v>
      </c>
      <c r="AB864" s="33"/>
      <c r="AC864" s="33">
        <v>0.9</v>
      </c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customHeight="1" x14ac:dyDescent="0.25">
      <c r="A865" s="1" t="s">
        <v>5013</v>
      </c>
      <c r="B865" s="21" t="s">
        <v>5014</v>
      </c>
      <c r="C865" s="1">
        <v>1</v>
      </c>
      <c r="D865" s="1" t="s">
        <v>5017</v>
      </c>
      <c r="E865" s="7">
        <v>4517</v>
      </c>
      <c r="F865" s="7">
        <v>52</v>
      </c>
      <c r="G865" s="1">
        <v>220.2</v>
      </c>
      <c r="H865" s="34">
        <f>Tabela1[[#This Row],[PESO UNI]]*Tabela1[[#This Row],[QTE]]</f>
        <v>220.2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-1</v>
      </c>
      <c r="R865" s="18">
        <f t="shared" si="173"/>
        <v>99.09</v>
      </c>
      <c r="S865" s="18">
        <f t="shared" si="174"/>
        <v>0</v>
      </c>
      <c r="T865" s="19">
        <f t="shared" si="175"/>
        <v>-220.2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176"/>
        <v>-1</v>
      </c>
      <c r="Z865" s="20">
        <f>Tabela1[[#This Row],[PESO TOTAL]]-Tabela1[[#This Row],[Peso Expedido]]</f>
        <v>220.2</v>
      </c>
      <c r="AA865" s="17">
        <v>0.9</v>
      </c>
      <c r="AB865" s="33"/>
      <c r="AC865" s="33">
        <v>0.9</v>
      </c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customHeight="1" x14ac:dyDescent="0.25">
      <c r="A866" s="1" t="s">
        <v>5013</v>
      </c>
      <c r="B866" s="21" t="s">
        <v>5014</v>
      </c>
      <c r="C866" s="1">
        <v>1</v>
      </c>
      <c r="D866" s="1" t="s">
        <v>5018</v>
      </c>
      <c r="E866" s="7">
        <v>4518</v>
      </c>
      <c r="F866" s="7">
        <v>52</v>
      </c>
      <c r="G866" s="1">
        <v>220.2</v>
      </c>
      <c r="H866" s="34">
        <f>Tabela1[[#This Row],[PESO UNI]]*Tabela1[[#This Row],[QTE]]</f>
        <v>220.2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-1</v>
      </c>
      <c r="R866" s="18">
        <f t="shared" si="173"/>
        <v>99.09</v>
      </c>
      <c r="S866" s="18">
        <f t="shared" si="174"/>
        <v>0</v>
      </c>
      <c r="T866" s="19">
        <f t="shared" si="175"/>
        <v>-220.2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176"/>
        <v>-1</v>
      </c>
      <c r="Z866" s="20">
        <f>Tabela1[[#This Row],[PESO TOTAL]]-Tabela1[[#This Row],[Peso Expedido]]</f>
        <v>220.2</v>
      </c>
      <c r="AA866" s="17">
        <v>0.9</v>
      </c>
      <c r="AB866" s="33"/>
      <c r="AC866" s="33">
        <v>0.9</v>
      </c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customHeight="1" x14ac:dyDescent="0.25">
      <c r="A867" s="1" t="s">
        <v>5013</v>
      </c>
      <c r="B867" s="21" t="s">
        <v>5014</v>
      </c>
      <c r="C867" s="1">
        <v>2</v>
      </c>
      <c r="D867" s="1" t="s">
        <v>5019</v>
      </c>
      <c r="E867" s="7">
        <v>4519</v>
      </c>
      <c r="F867" s="7">
        <v>52</v>
      </c>
      <c r="G867" s="1">
        <v>55.1</v>
      </c>
      <c r="H867" s="34">
        <f>Tabela1[[#This Row],[PESO UNI]]*Tabela1[[#This Row],[QTE]]</f>
        <v>110.2</v>
      </c>
      <c r="I867" s="7">
        <v>0</v>
      </c>
      <c r="J867" s="8" t="s">
        <v>3045</v>
      </c>
      <c r="K867" s="8" t="s">
        <v>4320</v>
      </c>
      <c r="L867" s="9" t="s">
        <v>2984</v>
      </c>
      <c r="M867" s="10">
        <v>46241</v>
      </c>
      <c r="N867" s="8" t="s">
        <v>38</v>
      </c>
      <c r="O867" s="12"/>
      <c r="P867" s="13"/>
      <c r="Q867" s="14">
        <f>Tabela1[[#This Row],[QTDE/ Fabricação]]-Tabela1[[#This Row],[QTE]]</f>
        <v>-2</v>
      </c>
      <c r="R867" s="18">
        <f t="shared" si="173"/>
        <v>49.59</v>
      </c>
      <c r="S867" s="18">
        <f t="shared" si="174"/>
        <v>0</v>
      </c>
      <c r="T867" s="19">
        <f t="shared" si="175"/>
        <v>-110.2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 t="shared" si="176"/>
        <v>-2</v>
      </c>
      <c r="Z867" s="20">
        <f>Tabela1[[#This Row],[PESO TOTAL]]-Tabela1[[#This Row],[Peso Expedido]]</f>
        <v>110.2</v>
      </c>
      <c r="AA867" s="17">
        <v>0.9</v>
      </c>
      <c r="AB867" s="33"/>
      <c r="AC867" s="33">
        <v>0.9</v>
      </c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customHeight="1" x14ac:dyDescent="0.25">
      <c r="A868" s="1" t="s">
        <v>5013</v>
      </c>
      <c r="B868" s="21" t="s">
        <v>5014</v>
      </c>
      <c r="C868" s="1">
        <v>2</v>
      </c>
      <c r="D868" s="1" t="s">
        <v>5020</v>
      </c>
      <c r="E868" s="7">
        <v>4521</v>
      </c>
      <c r="F868" s="7">
        <v>52</v>
      </c>
      <c r="G868" s="1">
        <v>69</v>
      </c>
      <c r="H868" s="34">
        <f>Tabela1[[#This Row],[PESO UNI]]*Tabela1[[#This Row],[QTE]]</f>
        <v>138</v>
      </c>
      <c r="I868" s="7">
        <v>0</v>
      </c>
      <c r="J868" s="8" t="s">
        <v>3045</v>
      </c>
      <c r="K868" s="8" t="s">
        <v>4320</v>
      </c>
      <c r="L868" s="9" t="s">
        <v>2984</v>
      </c>
      <c r="M868" s="10">
        <v>46241</v>
      </c>
      <c r="N868" s="8" t="s">
        <v>38</v>
      </c>
      <c r="O868" s="12"/>
      <c r="P868" s="13"/>
      <c r="Q868" s="14">
        <f>Tabela1[[#This Row],[QTDE/ Fabricação]]-Tabela1[[#This Row],[QTE]]</f>
        <v>-2</v>
      </c>
      <c r="R868" s="18">
        <f t="shared" si="173"/>
        <v>62.1</v>
      </c>
      <c r="S868" s="18">
        <f t="shared" si="174"/>
        <v>0</v>
      </c>
      <c r="T868" s="19">
        <f t="shared" si="175"/>
        <v>-138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si="176"/>
        <v>-2</v>
      </c>
      <c r="Z868" s="20">
        <f>Tabela1[[#This Row],[PESO TOTAL]]-Tabela1[[#This Row],[Peso Expedido]]</f>
        <v>138</v>
      </c>
      <c r="AA868" s="17">
        <v>0.9</v>
      </c>
      <c r="AB868" s="33"/>
      <c r="AC868" s="33">
        <v>0.9</v>
      </c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customHeight="1" x14ac:dyDescent="0.25">
      <c r="A869" s="1" t="s">
        <v>5023</v>
      </c>
      <c r="B869" s="21"/>
      <c r="C869" s="1">
        <v>6</v>
      </c>
      <c r="D869" s="1" t="s">
        <v>5024</v>
      </c>
      <c r="E869" s="7">
        <v>4522</v>
      </c>
      <c r="F869" s="7">
        <v>1</v>
      </c>
      <c r="G869" s="1">
        <v>15</v>
      </c>
      <c r="H869" s="34">
        <f>Tabela1[[#This Row],[PESO UNI]]*Tabela1[[#This Row],[QTE]]</f>
        <v>90</v>
      </c>
      <c r="I869" s="7" t="s">
        <v>43</v>
      </c>
      <c r="J869" s="8" t="s">
        <v>5025</v>
      </c>
      <c r="K869" s="8" t="s">
        <v>23</v>
      </c>
      <c r="L869" s="9" t="s">
        <v>5026</v>
      </c>
      <c r="M869" s="10">
        <v>46245</v>
      </c>
      <c r="N869" s="8" t="s">
        <v>38</v>
      </c>
      <c r="O869" s="12"/>
      <c r="P869" s="13"/>
      <c r="Q869" s="14">
        <f>Tabela1[[#This Row],[QTDE/ Fabricação]]-Tabela1[[#This Row],[QTE]]</f>
        <v>-6</v>
      </c>
      <c r="R869" s="18">
        <f t="shared" si="173"/>
        <v>90</v>
      </c>
      <c r="S869" s="18">
        <f t="shared" si="174"/>
        <v>90</v>
      </c>
      <c r="T869" s="19">
        <f t="shared" si="175"/>
        <v>0</v>
      </c>
      <c r="U869" s="16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IFERROR(VLOOKUP(Tabela1[[#This Row],[COD.MDE]],'LISTA DE EMBARQUE'!B:M,12,0),"")</f>
        <v/>
      </c>
      <c r="X869" s="14">
        <f>IFERROR(Tabela1[[#This Row],[QIANTIDADE EXPEDIDA]]*Tabela1[[#This Row],[PESO UNI]],"")</f>
        <v>0</v>
      </c>
      <c r="Y869" s="14">
        <f t="shared" si="176"/>
        <v>-6</v>
      </c>
      <c r="Z869" s="20">
        <f>Tabela1[[#This Row],[PESO TOTAL]]-Tabela1[[#This Row],[Peso Expedido]]</f>
        <v>90</v>
      </c>
      <c r="AA869" s="17">
        <v>1</v>
      </c>
      <c r="AB869" s="33"/>
      <c r="AC869" s="33">
        <v>1</v>
      </c>
      <c r="AD869" s="33">
        <v>1</v>
      </c>
      <c r="AE869" s="33">
        <v>1</v>
      </c>
      <c r="AF869" s="33">
        <v>1</v>
      </c>
      <c r="AG869" s="33">
        <v>1</v>
      </c>
      <c r="AH869" s="33"/>
      <c r="AI869" s="33"/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customHeight="1" x14ac:dyDescent="0.25">
      <c r="A870" s="1" t="s">
        <v>5027</v>
      </c>
      <c r="B870" s="21"/>
      <c r="C870" s="1">
        <v>10</v>
      </c>
      <c r="D870" s="1" t="s">
        <v>5028</v>
      </c>
      <c r="E870" s="7">
        <v>4523</v>
      </c>
      <c r="F870" s="7">
        <v>1</v>
      </c>
      <c r="G870" s="1">
        <v>10.5</v>
      </c>
      <c r="H870" s="34">
        <f>Tabela1[[#This Row],[PESO UNI]]*Tabela1[[#This Row],[QTE]]</f>
        <v>105</v>
      </c>
      <c r="I870" s="7" t="s">
        <v>43</v>
      </c>
      <c r="J870" s="8" t="s">
        <v>5025</v>
      </c>
      <c r="K870" s="8" t="s">
        <v>23</v>
      </c>
      <c r="L870" s="9" t="s">
        <v>5026</v>
      </c>
      <c r="M870" s="10">
        <v>46245</v>
      </c>
      <c r="N870" s="8" t="s">
        <v>38</v>
      </c>
      <c r="O870" s="12"/>
      <c r="P870" s="13"/>
      <c r="Q870" s="14">
        <f>Tabela1[[#This Row],[QTDE/ Fabricação]]-Tabela1[[#This Row],[QTE]]</f>
        <v>-10</v>
      </c>
      <c r="R870" s="18">
        <f t="shared" ref="R870" si="177">IFERROR(H870*((AA870*0.25)+(AC870*0.25)+(AD870*0.225)+(AE870*0.225)+(AF870*0.05)),"")</f>
        <v>105</v>
      </c>
      <c r="S870" s="18">
        <f t="shared" ref="S870" si="178">IFERROR(H870*AG870,"")</f>
        <v>105</v>
      </c>
      <c r="T870" s="19">
        <f t="shared" ref="T870" si="179">IFERROR(S870-H870,"")</f>
        <v>0</v>
      </c>
      <c r="U870" s="16">
        <f>IFERROR(SUMIF('LISTA DE EMBARQUE'!B:B,MICRO!E:E,'LISTA DE EMBARQUE'!G:G),"")</f>
        <v>0</v>
      </c>
      <c r="V870" s="12" t="str">
        <f>IFERROR(VLOOKUP(Tabela1[[#This Row],[COD.MDE]],'LISTA DE EMBARQUE'!B:L,11,0),"")</f>
        <v/>
      </c>
      <c r="W870" s="13" t="str">
        <f>IFERROR(VLOOKUP(Tabela1[[#This Row],[COD.MDE]],'LISTA DE EMBARQUE'!B:M,12,0),"")</f>
        <v/>
      </c>
      <c r="X870" s="14">
        <f>IFERROR(Tabela1[[#This Row],[QIANTIDADE EXPEDIDA]]*Tabela1[[#This Row],[PESO UNI]],"")</f>
        <v>0</v>
      </c>
      <c r="Y870" s="14">
        <f t="shared" ref="Y870" si="180">U870-C870</f>
        <v>-10</v>
      </c>
      <c r="Z870" s="20">
        <f>Tabela1[[#This Row],[PESO TOTAL]]-Tabela1[[#This Row],[Peso Expedido]]</f>
        <v>105</v>
      </c>
      <c r="AA870" s="17">
        <v>1</v>
      </c>
      <c r="AB870" s="33"/>
      <c r="AC870" s="33">
        <v>1</v>
      </c>
      <c r="AD870" s="33">
        <v>1</v>
      </c>
      <c r="AE870" s="33">
        <v>1</v>
      </c>
      <c r="AF870" s="33">
        <v>1</v>
      </c>
      <c r="AG870" s="33">
        <v>1</v>
      </c>
      <c r="AH870" s="33"/>
      <c r="AI870" s="33"/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customHeight="1" x14ac:dyDescent="0.25">
      <c r="A871" s="1" t="s">
        <v>5029</v>
      </c>
      <c r="B871" s="21"/>
      <c r="C871" s="1">
        <v>5</v>
      </c>
      <c r="D871" s="1" t="s">
        <v>5030</v>
      </c>
      <c r="E871" s="7">
        <v>4524</v>
      </c>
      <c r="F871" s="7">
        <v>1</v>
      </c>
      <c r="G871" s="1">
        <v>35</v>
      </c>
      <c r="H871" s="34">
        <f>Tabela1[[#This Row],[PESO UNI]]*Tabela1[[#This Row],[QTE]]</f>
        <v>175</v>
      </c>
      <c r="I871" s="7" t="s">
        <v>43</v>
      </c>
      <c r="J871" s="8" t="s">
        <v>5025</v>
      </c>
      <c r="K871" s="8" t="s">
        <v>23</v>
      </c>
      <c r="L871" s="9" t="s">
        <v>5026</v>
      </c>
      <c r="M871" s="10">
        <v>46245</v>
      </c>
      <c r="N871" s="8" t="s">
        <v>38</v>
      </c>
      <c r="O871" s="12"/>
      <c r="P871" s="13"/>
      <c r="Q871" s="14">
        <f>Tabela1[[#This Row],[QTDE/ Fabricação]]-Tabela1[[#This Row],[QTE]]</f>
        <v>-5</v>
      </c>
      <c r="R871" s="18">
        <f t="shared" ref="R871:R928" si="181">IFERROR(H871*((AA871*0.25)+(AC871*0.25)+(AD871*0.225)+(AE871*0.225)+(AF871*0.05)),"")</f>
        <v>175</v>
      </c>
      <c r="S871" s="18">
        <f t="shared" ref="S871:S928" si="182">IFERROR(H871*AG871,"")</f>
        <v>175</v>
      </c>
      <c r="T871" s="19">
        <f t="shared" ref="T871:T928" si="183">IFERROR(S871-H871,"")</f>
        <v>0</v>
      </c>
      <c r="U871" s="16">
        <f>IFERROR(SUMIF('LISTA DE EMBARQUE'!B:B,MICRO!E:E,'LISTA DE EMBARQUE'!G:G),"")</f>
        <v>0</v>
      </c>
      <c r="V871" s="12" t="str">
        <f>IFERROR(VLOOKUP(Tabela1[[#This Row],[COD.MDE]],'LISTA DE EMBARQUE'!B:L,11,0),"")</f>
        <v/>
      </c>
      <c r="W871" s="13" t="str">
        <f>IFERROR(VLOOKUP(Tabela1[[#This Row],[COD.MDE]],'LISTA DE EMBARQUE'!B:M,12,0),"")</f>
        <v/>
      </c>
      <c r="X871" s="14">
        <f>IFERROR(Tabela1[[#This Row],[QIANTIDADE EXPEDIDA]]*Tabela1[[#This Row],[PESO UNI]],"")</f>
        <v>0</v>
      </c>
      <c r="Y871" s="14">
        <f t="shared" ref="Y871:Y928" si="184">U871-C871</f>
        <v>-5</v>
      </c>
      <c r="Z871" s="20">
        <f>Tabela1[[#This Row],[PESO TOTAL]]-Tabela1[[#This Row],[Peso Expedido]]</f>
        <v>175</v>
      </c>
      <c r="AA871" s="17">
        <v>1</v>
      </c>
      <c r="AB871" s="33"/>
      <c r="AC871" s="33">
        <v>1</v>
      </c>
      <c r="AD871" s="33">
        <v>1</v>
      </c>
      <c r="AE871" s="33">
        <v>1</v>
      </c>
      <c r="AF871" s="33">
        <v>1</v>
      </c>
      <c r="AG871" s="33">
        <v>1</v>
      </c>
      <c r="AH871" s="33"/>
      <c r="AI871" s="33"/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customHeight="1" x14ac:dyDescent="0.25">
      <c r="A872" s="1" t="s">
        <v>5033</v>
      </c>
      <c r="B872" s="21"/>
      <c r="C872" s="1">
        <v>710</v>
      </c>
      <c r="D872" s="1" t="s">
        <v>5034</v>
      </c>
      <c r="E872" s="7">
        <v>4525</v>
      </c>
      <c r="F872" s="7">
        <v>13</v>
      </c>
      <c r="G872" s="1">
        <v>0.85</v>
      </c>
      <c r="H872" s="34">
        <f>Tabela1[[#This Row],[PESO UNI]]*Tabela1[[#This Row],[QTE]]</f>
        <v>603.5</v>
      </c>
      <c r="I872" s="7">
        <v>0</v>
      </c>
      <c r="J872" s="8" t="s">
        <v>4834</v>
      </c>
      <c r="K872" s="8" t="s">
        <v>4320</v>
      </c>
      <c r="L872" s="9" t="s">
        <v>3291</v>
      </c>
      <c r="M872" s="10">
        <v>46246</v>
      </c>
      <c r="N872" s="8" t="s">
        <v>38</v>
      </c>
      <c r="O872" s="12"/>
      <c r="P872" s="13"/>
      <c r="Q872" s="14">
        <f>Tabela1[[#This Row],[QTDE/ Fabricação]]-Tabela1[[#This Row],[QTE]]</f>
        <v>-710</v>
      </c>
      <c r="R872" s="18">
        <f t="shared" si="181"/>
        <v>0</v>
      </c>
      <c r="S872" s="18">
        <f t="shared" si="182"/>
        <v>0</v>
      </c>
      <c r="T872" s="19">
        <f t="shared" si="183"/>
        <v>-603.5</v>
      </c>
      <c r="U872" s="16">
        <f>IFERROR(SUMIF('LISTA DE EMBARQUE'!B:B,MICRO!E:E,'LISTA DE EMBARQUE'!G:G),"")</f>
        <v>0</v>
      </c>
      <c r="V872" s="12" t="str">
        <f>IFERROR(VLOOKUP(Tabela1[[#This Row],[COD.MDE]],'LISTA DE EMBARQUE'!B:L,11,0),"")</f>
        <v/>
      </c>
      <c r="W872" s="13" t="str">
        <f>IFERROR(VLOOKUP(Tabela1[[#This Row],[COD.MDE]],'LISTA DE EMBARQUE'!B:M,12,0),"")</f>
        <v/>
      </c>
      <c r="X872" s="14">
        <f>IFERROR(Tabela1[[#This Row],[QIANTIDADE EXPEDIDA]]*Tabela1[[#This Row],[PESO UNI]],"")</f>
        <v>0</v>
      </c>
      <c r="Y872" s="14">
        <f t="shared" si="184"/>
        <v>-710</v>
      </c>
      <c r="Z872" s="20">
        <f>Tabela1[[#This Row],[PESO TOTAL]]-Tabela1[[#This Row],[Peso Expedido]]</f>
        <v>603.5</v>
      </c>
      <c r="AA872" s="17"/>
      <c r="AB872" s="33"/>
      <c r="AC872" s="33"/>
      <c r="AD872" s="33"/>
      <c r="AE872" s="33"/>
      <c r="AF872" s="33"/>
      <c r="AG872" s="33"/>
      <c r="AH872" s="33"/>
      <c r="AI872" s="33"/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customHeight="1" x14ac:dyDescent="0.25">
      <c r="A873" s="19" t="s">
        <v>414</v>
      </c>
      <c r="B873" s="19"/>
      <c r="C873" s="240">
        <v>10</v>
      </c>
      <c r="D873" s="19" t="s">
        <v>5035</v>
      </c>
      <c r="E873" s="19">
        <v>4526</v>
      </c>
      <c r="F873" s="19">
        <v>1</v>
      </c>
      <c r="G873" s="19">
        <v>5</v>
      </c>
      <c r="H873" s="19">
        <f>Tabela1[[#This Row],[PESO UNI]]*Tabela1[[#This Row],[QTE]]</f>
        <v>50</v>
      </c>
      <c r="I873" s="19">
        <v>0</v>
      </c>
      <c r="J873" s="19" t="s">
        <v>5036</v>
      </c>
      <c r="K873" s="19" t="s">
        <v>23</v>
      </c>
      <c r="L873" s="19" t="s">
        <v>5037</v>
      </c>
      <c r="M873" s="19">
        <v>46246</v>
      </c>
      <c r="N873" s="19" t="s">
        <v>38</v>
      </c>
      <c r="O873" s="19"/>
      <c r="P873" s="19"/>
      <c r="Q873" s="19">
        <f>Tabela1[[#This Row],[QTDE/ Fabricação]]-Tabela1[[#This Row],[QTE]]</f>
        <v>-10</v>
      </c>
      <c r="R873" s="19">
        <f t="shared" si="181"/>
        <v>50</v>
      </c>
      <c r="S873" s="19">
        <f t="shared" si="182"/>
        <v>50</v>
      </c>
      <c r="T873" s="19">
        <f t="shared" si="183"/>
        <v>0</v>
      </c>
      <c r="U873" s="19">
        <f>IFERROR(SUMIF('LISTA DE EMBARQUE'!B:B,MICRO!E:E,'LISTA DE EMBARQUE'!G:G),"")</f>
        <v>10</v>
      </c>
      <c r="V873" s="19">
        <f>IFERROR(VLOOKUP(Tabela1[[#This Row],[COD.MDE]],'LISTA DE EMBARQUE'!B:L,11,0),"")</f>
        <v>1</v>
      </c>
      <c r="W873" s="239">
        <f>IFERROR(VLOOKUP(Tabela1[[#This Row],[COD.MDE]],'LISTA DE EMBARQUE'!B:M,12,0),"")</f>
        <v>46273</v>
      </c>
      <c r="X873" s="19">
        <f>IFERROR(Tabela1[[#This Row],[QIANTIDADE EXPEDIDA]]*Tabela1[[#This Row],[PESO UNI]],"")</f>
        <v>50</v>
      </c>
      <c r="Y873" s="14">
        <f t="shared" si="184"/>
        <v>0</v>
      </c>
      <c r="Z873" s="20">
        <f>Tabela1[[#This Row],[PESO TOTAL]]-Tabela1[[#This Row],[Peso Expedido]]</f>
        <v>0</v>
      </c>
      <c r="AA873" s="17">
        <v>1</v>
      </c>
      <c r="AB873" s="33">
        <v>1</v>
      </c>
      <c r="AC873" s="33">
        <v>1</v>
      </c>
      <c r="AD873" s="33">
        <v>1</v>
      </c>
      <c r="AE873" s="33">
        <v>1</v>
      </c>
      <c r="AF873" s="33">
        <v>1</v>
      </c>
      <c r="AG873" s="33">
        <v>1</v>
      </c>
      <c r="AH873" s="33">
        <v>1</v>
      </c>
      <c r="AI873" s="33" t="s">
        <v>4509</v>
      </c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customHeight="1" x14ac:dyDescent="0.25">
      <c r="A874" s="1" t="s">
        <v>5041</v>
      </c>
      <c r="B874" s="21" t="s">
        <v>5042</v>
      </c>
      <c r="C874" s="1">
        <v>1</v>
      </c>
      <c r="D874" s="1" t="s">
        <v>5043</v>
      </c>
      <c r="E874" s="7">
        <v>4527</v>
      </c>
      <c r="F874" s="7">
        <v>56</v>
      </c>
      <c r="G874" s="1">
        <v>297.8</v>
      </c>
      <c r="H874" s="34">
        <f>Tabela1[[#This Row],[PESO UNI]]*Tabela1[[#This Row],[QTE]]</f>
        <v>297.8</v>
      </c>
      <c r="I874" s="7">
        <v>0</v>
      </c>
      <c r="J874" s="8" t="s">
        <v>3140</v>
      </c>
      <c r="K874" s="8" t="s">
        <v>4320</v>
      </c>
      <c r="L874" s="9" t="s">
        <v>2984</v>
      </c>
      <c r="M874" s="10">
        <v>46251</v>
      </c>
      <c r="N874" s="8" t="s">
        <v>5105</v>
      </c>
      <c r="O874" s="12"/>
      <c r="P874" s="13"/>
      <c r="Q874" s="14">
        <f>Tabela1[[#This Row],[QTDE/ Fabricação]]-Tabela1[[#This Row],[QTE]]</f>
        <v>-1</v>
      </c>
      <c r="R874" s="18">
        <f t="shared" si="181"/>
        <v>297.8</v>
      </c>
      <c r="S874" s="18">
        <f t="shared" si="182"/>
        <v>297.8</v>
      </c>
      <c r="T874" s="19">
        <f t="shared" si="183"/>
        <v>0</v>
      </c>
      <c r="U874" s="16">
        <f>IFERROR(SUMIF('LISTA DE EMBARQUE'!B:B,MICRO!E:E,'LISTA DE EMBARQUE'!G:G),"")</f>
        <v>1</v>
      </c>
      <c r="V874" s="12">
        <f>IFERROR(VLOOKUP(Tabela1[[#This Row],[COD.MDE]],'LISTA DE EMBARQUE'!B:L,11,0),"")</f>
        <v>8</v>
      </c>
      <c r="W874" s="13">
        <f>IFERROR(VLOOKUP(Tabela1[[#This Row],[COD.MDE]],'LISTA DE EMBARQUE'!B:M,12,0),"")</f>
        <v>46280</v>
      </c>
      <c r="X874" s="14">
        <f>IFERROR(Tabela1[[#This Row],[QIANTIDADE EXPEDIDA]]*Tabela1[[#This Row],[PESO UNI]],"")</f>
        <v>297.8</v>
      </c>
      <c r="Y874" s="14">
        <f t="shared" si="184"/>
        <v>0</v>
      </c>
      <c r="Z874" s="20">
        <f>Tabela1[[#This Row],[PESO TOTAL]]-Tabela1[[#This Row],[Peso Expedido]]</f>
        <v>0</v>
      </c>
      <c r="AA874" s="17">
        <v>1</v>
      </c>
      <c r="AB874" s="33"/>
      <c r="AC874" s="33">
        <v>1</v>
      </c>
      <c r="AD874" s="33">
        <v>1</v>
      </c>
      <c r="AE874" s="33">
        <v>1</v>
      </c>
      <c r="AF874" s="33">
        <v>1</v>
      </c>
      <c r="AG874" s="33">
        <v>1</v>
      </c>
      <c r="AH874" s="33"/>
      <c r="AI874" s="33"/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customHeight="1" x14ac:dyDescent="0.25">
      <c r="A875" s="1" t="s">
        <v>5041</v>
      </c>
      <c r="B875" s="21" t="s">
        <v>5042</v>
      </c>
      <c r="C875" s="1">
        <v>1</v>
      </c>
      <c r="D875" s="1" t="s">
        <v>5044</v>
      </c>
      <c r="E875" s="7">
        <v>4528</v>
      </c>
      <c r="F875" s="7">
        <v>56</v>
      </c>
      <c r="G875" s="1">
        <v>297.8</v>
      </c>
      <c r="H875" s="34">
        <f>Tabela1[[#This Row],[PESO UNI]]*Tabela1[[#This Row],[QTE]]</f>
        <v>297.8</v>
      </c>
      <c r="I875" s="7">
        <v>0</v>
      </c>
      <c r="J875" s="8" t="s">
        <v>3140</v>
      </c>
      <c r="K875" s="8" t="s">
        <v>4320</v>
      </c>
      <c r="L875" s="9" t="s">
        <v>2984</v>
      </c>
      <c r="M875" s="10">
        <v>46251</v>
      </c>
      <c r="N875" s="8" t="s">
        <v>5105</v>
      </c>
      <c r="O875" s="12"/>
      <c r="P875" s="13"/>
      <c r="Q875" s="14">
        <f>Tabela1[[#This Row],[QTDE/ Fabricação]]-Tabela1[[#This Row],[QTE]]</f>
        <v>-1</v>
      </c>
      <c r="R875" s="18">
        <f t="shared" si="181"/>
        <v>297.8</v>
      </c>
      <c r="S875" s="18">
        <f t="shared" si="182"/>
        <v>297.8</v>
      </c>
      <c r="T875" s="19">
        <f t="shared" si="183"/>
        <v>0</v>
      </c>
      <c r="U875" s="16">
        <f>IFERROR(SUMIF('LISTA DE EMBARQUE'!B:B,MICRO!E:E,'LISTA DE EMBARQUE'!G:G),"")</f>
        <v>1</v>
      </c>
      <c r="V875" s="12">
        <f>IFERROR(VLOOKUP(Tabela1[[#This Row],[COD.MDE]],'LISTA DE EMBARQUE'!B:L,11,0),"")</f>
        <v>8</v>
      </c>
      <c r="W875" s="13">
        <f>IFERROR(VLOOKUP(Tabela1[[#This Row],[COD.MDE]],'LISTA DE EMBARQUE'!B:M,12,0),"")</f>
        <v>46280</v>
      </c>
      <c r="X875" s="14">
        <f>IFERROR(Tabela1[[#This Row],[QIANTIDADE EXPEDIDA]]*Tabela1[[#This Row],[PESO UNI]],"")</f>
        <v>297.8</v>
      </c>
      <c r="Y875" s="14">
        <f t="shared" si="184"/>
        <v>0</v>
      </c>
      <c r="Z875" s="20">
        <f>Tabela1[[#This Row],[PESO TOTAL]]-Tabela1[[#This Row],[Peso Expedido]]</f>
        <v>0</v>
      </c>
      <c r="AA875" s="17">
        <v>1</v>
      </c>
      <c r="AB875" s="33"/>
      <c r="AC875" s="33">
        <v>1</v>
      </c>
      <c r="AD875" s="33">
        <v>1</v>
      </c>
      <c r="AE875" s="33">
        <v>1</v>
      </c>
      <c r="AF875" s="33">
        <v>1</v>
      </c>
      <c r="AG875" s="33">
        <v>1</v>
      </c>
      <c r="AH875" s="33"/>
      <c r="AI875" s="33"/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customHeight="1" x14ac:dyDescent="0.25">
      <c r="A876" s="1" t="s">
        <v>5045</v>
      </c>
      <c r="B876" s="21" t="s">
        <v>5046</v>
      </c>
      <c r="C876" s="1">
        <v>1</v>
      </c>
      <c r="D876" s="1" t="s">
        <v>5047</v>
      </c>
      <c r="E876" s="7">
        <v>4529</v>
      </c>
      <c r="F876" s="7">
        <v>56</v>
      </c>
      <c r="G876" s="1">
        <v>886.6</v>
      </c>
      <c r="H876" s="34">
        <f>Tabela1[[#This Row],[PESO UNI]]*Tabela1[[#This Row],[QTE]]</f>
        <v>886.6</v>
      </c>
      <c r="I876" s="7">
        <v>0</v>
      </c>
      <c r="J876" s="8" t="s">
        <v>3140</v>
      </c>
      <c r="K876" s="8" t="s">
        <v>4320</v>
      </c>
      <c r="L876" s="9" t="s">
        <v>2984</v>
      </c>
      <c r="M876" s="10">
        <v>46251</v>
      </c>
      <c r="N876" s="8" t="s">
        <v>5105</v>
      </c>
      <c r="O876" s="12"/>
      <c r="P876" s="13"/>
      <c r="Q876" s="14">
        <f>Tabela1[[#This Row],[QTDE/ Fabricação]]-Tabela1[[#This Row],[QTE]]</f>
        <v>-1</v>
      </c>
      <c r="R876" s="18">
        <f t="shared" si="181"/>
        <v>886.6</v>
      </c>
      <c r="S876" s="18">
        <f t="shared" si="182"/>
        <v>886.6</v>
      </c>
      <c r="T876" s="19">
        <f t="shared" si="183"/>
        <v>0</v>
      </c>
      <c r="U876" s="16">
        <f>IFERROR(SUMIF('LISTA DE EMBARQUE'!B:B,MICRO!E:E,'LISTA DE EMBARQUE'!G:G),"")</f>
        <v>1</v>
      </c>
      <c r="V876" s="12">
        <f>IFERROR(VLOOKUP(Tabela1[[#This Row],[COD.MDE]],'LISTA DE EMBARQUE'!B:L,11,0),"")</f>
        <v>8</v>
      </c>
      <c r="W876" s="13">
        <f>IFERROR(VLOOKUP(Tabela1[[#This Row],[COD.MDE]],'LISTA DE EMBARQUE'!B:M,12,0),"")</f>
        <v>46280</v>
      </c>
      <c r="X876" s="14">
        <f>IFERROR(Tabela1[[#This Row],[QIANTIDADE EXPEDIDA]]*Tabela1[[#This Row],[PESO UNI]],"")</f>
        <v>886.6</v>
      </c>
      <c r="Y876" s="14">
        <f t="shared" si="184"/>
        <v>0</v>
      </c>
      <c r="Z876" s="20">
        <f>Tabela1[[#This Row],[PESO TOTAL]]-Tabela1[[#This Row],[Peso Expedido]]</f>
        <v>0</v>
      </c>
      <c r="AA876" s="17">
        <v>1</v>
      </c>
      <c r="AB876" s="33"/>
      <c r="AC876" s="33">
        <v>1</v>
      </c>
      <c r="AD876" s="33">
        <v>1</v>
      </c>
      <c r="AE876" s="33">
        <v>1</v>
      </c>
      <c r="AF876" s="33">
        <v>1</v>
      </c>
      <c r="AG876" s="33">
        <v>1</v>
      </c>
      <c r="AH876" s="33"/>
      <c r="AI876" s="33"/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customHeight="1" x14ac:dyDescent="0.25">
      <c r="A877" s="1" t="s">
        <v>5048</v>
      </c>
      <c r="B877" s="21" t="s">
        <v>5049</v>
      </c>
      <c r="C877" s="1">
        <v>1</v>
      </c>
      <c r="D877" s="1" t="s">
        <v>5050</v>
      </c>
      <c r="E877" s="7">
        <v>4530</v>
      </c>
      <c r="F877" s="7">
        <v>56</v>
      </c>
      <c r="G877" s="1">
        <v>643.4</v>
      </c>
      <c r="H877" s="34">
        <f>Tabela1[[#This Row],[PESO UNI]]*Tabela1[[#This Row],[QTE]]</f>
        <v>643.4</v>
      </c>
      <c r="I877" s="7">
        <v>0</v>
      </c>
      <c r="J877" s="8" t="s">
        <v>3140</v>
      </c>
      <c r="K877" s="8" t="s">
        <v>4320</v>
      </c>
      <c r="L877" s="9" t="s">
        <v>2984</v>
      </c>
      <c r="M877" s="10">
        <v>46251</v>
      </c>
      <c r="N877" s="8" t="s">
        <v>5105</v>
      </c>
      <c r="O877" s="12"/>
      <c r="P877" s="13"/>
      <c r="Q877" s="14">
        <f>Tabela1[[#This Row],[QTDE/ Fabricação]]-Tabela1[[#This Row],[QTE]]</f>
        <v>-1</v>
      </c>
      <c r="R877" s="18">
        <f t="shared" si="181"/>
        <v>643.4</v>
      </c>
      <c r="S877" s="18">
        <f t="shared" si="182"/>
        <v>643.4</v>
      </c>
      <c r="T877" s="19">
        <f t="shared" si="183"/>
        <v>0</v>
      </c>
      <c r="U877" s="16">
        <f>IFERROR(SUMIF('LISTA DE EMBARQUE'!B:B,MICRO!E:E,'LISTA DE EMBARQUE'!G:G),"")</f>
        <v>1</v>
      </c>
      <c r="V877" s="12">
        <f>IFERROR(VLOOKUP(Tabela1[[#This Row],[COD.MDE]],'LISTA DE EMBARQUE'!B:L,11,0),"")</f>
        <v>8</v>
      </c>
      <c r="W877" s="13">
        <f>IFERROR(VLOOKUP(Tabela1[[#This Row],[COD.MDE]],'LISTA DE EMBARQUE'!B:M,12,0),"")</f>
        <v>46280</v>
      </c>
      <c r="X877" s="14">
        <f>IFERROR(Tabela1[[#This Row],[QIANTIDADE EXPEDIDA]]*Tabela1[[#This Row],[PESO UNI]],"")</f>
        <v>643.4</v>
      </c>
      <c r="Y877" s="14">
        <f t="shared" si="184"/>
        <v>0</v>
      </c>
      <c r="Z877" s="20">
        <f>Tabela1[[#This Row],[PESO TOTAL]]-Tabela1[[#This Row],[Peso Expedido]]</f>
        <v>0</v>
      </c>
      <c r="AA877" s="17">
        <v>1</v>
      </c>
      <c r="AB877" s="33"/>
      <c r="AC877" s="33">
        <v>1</v>
      </c>
      <c r="AD877" s="33">
        <v>1</v>
      </c>
      <c r="AE877" s="33">
        <v>1</v>
      </c>
      <c r="AF877" s="33">
        <v>1</v>
      </c>
      <c r="AG877" s="33">
        <v>1</v>
      </c>
      <c r="AH877" s="33"/>
      <c r="AI877" s="33"/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customHeight="1" x14ac:dyDescent="0.25">
      <c r="A878" s="1" t="s">
        <v>5051</v>
      </c>
      <c r="B878" s="21" t="s">
        <v>5052</v>
      </c>
      <c r="C878" s="1">
        <v>1</v>
      </c>
      <c r="D878" s="1" t="s">
        <v>5053</v>
      </c>
      <c r="E878" s="7">
        <v>4531</v>
      </c>
      <c r="F878" s="7">
        <v>56</v>
      </c>
      <c r="G878" s="1">
        <v>368.4</v>
      </c>
      <c r="H878" s="34">
        <f>Tabela1[[#This Row],[PESO UNI]]*Tabela1[[#This Row],[QTE]]</f>
        <v>368.4</v>
      </c>
      <c r="I878" s="7">
        <v>0</v>
      </c>
      <c r="J878" s="8" t="s">
        <v>3140</v>
      </c>
      <c r="K878" s="8" t="s">
        <v>4320</v>
      </c>
      <c r="L878" s="9" t="s">
        <v>2984</v>
      </c>
      <c r="M878" s="10">
        <v>46251</v>
      </c>
      <c r="N878" s="8" t="s">
        <v>5105</v>
      </c>
      <c r="O878" s="12"/>
      <c r="P878" s="13"/>
      <c r="Q878" s="14">
        <f>Tabela1[[#This Row],[QTDE/ Fabricação]]-Tabela1[[#This Row],[QTE]]</f>
        <v>-1</v>
      </c>
      <c r="R878" s="18">
        <f t="shared" si="181"/>
        <v>368.4</v>
      </c>
      <c r="S878" s="18">
        <f t="shared" si="182"/>
        <v>368.4</v>
      </c>
      <c r="T878" s="19">
        <f t="shared" si="183"/>
        <v>0</v>
      </c>
      <c r="U878" s="16">
        <f>IFERROR(SUMIF('LISTA DE EMBARQUE'!B:B,MICRO!E:E,'LISTA DE EMBARQUE'!G:G),"")</f>
        <v>1</v>
      </c>
      <c r="V878" s="12">
        <f>IFERROR(VLOOKUP(Tabela1[[#This Row],[COD.MDE]],'LISTA DE EMBARQUE'!B:L,11,0),"")</f>
        <v>8</v>
      </c>
      <c r="W878" s="13">
        <f>IFERROR(VLOOKUP(Tabela1[[#This Row],[COD.MDE]],'LISTA DE EMBARQUE'!B:M,12,0),"")</f>
        <v>46280</v>
      </c>
      <c r="X878" s="14">
        <f>IFERROR(Tabela1[[#This Row],[QIANTIDADE EXPEDIDA]]*Tabela1[[#This Row],[PESO UNI]],"")</f>
        <v>368.4</v>
      </c>
      <c r="Y878" s="14">
        <f t="shared" si="184"/>
        <v>0</v>
      </c>
      <c r="Z878" s="20">
        <f>Tabela1[[#This Row],[PESO TOTAL]]-Tabela1[[#This Row],[Peso Expedido]]</f>
        <v>0</v>
      </c>
      <c r="AA878" s="17">
        <v>1</v>
      </c>
      <c r="AB878" s="33"/>
      <c r="AC878" s="33">
        <v>1</v>
      </c>
      <c r="AD878" s="33">
        <v>1</v>
      </c>
      <c r="AE878" s="33">
        <v>1</v>
      </c>
      <c r="AF878" s="33">
        <v>1</v>
      </c>
      <c r="AG878" s="33">
        <v>1</v>
      </c>
      <c r="AH878" s="33"/>
      <c r="AI878" s="33"/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customHeight="1" x14ac:dyDescent="0.25">
      <c r="A879" s="1" t="s">
        <v>5051</v>
      </c>
      <c r="B879" s="21" t="s">
        <v>5052</v>
      </c>
      <c r="C879" s="1">
        <v>1</v>
      </c>
      <c r="D879" s="1" t="s">
        <v>5054</v>
      </c>
      <c r="E879" s="7">
        <v>4532</v>
      </c>
      <c r="F879" s="7">
        <v>56</v>
      </c>
      <c r="G879" s="1">
        <v>340.7</v>
      </c>
      <c r="H879" s="34">
        <f>Tabela1[[#This Row],[PESO UNI]]*Tabela1[[#This Row],[QTE]]</f>
        <v>340.7</v>
      </c>
      <c r="I879" s="7">
        <v>0</v>
      </c>
      <c r="J879" s="8" t="s">
        <v>3140</v>
      </c>
      <c r="K879" s="8" t="s">
        <v>4320</v>
      </c>
      <c r="L879" s="9" t="s">
        <v>2984</v>
      </c>
      <c r="M879" s="10">
        <v>46251</v>
      </c>
      <c r="N879" s="8" t="s">
        <v>5105</v>
      </c>
      <c r="O879" s="12"/>
      <c r="P879" s="13"/>
      <c r="Q879" s="14">
        <f>Tabela1[[#This Row],[QTDE/ Fabricação]]-Tabela1[[#This Row],[QTE]]</f>
        <v>-1</v>
      </c>
      <c r="R879" s="18">
        <f t="shared" si="181"/>
        <v>340.7</v>
      </c>
      <c r="S879" s="18">
        <f t="shared" si="182"/>
        <v>340.7</v>
      </c>
      <c r="T879" s="19">
        <f t="shared" si="183"/>
        <v>0</v>
      </c>
      <c r="U879" s="16">
        <f>IFERROR(SUMIF('LISTA DE EMBARQUE'!B:B,MICRO!E:E,'LISTA DE EMBARQUE'!G:G),"")</f>
        <v>1</v>
      </c>
      <c r="V879" s="12">
        <f>IFERROR(VLOOKUP(Tabela1[[#This Row],[COD.MDE]],'LISTA DE EMBARQUE'!B:L,11,0),"")</f>
        <v>8</v>
      </c>
      <c r="W879" s="13">
        <f>IFERROR(VLOOKUP(Tabela1[[#This Row],[COD.MDE]],'LISTA DE EMBARQUE'!B:M,12,0),"")</f>
        <v>46280</v>
      </c>
      <c r="X879" s="14">
        <f>IFERROR(Tabela1[[#This Row],[QIANTIDADE EXPEDIDA]]*Tabela1[[#This Row],[PESO UNI]],"")</f>
        <v>340.7</v>
      </c>
      <c r="Y879" s="14">
        <f t="shared" si="184"/>
        <v>0</v>
      </c>
      <c r="Z879" s="20">
        <f>Tabela1[[#This Row],[PESO TOTAL]]-Tabela1[[#This Row],[Peso Expedido]]</f>
        <v>0</v>
      </c>
      <c r="AA879" s="17">
        <v>1</v>
      </c>
      <c r="AB879" s="33"/>
      <c r="AC879" s="33">
        <v>1</v>
      </c>
      <c r="AD879" s="33">
        <v>1</v>
      </c>
      <c r="AE879" s="33">
        <v>1</v>
      </c>
      <c r="AF879" s="33">
        <v>1</v>
      </c>
      <c r="AG879" s="33">
        <v>1</v>
      </c>
      <c r="AH879" s="33"/>
      <c r="AI879" s="33"/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customHeight="1" x14ac:dyDescent="0.25">
      <c r="A880" s="1" t="s">
        <v>5055</v>
      </c>
      <c r="B880" s="21" t="s">
        <v>5056</v>
      </c>
      <c r="C880" s="1">
        <v>4</v>
      </c>
      <c r="D880" s="1" t="s">
        <v>5057</v>
      </c>
      <c r="E880" s="7">
        <v>4533</v>
      </c>
      <c r="F880" s="7">
        <v>53</v>
      </c>
      <c r="G880" s="1">
        <v>6.2</v>
      </c>
      <c r="H880" s="34">
        <f>Tabela1[[#This Row],[PESO UNI]]*Tabela1[[#This Row],[QTE]]</f>
        <v>24.8</v>
      </c>
      <c r="I880" s="7">
        <v>0</v>
      </c>
      <c r="J880" s="8" t="s">
        <v>3045</v>
      </c>
      <c r="K880" s="8" t="s">
        <v>4320</v>
      </c>
      <c r="L880" s="9" t="s">
        <v>2984</v>
      </c>
      <c r="M880" s="10">
        <v>46251</v>
      </c>
      <c r="N880" s="8" t="s">
        <v>5105</v>
      </c>
      <c r="O880" s="12"/>
      <c r="P880" s="13"/>
      <c r="Q880" s="14">
        <f>Tabela1[[#This Row],[QTDE/ Fabricação]]-Tabela1[[#This Row],[QTE]]</f>
        <v>-4</v>
      </c>
      <c r="R880" s="18">
        <f t="shared" si="181"/>
        <v>20.707999999999998</v>
      </c>
      <c r="S880" s="18">
        <f t="shared" si="182"/>
        <v>8.68</v>
      </c>
      <c r="T880" s="19">
        <f t="shared" si="183"/>
        <v>-16.12</v>
      </c>
      <c r="U880" s="16">
        <f>IFERROR(SUMIF('LISTA DE EMBARQUE'!B:B,MICRO!E:E,'LISTA DE EMBARQUE'!G:G),"")</f>
        <v>0</v>
      </c>
      <c r="V880" s="12" t="str">
        <f>IFERROR(VLOOKUP(Tabela1[[#This Row],[COD.MDE]],'LISTA DE EMBARQUE'!B:L,11,0),"")</f>
        <v/>
      </c>
      <c r="W880" s="13" t="str">
        <f>IFERROR(VLOOKUP(Tabela1[[#This Row],[COD.MDE]],'LISTA DE EMBARQUE'!B:M,12,0),"")</f>
        <v/>
      </c>
      <c r="X880" s="14">
        <f>IFERROR(Tabela1[[#This Row],[QIANTIDADE EXPEDIDA]]*Tabela1[[#This Row],[PESO UNI]],"")</f>
        <v>0</v>
      </c>
      <c r="Y880" s="14">
        <f t="shared" si="184"/>
        <v>-4</v>
      </c>
      <c r="Z880" s="20">
        <f>Tabela1[[#This Row],[PESO TOTAL]]-Tabela1[[#This Row],[Peso Expedido]]</f>
        <v>24.8</v>
      </c>
      <c r="AA880" s="17">
        <v>1</v>
      </c>
      <c r="AB880" s="33"/>
      <c r="AC880" s="33">
        <v>1</v>
      </c>
      <c r="AD880" s="33">
        <v>0.7</v>
      </c>
      <c r="AE880" s="33">
        <v>0.7</v>
      </c>
      <c r="AF880" s="33">
        <v>0.4</v>
      </c>
      <c r="AG880" s="33">
        <v>0.35</v>
      </c>
      <c r="AH880" s="33"/>
      <c r="AI880" s="33"/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customHeight="1" x14ac:dyDescent="0.25">
      <c r="A881" s="1" t="s">
        <v>5055</v>
      </c>
      <c r="B881" s="21" t="s">
        <v>5056</v>
      </c>
      <c r="C881" s="1">
        <v>1</v>
      </c>
      <c r="D881" s="1" t="s">
        <v>5060</v>
      </c>
      <c r="E881" s="7">
        <v>4534</v>
      </c>
      <c r="F881" s="7">
        <v>53</v>
      </c>
      <c r="G881" s="1">
        <v>312.39999999999998</v>
      </c>
      <c r="H881" s="34">
        <f>Tabela1[[#This Row],[PESO UNI]]*Tabela1[[#This Row],[QTE]]</f>
        <v>312.39999999999998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5105</v>
      </c>
      <c r="O881" s="12"/>
      <c r="P881" s="13"/>
      <c r="Q881" s="14">
        <f>Tabela1[[#This Row],[QTDE/ Fabricação]]-Tabela1[[#This Row],[QTE]]</f>
        <v>-1</v>
      </c>
      <c r="R881" s="18">
        <f t="shared" si="181"/>
        <v>260.85399999999998</v>
      </c>
      <c r="S881" s="18">
        <f t="shared" si="182"/>
        <v>109.33999999999999</v>
      </c>
      <c r="T881" s="19">
        <f t="shared" si="183"/>
        <v>-203.06</v>
      </c>
      <c r="U881" s="16">
        <f>IFERROR(SUMIF('LISTA DE EMBARQUE'!B:B,MICRO!E:E,'LISTA DE EMBARQUE'!G:G),"")</f>
        <v>0</v>
      </c>
      <c r="V881" s="12" t="str">
        <f>IFERROR(VLOOKUP(Tabela1[[#This Row],[COD.MDE]],'LISTA DE EMBARQUE'!B:L,11,0),"")</f>
        <v/>
      </c>
      <c r="W881" s="13" t="str">
        <f>IFERROR(VLOOKUP(Tabela1[[#This Row],[COD.MDE]],'LISTA DE EMBARQUE'!B:M,12,0),"")</f>
        <v/>
      </c>
      <c r="X881" s="14">
        <f>IFERROR(Tabela1[[#This Row],[QIANTIDADE EXPEDIDA]]*Tabela1[[#This Row],[PESO UNI]],"")</f>
        <v>0</v>
      </c>
      <c r="Y881" s="14">
        <f t="shared" si="184"/>
        <v>-1</v>
      </c>
      <c r="Z881" s="20">
        <f>Tabela1[[#This Row],[PESO TOTAL]]-Tabela1[[#This Row],[Peso Expedido]]</f>
        <v>312.39999999999998</v>
      </c>
      <c r="AA881" s="17">
        <v>1</v>
      </c>
      <c r="AB881" s="33"/>
      <c r="AC881" s="33">
        <v>1</v>
      </c>
      <c r="AD881" s="33">
        <v>0.7</v>
      </c>
      <c r="AE881" s="33">
        <v>0.7</v>
      </c>
      <c r="AF881" s="33">
        <v>0.4</v>
      </c>
      <c r="AG881" s="33">
        <v>0.35</v>
      </c>
      <c r="AH881" s="33"/>
      <c r="AI881" s="33"/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customHeight="1" x14ac:dyDescent="0.25">
      <c r="A882" s="1" t="s">
        <v>5058</v>
      </c>
      <c r="B882" s="21" t="s">
        <v>5059</v>
      </c>
      <c r="C882" s="1">
        <v>2</v>
      </c>
      <c r="D882" s="1" t="s">
        <v>5061</v>
      </c>
      <c r="E882" s="7">
        <v>4535</v>
      </c>
      <c r="F882" s="7">
        <v>54</v>
      </c>
      <c r="G882" s="1">
        <v>5.4</v>
      </c>
      <c r="H882" s="34">
        <f>Tabela1[[#This Row],[PESO UNI]]*Tabela1[[#This Row],[QTE]]</f>
        <v>10.8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5105</v>
      </c>
      <c r="O882" s="12"/>
      <c r="P882" s="13"/>
      <c r="Q882" s="14">
        <f>Tabela1[[#This Row],[QTDE/ Fabricação]]-Tabela1[[#This Row],[QTE]]</f>
        <v>-2</v>
      </c>
      <c r="R882" s="18">
        <f t="shared" si="181"/>
        <v>9.0180000000000007</v>
      </c>
      <c r="S882" s="18">
        <f t="shared" si="182"/>
        <v>3.78</v>
      </c>
      <c r="T882" s="19">
        <f t="shared" si="183"/>
        <v>-7.0200000000000014</v>
      </c>
      <c r="U882" s="16">
        <f>IFERROR(SUMIF('LISTA DE EMBARQUE'!B:B,MICRO!E:E,'LISTA DE EMBARQUE'!G:G),"")</f>
        <v>0</v>
      </c>
      <c r="V882" s="12" t="str">
        <f>IFERROR(VLOOKUP(Tabela1[[#This Row],[COD.MDE]],'LISTA DE EMBARQUE'!B:L,11,0),"")</f>
        <v/>
      </c>
      <c r="W882" s="13" t="str">
        <f>IFERROR(VLOOKUP(Tabela1[[#This Row],[COD.MDE]],'LISTA DE EMBARQUE'!B:M,12,0),"")</f>
        <v/>
      </c>
      <c r="X882" s="14">
        <f>IFERROR(Tabela1[[#This Row],[QIANTIDADE EXPEDIDA]]*Tabela1[[#This Row],[PESO UNI]],"")</f>
        <v>0</v>
      </c>
      <c r="Y882" s="14">
        <f t="shared" si="184"/>
        <v>-2</v>
      </c>
      <c r="Z882" s="20">
        <f>Tabela1[[#This Row],[PESO TOTAL]]-Tabela1[[#This Row],[Peso Expedido]]</f>
        <v>10.8</v>
      </c>
      <c r="AA882" s="17">
        <v>1</v>
      </c>
      <c r="AB882" s="33"/>
      <c r="AC882" s="33">
        <v>1</v>
      </c>
      <c r="AD882" s="33">
        <v>0.7</v>
      </c>
      <c r="AE882" s="33">
        <v>0.7</v>
      </c>
      <c r="AF882" s="33">
        <v>0.4</v>
      </c>
      <c r="AG882" s="33">
        <v>0.35</v>
      </c>
      <c r="AH882" s="33"/>
      <c r="AI882" s="33"/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customHeight="1" x14ac:dyDescent="0.25">
      <c r="A883" s="1" t="s">
        <v>5058</v>
      </c>
      <c r="B883" s="21" t="s">
        <v>5059</v>
      </c>
      <c r="C883" s="1">
        <v>2</v>
      </c>
      <c r="D883" s="1" t="s">
        <v>5062</v>
      </c>
      <c r="E883" s="7">
        <v>4536</v>
      </c>
      <c r="F883" s="7">
        <v>54</v>
      </c>
      <c r="G883" s="1">
        <v>4.7</v>
      </c>
      <c r="H883" s="34">
        <f>Tabela1[[#This Row],[PESO UNI]]*Tabela1[[#This Row],[QTE]]</f>
        <v>9.4</v>
      </c>
      <c r="I883" s="7">
        <v>0</v>
      </c>
      <c r="J883" s="8" t="s">
        <v>3045</v>
      </c>
      <c r="K883" s="8" t="s">
        <v>4320</v>
      </c>
      <c r="L883" s="9" t="s">
        <v>2984</v>
      </c>
      <c r="M883" s="10">
        <v>46251</v>
      </c>
      <c r="N883" s="8" t="s">
        <v>5105</v>
      </c>
      <c r="O883" s="12"/>
      <c r="P883" s="13"/>
      <c r="Q883" s="14">
        <f>Tabela1[[#This Row],[QTDE/ Fabricação]]-Tabela1[[#This Row],[QTE]]</f>
        <v>-2</v>
      </c>
      <c r="R883" s="18">
        <f t="shared" si="181"/>
        <v>7.8490000000000002</v>
      </c>
      <c r="S883" s="18">
        <f t="shared" si="182"/>
        <v>3.29</v>
      </c>
      <c r="T883" s="19">
        <f t="shared" si="183"/>
        <v>-6.11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 t="shared" si="184"/>
        <v>-2</v>
      </c>
      <c r="Z883" s="20">
        <f>Tabela1[[#This Row],[PESO TOTAL]]-Tabela1[[#This Row],[Peso Expedido]]</f>
        <v>9.4</v>
      </c>
      <c r="AA883" s="17">
        <v>1</v>
      </c>
      <c r="AB883" s="33"/>
      <c r="AC883" s="33">
        <v>1</v>
      </c>
      <c r="AD883" s="33">
        <v>0.7</v>
      </c>
      <c r="AE883" s="33">
        <v>0.7</v>
      </c>
      <c r="AF883" s="33">
        <v>0.4</v>
      </c>
      <c r="AG883" s="33">
        <v>0.35</v>
      </c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customHeight="1" x14ac:dyDescent="0.25">
      <c r="A884" s="1" t="s">
        <v>5058</v>
      </c>
      <c r="B884" s="21" t="s">
        <v>5059</v>
      </c>
      <c r="C884" s="1">
        <v>1</v>
      </c>
      <c r="D884" s="1" t="s">
        <v>5063</v>
      </c>
      <c r="E884" s="7">
        <v>4537</v>
      </c>
      <c r="F884" s="7">
        <v>54</v>
      </c>
      <c r="G884" s="1">
        <v>211.4</v>
      </c>
      <c r="H884" s="34">
        <f>Tabela1[[#This Row],[PESO UNI]]*Tabela1[[#This Row],[QTE]]</f>
        <v>211.4</v>
      </c>
      <c r="I884" s="7">
        <v>0</v>
      </c>
      <c r="J884" s="8" t="s">
        <v>3045</v>
      </c>
      <c r="K884" s="8" t="s">
        <v>4320</v>
      </c>
      <c r="L884" s="9" t="s">
        <v>2984</v>
      </c>
      <c r="M884" s="10">
        <v>46251</v>
      </c>
      <c r="N884" s="8" t="s">
        <v>5105</v>
      </c>
      <c r="O884" s="12"/>
      <c r="P884" s="13"/>
      <c r="Q884" s="14">
        <f>Tabela1[[#This Row],[QTDE/ Fabricação]]-Tabela1[[#This Row],[QTE]]</f>
        <v>-1</v>
      </c>
      <c r="R884" s="18">
        <f t="shared" si="181"/>
        <v>176.51900000000001</v>
      </c>
      <c r="S884" s="18">
        <f t="shared" si="182"/>
        <v>73.989999999999995</v>
      </c>
      <c r="T884" s="19">
        <f t="shared" si="183"/>
        <v>-137.41000000000003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 t="shared" si="184"/>
        <v>-1</v>
      </c>
      <c r="Z884" s="20">
        <f>Tabela1[[#This Row],[PESO TOTAL]]-Tabela1[[#This Row],[Peso Expedido]]</f>
        <v>211.4</v>
      </c>
      <c r="AA884" s="17">
        <v>1</v>
      </c>
      <c r="AB884" s="33"/>
      <c r="AC884" s="33">
        <v>1</v>
      </c>
      <c r="AD884" s="33">
        <v>0.7</v>
      </c>
      <c r="AE884" s="33">
        <v>0.7</v>
      </c>
      <c r="AF884" s="33">
        <v>0.4</v>
      </c>
      <c r="AG884" s="33">
        <v>0.35</v>
      </c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customHeight="1" x14ac:dyDescent="0.25">
      <c r="A885" s="1" t="s">
        <v>5064</v>
      </c>
      <c r="B885" s="21" t="s">
        <v>5065</v>
      </c>
      <c r="C885" s="1">
        <v>1</v>
      </c>
      <c r="D885" s="1" t="s">
        <v>5066</v>
      </c>
      <c r="E885" s="7">
        <v>4538</v>
      </c>
      <c r="F885" s="7">
        <v>19</v>
      </c>
      <c r="G885" s="1">
        <v>593.20000000000005</v>
      </c>
      <c r="H885" s="34">
        <f>Tabela1[[#This Row],[PESO UNI]]*Tabela1[[#This Row],[QTE]]</f>
        <v>593.20000000000005</v>
      </c>
      <c r="I885" s="7" t="s">
        <v>5713</v>
      </c>
      <c r="J885" s="8" t="s">
        <v>4834</v>
      </c>
      <c r="K885" s="8" t="s">
        <v>4320</v>
      </c>
      <c r="L885" s="9" t="s">
        <v>3291</v>
      </c>
      <c r="M885" s="10">
        <v>46252</v>
      </c>
      <c r="N885" s="8" t="s">
        <v>38</v>
      </c>
      <c r="O885" s="12"/>
      <c r="P885" s="13"/>
      <c r="Q885" s="14">
        <f>Tabela1[[#This Row],[QTDE/ Fabricação]]-Tabela1[[#This Row],[QTE]]</f>
        <v>-1</v>
      </c>
      <c r="R885" s="18">
        <f t="shared" si="181"/>
        <v>593.20000000000005</v>
      </c>
      <c r="S885" s="18">
        <f t="shared" si="182"/>
        <v>593.20000000000005</v>
      </c>
      <c r="T885" s="19">
        <f t="shared" si="183"/>
        <v>0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 t="shared" si="184"/>
        <v>-1</v>
      </c>
      <c r="Z885" s="20">
        <f>Tabela1[[#This Row],[PESO TOTAL]]-Tabela1[[#This Row],[Peso Expedido]]</f>
        <v>593.20000000000005</v>
      </c>
      <c r="AA885" s="17">
        <v>1</v>
      </c>
      <c r="AB885" s="33"/>
      <c r="AC885" s="17">
        <v>1</v>
      </c>
      <c r="AD885" s="33">
        <v>1</v>
      </c>
      <c r="AE885" s="33">
        <v>1</v>
      </c>
      <c r="AF885" s="33">
        <v>1</v>
      </c>
      <c r="AG885" s="33">
        <v>1</v>
      </c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customHeight="1" x14ac:dyDescent="0.25">
      <c r="A886" s="1" t="s">
        <v>5067</v>
      </c>
      <c r="B886" s="21" t="s">
        <v>5068</v>
      </c>
      <c r="C886" s="1">
        <v>1</v>
      </c>
      <c r="D886" s="1" t="s">
        <v>5069</v>
      </c>
      <c r="E886" s="7">
        <v>4539</v>
      </c>
      <c r="F886" s="7">
        <v>19</v>
      </c>
      <c r="G886" s="1">
        <v>713.6</v>
      </c>
      <c r="H886" s="34">
        <f>Tabela1[[#This Row],[PESO UNI]]*Tabela1[[#This Row],[QTE]]</f>
        <v>713.6</v>
      </c>
      <c r="I886" s="7" t="s">
        <v>5713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 t="shared" si="181"/>
        <v>693.976</v>
      </c>
      <c r="S886" s="18">
        <f t="shared" si="182"/>
        <v>0</v>
      </c>
      <c r="T886" s="19">
        <f t="shared" si="183"/>
        <v>-713.6</v>
      </c>
      <c r="U886" s="16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IFERROR(VLOOKUP(Tabela1[[#This Row],[COD.MDE]],'LISTA DE EMBARQUE'!B:M,12,0),"")</f>
        <v/>
      </c>
      <c r="X886" s="14">
        <f>IFERROR(Tabela1[[#This Row],[QIANTIDADE EXPEDIDA]]*Tabela1[[#This Row],[PESO UNI]],"")</f>
        <v>0</v>
      </c>
      <c r="Y886" s="14">
        <f t="shared" si="184"/>
        <v>-1</v>
      </c>
      <c r="Z886" s="20">
        <f>Tabela1[[#This Row],[PESO TOTAL]]-Tabela1[[#This Row],[Peso Expedido]]</f>
        <v>713.6</v>
      </c>
      <c r="AA886" s="17">
        <v>1</v>
      </c>
      <c r="AB886" s="33"/>
      <c r="AC886" s="17">
        <v>1</v>
      </c>
      <c r="AD886" s="33">
        <v>1</v>
      </c>
      <c r="AE886" s="33">
        <v>0.9</v>
      </c>
      <c r="AF886" s="33">
        <v>0.9</v>
      </c>
      <c r="AG886" s="33"/>
      <c r="AH886" s="33"/>
      <c r="AI886" s="33"/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customHeight="1" x14ac:dyDescent="0.25">
      <c r="A887" s="1" t="s">
        <v>5070</v>
      </c>
      <c r="B887" s="21" t="s">
        <v>5071</v>
      </c>
      <c r="C887" s="1">
        <v>1</v>
      </c>
      <c r="D887" s="1" t="s">
        <v>5072</v>
      </c>
      <c r="E887" s="7">
        <v>4540</v>
      </c>
      <c r="F887" s="7">
        <v>19</v>
      </c>
      <c r="G887" s="1">
        <v>355.4</v>
      </c>
      <c r="H887" s="34">
        <f>Tabela1[[#This Row],[PESO UNI]]*Tabela1[[#This Row],[QTE]]</f>
        <v>355.4</v>
      </c>
      <c r="I887" s="7" t="s">
        <v>5713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 t="shared" si="181"/>
        <v>306.53249999999997</v>
      </c>
      <c r="S887" s="18">
        <f t="shared" si="182"/>
        <v>0</v>
      </c>
      <c r="T887" s="19">
        <f t="shared" si="183"/>
        <v>-355.4</v>
      </c>
      <c r="U887" s="16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IFERROR(VLOOKUP(Tabela1[[#This Row],[COD.MDE]],'LISTA DE EMBARQUE'!B:M,12,0),"")</f>
        <v/>
      </c>
      <c r="X887" s="14">
        <f>IFERROR(Tabela1[[#This Row],[QIANTIDADE EXPEDIDA]]*Tabela1[[#This Row],[PESO UNI]],"")</f>
        <v>0</v>
      </c>
      <c r="Y887" s="14">
        <f t="shared" si="184"/>
        <v>-1</v>
      </c>
      <c r="Z887" s="20">
        <f>Tabela1[[#This Row],[PESO TOTAL]]-Tabela1[[#This Row],[Peso Expedido]]</f>
        <v>355.4</v>
      </c>
      <c r="AA887" s="17">
        <v>1</v>
      </c>
      <c r="AB887" s="33"/>
      <c r="AC887" s="17">
        <v>1</v>
      </c>
      <c r="AD887" s="33">
        <v>1</v>
      </c>
      <c r="AE887" s="33">
        <v>0.5</v>
      </c>
      <c r="AF887" s="33">
        <v>0.5</v>
      </c>
      <c r="AG887" s="33"/>
      <c r="AH887" s="33"/>
      <c r="AI887" s="33"/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customHeight="1" x14ac:dyDescent="0.25">
      <c r="A888" s="1" t="s">
        <v>5073</v>
      </c>
      <c r="B888" s="21" t="s">
        <v>5074</v>
      </c>
      <c r="C888" s="1">
        <v>1</v>
      </c>
      <c r="D888" s="1" t="s">
        <v>5075</v>
      </c>
      <c r="E888" s="7">
        <v>4541</v>
      </c>
      <c r="F888" s="7">
        <v>19</v>
      </c>
      <c r="G888" s="1">
        <v>604.79999999999995</v>
      </c>
      <c r="H888" s="34">
        <f>Tabela1[[#This Row],[PESO UNI]]*Tabela1[[#This Row],[QTE]]</f>
        <v>604.79999999999995</v>
      </c>
      <c r="I888" s="7" t="s">
        <v>5713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 t="shared" si="181"/>
        <v>604.79999999999995</v>
      </c>
      <c r="S888" s="18">
        <f t="shared" si="182"/>
        <v>604.79999999999995</v>
      </c>
      <c r="T888" s="19">
        <f t="shared" si="183"/>
        <v>0</v>
      </c>
      <c r="U888" s="16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IFERROR(VLOOKUP(Tabela1[[#This Row],[COD.MDE]],'LISTA DE EMBARQUE'!B:M,12,0),"")</f>
        <v/>
      </c>
      <c r="X888" s="14">
        <f>IFERROR(Tabela1[[#This Row],[QIANTIDADE EXPEDIDA]]*Tabela1[[#This Row],[PESO UNI]],"")</f>
        <v>0</v>
      </c>
      <c r="Y888" s="14">
        <f t="shared" si="184"/>
        <v>-1</v>
      </c>
      <c r="Z888" s="20">
        <f>Tabela1[[#This Row],[PESO TOTAL]]-Tabela1[[#This Row],[Peso Expedido]]</f>
        <v>604.79999999999995</v>
      </c>
      <c r="AA888" s="17">
        <v>1</v>
      </c>
      <c r="AB888" s="33"/>
      <c r="AC888" s="17">
        <v>1</v>
      </c>
      <c r="AD888" s="33">
        <v>1</v>
      </c>
      <c r="AE888" s="33">
        <v>1</v>
      </c>
      <c r="AF888" s="33">
        <v>1</v>
      </c>
      <c r="AG888" s="33">
        <v>1</v>
      </c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customHeight="1" x14ac:dyDescent="0.25">
      <c r="A889" s="1" t="s">
        <v>5076</v>
      </c>
      <c r="B889" s="21" t="s">
        <v>5077</v>
      </c>
      <c r="C889" s="1">
        <v>1</v>
      </c>
      <c r="D889" s="1" t="s">
        <v>5078</v>
      </c>
      <c r="E889" s="7">
        <v>4542</v>
      </c>
      <c r="F889" s="7">
        <v>19</v>
      </c>
      <c r="G889" s="1">
        <v>484.8</v>
      </c>
      <c r="H889" s="34">
        <f>Tabela1[[#This Row],[PESO UNI]]*Tabela1[[#This Row],[QTE]]</f>
        <v>484.8</v>
      </c>
      <c r="I889" s="7" t="s">
        <v>5713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 t="shared" si="181"/>
        <v>484.8</v>
      </c>
      <c r="S889" s="18">
        <f t="shared" si="182"/>
        <v>484.8</v>
      </c>
      <c r="T889" s="19">
        <f t="shared" si="183"/>
        <v>0</v>
      </c>
      <c r="U889" s="16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IFERROR(VLOOKUP(Tabela1[[#This Row],[COD.MDE]],'LISTA DE EMBARQUE'!B:M,12,0),"")</f>
        <v/>
      </c>
      <c r="X889" s="14">
        <f>IFERROR(Tabela1[[#This Row],[QIANTIDADE EXPEDIDA]]*Tabela1[[#This Row],[PESO UNI]],"")</f>
        <v>0</v>
      </c>
      <c r="Y889" s="14">
        <f t="shared" si="184"/>
        <v>-1</v>
      </c>
      <c r="Z889" s="20">
        <f>Tabela1[[#This Row],[PESO TOTAL]]-Tabela1[[#This Row],[Peso Expedido]]</f>
        <v>484.8</v>
      </c>
      <c r="AA889" s="17">
        <v>1</v>
      </c>
      <c r="AB889" s="33"/>
      <c r="AC889" s="17">
        <v>1</v>
      </c>
      <c r="AD889" s="33">
        <v>1</v>
      </c>
      <c r="AE889" s="33">
        <v>1</v>
      </c>
      <c r="AF889" s="33">
        <v>1</v>
      </c>
      <c r="AG889" s="33">
        <v>1</v>
      </c>
      <c r="AH889" s="33"/>
      <c r="AI889" s="33"/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customHeight="1" x14ac:dyDescent="0.25">
      <c r="A890" s="1" t="s">
        <v>5079</v>
      </c>
      <c r="B890" s="21" t="s">
        <v>5080</v>
      </c>
      <c r="C890" s="1">
        <v>1</v>
      </c>
      <c r="D890" s="1" t="s">
        <v>5081</v>
      </c>
      <c r="E890" s="7">
        <v>4543</v>
      </c>
      <c r="F890" s="7">
        <v>19</v>
      </c>
      <c r="G890" s="1">
        <v>1096.4000000000001</v>
      </c>
      <c r="H890" s="34">
        <f>Tabela1[[#This Row],[PESO UNI]]*Tabela1[[#This Row],[QTE]]</f>
        <v>1096.4000000000001</v>
      </c>
      <c r="I890" s="7" t="s">
        <v>5713</v>
      </c>
      <c r="J890" s="8" t="s">
        <v>4834</v>
      </c>
      <c r="K890" s="8" t="s">
        <v>4320</v>
      </c>
      <c r="L890" s="9" t="s">
        <v>3291</v>
      </c>
      <c r="M890" s="10">
        <v>46252</v>
      </c>
      <c r="N890" s="8" t="s">
        <v>38</v>
      </c>
      <c r="O890" s="12"/>
      <c r="P890" s="13"/>
      <c r="Q890" s="14">
        <f>Tabela1[[#This Row],[QTDE/ Fabricação]]-Tabela1[[#This Row],[QTE]]</f>
        <v>-1</v>
      </c>
      <c r="R890" s="18">
        <f t="shared" si="181"/>
        <v>945.6450000000001</v>
      </c>
      <c r="S890" s="18">
        <f t="shared" si="182"/>
        <v>0</v>
      </c>
      <c r="T890" s="19">
        <f t="shared" si="183"/>
        <v>-1096.4000000000001</v>
      </c>
      <c r="U890" s="16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IFERROR(VLOOKUP(Tabela1[[#This Row],[COD.MDE]],'LISTA DE EMBARQUE'!B:M,12,0),"")</f>
        <v/>
      </c>
      <c r="X890" s="14">
        <f>IFERROR(Tabela1[[#This Row],[QIANTIDADE EXPEDIDA]]*Tabela1[[#This Row],[PESO UNI]],"")</f>
        <v>0</v>
      </c>
      <c r="Y890" s="14">
        <f t="shared" si="184"/>
        <v>-1</v>
      </c>
      <c r="Z890" s="20">
        <f>Tabela1[[#This Row],[PESO TOTAL]]-Tabela1[[#This Row],[Peso Expedido]]</f>
        <v>1096.4000000000001</v>
      </c>
      <c r="AA890" s="17">
        <v>1</v>
      </c>
      <c r="AB890" s="33"/>
      <c r="AC890" s="17">
        <v>1</v>
      </c>
      <c r="AD890" s="33">
        <v>1</v>
      </c>
      <c r="AE890" s="33">
        <v>0.5</v>
      </c>
      <c r="AF890" s="33">
        <v>0.5</v>
      </c>
      <c r="AG890" s="33"/>
      <c r="AH890" s="33"/>
      <c r="AI890" s="33"/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customHeight="1" x14ac:dyDescent="0.25">
      <c r="A891" s="1" t="s">
        <v>5082</v>
      </c>
      <c r="B891" s="21" t="s">
        <v>5083</v>
      </c>
      <c r="C891" s="1">
        <v>1</v>
      </c>
      <c r="D891" s="1" t="s">
        <v>5084</v>
      </c>
      <c r="E891" s="7">
        <v>4544</v>
      </c>
      <c r="F891" s="7">
        <v>19</v>
      </c>
      <c r="G891" s="1">
        <v>289.5</v>
      </c>
      <c r="H891" s="34">
        <f>Tabela1[[#This Row],[PESO UNI]]*Tabela1[[#This Row],[QTE]]</f>
        <v>289.5</v>
      </c>
      <c r="I891" s="7" t="s">
        <v>5713</v>
      </c>
      <c r="J891" s="8" t="s">
        <v>4834</v>
      </c>
      <c r="K891" s="8" t="s">
        <v>4320</v>
      </c>
      <c r="L891" s="9" t="s">
        <v>3291</v>
      </c>
      <c r="M891" s="10">
        <v>46252</v>
      </c>
      <c r="N891" s="8" t="s">
        <v>38</v>
      </c>
      <c r="O891" s="12"/>
      <c r="P891" s="13"/>
      <c r="Q891" s="14">
        <f>Tabela1[[#This Row],[QTDE/ Fabricação]]-Tabela1[[#This Row],[QTE]]</f>
        <v>-1</v>
      </c>
      <c r="R891" s="18">
        <f t="shared" si="181"/>
        <v>249.69375000000002</v>
      </c>
      <c r="S891" s="18">
        <f t="shared" si="182"/>
        <v>0</v>
      </c>
      <c r="T891" s="19">
        <f t="shared" si="183"/>
        <v>-289.5</v>
      </c>
      <c r="U891" s="16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IFERROR(VLOOKUP(Tabela1[[#This Row],[COD.MDE]],'LISTA DE EMBARQUE'!B:M,12,0),"")</f>
        <v/>
      </c>
      <c r="X891" s="14">
        <f>IFERROR(Tabela1[[#This Row],[QIANTIDADE EXPEDIDA]]*Tabela1[[#This Row],[PESO UNI]],"")</f>
        <v>0</v>
      </c>
      <c r="Y891" s="14">
        <f t="shared" si="184"/>
        <v>-1</v>
      </c>
      <c r="Z891" s="20">
        <f>Tabela1[[#This Row],[PESO TOTAL]]-Tabela1[[#This Row],[Peso Expedido]]</f>
        <v>289.5</v>
      </c>
      <c r="AA891" s="17">
        <v>1</v>
      </c>
      <c r="AB891" s="33"/>
      <c r="AC891" s="17">
        <v>1</v>
      </c>
      <c r="AD891" s="33">
        <v>1</v>
      </c>
      <c r="AE891" s="33">
        <v>0.5</v>
      </c>
      <c r="AF891" s="33">
        <v>0.5</v>
      </c>
      <c r="AG891" s="33"/>
      <c r="AH891" s="33"/>
      <c r="AI891" s="33"/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customHeight="1" x14ac:dyDescent="0.25">
      <c r="A892" s="1" t="s">
        <v>5085</v>
      </c>
      <c r="B892" s="21" t="s">
        <v>5086</v>
      </c>
      <c r="C892" s="1">
        <v>1</v>
      </c>
      <c r="D892" s="1" t="s">
        <v>5087</v>
      </c>
      <c r="E892" s="7">
        <v>4545</v>
      </c>
      <c r="F892" s="7">
        <v>57</v>
      </c>
      <c r="G892" s="1">
        <v>763.4</v>
      </c>
      <c r="H892" s="34">
        <f>Tabela1[[#This Row],[PESO UNI]]*Tabela1[[#This Row],[QTE]]</f>
        <v>763.4</v>
      </c>
      <c r="I892" s="7">
        <v>0</v>
      </c>
      <c r="J892" s="8" t="s">
        <v>3045</v>
      </c>
      <c r="K892" s="8" t="s">
        <v>4320</v>
      </c>
      <c r="L892" s="9" t="s">
        <v>2984</v>
      </c>
      <c r="M892" s="10">
        <v>46251</v>
      </c>
      <c r="N892" s="8" t="s">
        <v>5105</v>
      </c>
      <c r="O892" s="12"/>
      <c r="P892" s="13"/>
      <c r="Q892" s="14">
        <f>Tabela1[[#This Row],[QTDE/ Fabricação]]-Tabela1[[#This Row],[QTE]]</f>
        <v>-1</v>
      </c>
      <c r="R892" s="18">
        <f t="shared" si="181"/>
        <v>637.43899999999996</v>
      </c>
      <c r="S892" s="18">
        <f t="shared" si="182"/>
        <v>267.19</v>
      </c>
      <c r="T892" s="19">
        <f t="shared" si="183"/>
        <v>-496.21</v>
      </c>
      <c r="U892" s="16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IFERROR(VLOOKUP(Tabela1[[#This Row],[COD.MDE]],'LISTA DE EMBARQUE'!B:M,12,0),"")</f>
        <v/>
      </c>
      <c r="X892" s="14">
        <f>IFERROR(Tabela1[[#This Row],[QIANTIDADE EXPEDIDA]]*Tabela1[[#This Row],[PESO UNI]],"")</f>
        <v>0</v>
      </c>
      <c r="Y892" s="14">
        <f t="shared" si="184"/>
        <v>-1</v>
      </c>
      <c r="Z892" s="20">
        <f>Tabela1[[#This Row],[PESO TOTAL]]-Tabela1[[#This Row],[Peso Expedido]]</f>
        <v>763.4</v>
      </c>
      <c r="AA892" s="17">
        <v>1</v>
      </c>
      <c r="AB892" s="33"/>
      <c r="AC892" s="33">
        <v>1</v>
      </c>
      <c r="AD892" s="33">
        <v>0.7</v>
      </c>
      <c r="AE892" s="33">
        <v>0.7</v>
      </c>
      <c r="AF892" s="33">
        <v>0.4</v>
      </c>
      <c r="AG892" s="33">
        <v>0.35</v>
      </c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customHeight="1" x14ac:dyDescent="0.25">
      <c r="A893" s="1" t="s">
        <v>5088</v>
      </c>
      <c r="B893" s="21" t="s">
        <v>5089</v>
      </c>
      <c r="C893" s="1">
        <v>1</v>
      </c>
      <c r="D893" s="1" t="s">
        <v>5090</v>
      </c>
      <c r="E893" s="7">
        <v>4546</v>
      </c>
      <c r="F893" s="7">
        <v>57</v>
      </c>
      <c r="G893" s="1">
        <v>508.5</v>
      </c>
      <c r="H893" s="34">
        <f>Tabela1[[#This Row],[PESO UNI]]*Tabela1[[#This Row],[QTE]]</f>
        <v>508.5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5105</v>
      </c>
      <c r="O893" s="12"/>
      <c r="P893" s="13"/>
      <c r="Q893" s="14">
        <f>Tabela1[[#This Row],[QTDE/ Fabricação]]-Tabela1[[#This Row],[QTE]]</f>
        <v>-1</v>
      </c>
      <c r="R893" s="18">
        <f t="shared" si="181"/>
        <v>424.59749999999997</v>
      </c>
      <c r="S893" s="18">
        <f t="shared" si="182"/>
        <v>177.97499999999999</v>
      </c>
      <c r="T893" s="19">
        <f t="shared" si="183"/>
        <v>-330.52499999999998</v>
      </c>
      <c r="U893" s="16">
        <f>IFERROR(SUMIF('LISTA DE EMBARQUE'!B:B,MICRO!E:E,'LISTA DE EMBARQUE'!G:G),"")</f>
        <v>0</v>
      </c>
      <c r="V893" s="12" t="str">
        <f>IFERROR(VLOOKUP(Tabela1[[#This Row],[COD.MDE]],'LISTA DE EMBARQUE'!B:L,11,0),"")</f>
        <v/>
      </c>
      <c r="W893" s="13" t="str">
        <f>IFERROR(VLOOKUP(Tabela1[[#This Row],[COD.MDE]],'LISTA DE EMBARQUE'!B:M,12,0),"")</f>
        <v/>
      </c>
      <c r="X893" s="14">
        <f>IFERROR(Tabela1[[#This Row],[QIANTIDADE EXPEDIDA]]*Tabela1[[#This Row],[PESO UNI]],"")</f>
        <v>0</v>
      </c>
      <c r="Y893" s="14">
        <f t="shared" si="184"/>
        <v>-1</v>
      </c>
      <c r="Z893" s="20">
        <f>Tabela1[[#This Row],[PESO TOTAL]]-Tabela1[[#This Row],[Peso Expedido]]</f>
        <v>508.5</v>
      </c>
      <c r="AA893" s="17">
        <v>1</v>
      </c>
      <c r="AB893" s="33"/>
      <c r="AC893" s="33">
        <v>1</v>
      </c>
      <c r="AD893" s="33">
        <v>0.7</v>
      </c>
      <c r="AE893" s="33">
        <v>0.7</v>
      </c>
      <c r="AF893" s="33">
        <v>0.4</v>
      </c>
      <c r="AG893" s="33">
        <v>0.35</v>
      </c>
      <c r="AH893" s="33"/>
      <c r="AI893" s="33"/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customHeight="1" x14ac:dyDescent="0.25">
      <c r="A894" s="1" t="s">
        <v>5091</v>
      </c>
      <c r="B894" s="21" t="s">
        <v>5092</v>
      </c>
      <c r="C894" s="1">
        <v>1</v>
      </c>
      <c r="D894" s="1" t="s">
        <v>5093</v>
      </c>
      <c r="E894" s="7">
        <v>4547</v>
      </c>
      <c r="F894" s="7">
        <v>57</v>
      </c>
      <c r="G894" s="1">
        <v>441.2</v>
      </c>
      <c r="H894" s="34">
        <f>Tabela1[[#This Row],[PESO UNI]]*Tabela1[[#This Row],[QTE]]</f>
        <v>441.2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5105</v>
      </c>
      <c r="O894" s="12"/>
      <c r="P894" s="13"/>
      <c r="Q894" s="14">
        <f>Tabela1[[#This Row],[QTDE/ Fabricação]]-Tabela1[[#This Row],[QTE]]</f>
        <v>-1</v>
      </c>
      <c r="R894" s="18">
        <f t="shared" si="181"/>
        <v>368.40199999999999</v>
      </c>
      <c r="S894" s="18">
        <f t="shared" si="182"/>
        <v>154.41999999999999</v>
      </c>
      <c r="T894" s="19">
        <f t="shared" si="183"/>
        <v>-286.77999999999997</v>
      </c>
      <c r="U894" s="16">
        <f>IFERROR(SUMIF('LISTA DE EMBARQUE'!B:B,MICRO!E:E,'LISTA DE EMBARQUE'!G:G),"")</f>
        <v>0</v>
      </c>
      <c r="V894" s="12" t="str">
        <f>IFERROR(VLOOKUP(Tabela1[[#This Row],[COD.MDE]],'LISTA DE EMBARQUE'!B:L,11,0),"")</f>
        <v/>
      </c>
      <c r="W894" s="13" t="str">
        <f>IFERROR(VLOOKUP(Tabela1[[#This Row],[COD.MDE]],'LISTA DE EMBARQUE'!B:M,12,0),"")</f>
        <v/>
      </c>
      <c r="X894" s="14">
        <f>IFERROR(Tabela1[[#This Row],[QIANTIDADE EXPEDIDA]]*Tabela1[[#This Row],[PESO UNI]],"")</f>
        <v>0</v>
      </c>
      <c r="Y894" s="14">
        <f t="shared" si="184"/>
        <v>-1</v>
      </c>
      <c r="Z894" s="20">
        <f>Tabela1[[#This Row],[PESO TOTAL]]-Tabela1[[#This Row],[Peso Expedido]]</f>
        <v>441.2</v>
      </c>
      <c r="AA894" s="17">
        <v>1</v>
      </c>
      <c r="AB894" s="33"/>
      <c r="AC894" s="33">
        <v>1</v>
      </c>
      <c r="AD894" s="33">
        <v>0.7</v>
      </c>
      <c r="AE894" s="33">
        <v>0.7</v>
      </c>
      <c r="AF894" s="33">
        <v>0.4</v>
      </c>
      <c r="AG894" s="33">
        <v>0.35</v>
      </c>
      <c r="AH894" s="33"/>
      <c r="AI894" s="33"/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customHeight="1" x14ac:dyDescent="0.25">
      <c r="A895" s="1" t="s">
        <v>5094</v>
      </c>
      <c r="B895" s="21" t="s">
        <v>5095</v>
      </c>
      <c r="C895" s="1">
        <v>1</v>
      </c>
      <c r="D895" s="1" t="s">
        <v>5096</v>
      </c>
      <c r="E895" s="7">
        <v>4548</v>
      </c>
      <c r="F895" s="7">
        <v>57</v>
      </c>
      <c r="G895" s="1">
        <v>725.7</v>
      </c>
      <c r="H895" s="34">
        <f>Tabela1[[#This Row],[PESO UNI]]*Tabela1[[#This Row],[QTE]]</f>
        <v>725.7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5105</v>
      </c>
      <c r="O895" s="12"/>
      <c r="P895" s="13"/>
      <c r="Q895" s="14">
        <f>Tabela1[[#This Row],[QTDE/ Fabricação]]-Tabela1[[#This Row],[QTE]]</f>
        <v>-1</v>
      </c>
      <c r="R895" s="18">
        <f t="shared" si="181"/>
        <v>605.95950000000005</v>
      </c>
      <c r="S895" s="18">
        <f t="shared" si="182"/>
        <v>253.995</v>
      </c>
      <c r="T895" s="19">
        <f t="shared" si="183"/>
        <v>-471.70500000000004</v>
      </c>
      <c r="U895" s="16">
        <f>IFERROR(SUMIF('LISTA DE EMBARQUE'!B:B,MICRO!E:E,'LISTA DE EMBARQUE'!G:G),"")</f>
        <v>0</v>
      </c>
      <c r="V895" s="12" t="str">
        <f>IFERROR(VLOOKUP(Tabela1[[#This Row],[COD.MDE]],'LISTA DE EMBARQUE'!B:L,11,0),"")</f>
        <v/>
      </c>
      <c r="W895" s="13" t="str">
        <f>IFERROR(VLOOKUP(Tabela1[[#This Row],[COD.MDE]],'LISTA DE EMBARQUE'!B:M,12,0),"")</f>
        <v/>
      </c>
      <c r="X895" s="14">
        <f>IFERROR(Tabela1[[#This Row],[QIANTIDADE EXPEDIDA]]*Tabela1[[#This Row],[PESO UNI]],"")</f>
        <v>0</v>
      </c>
      <c r="Y895" s="14">
        <f t="shared" si="184"/>
        <v>-1</v>
      </c>
      <c r="Z895" s="20">
        <f>Tabela1[[#This Row],[PESO TOTAL]]-Tabela1[[#This Row],[Peso Expedido]]</f>
        <v>725.7</v>
      </c>
      <c r="AA895" s="17">
        <v>1</v>
      </c>
      <c r="AB895" s="33"/>
      <c r="AC895" s="33">
        <v>1</v>
      </c>
      <c r="AD895" s="33">
        <v>0.7</v>
      </c>
      <c r="AE895" s="33">
        <v>0.7</v>
      </c>
      <c r="AF895" s="33">
        <v>0.4</v>
      </c>
      <c r="AG895" s="33">
        <v>0.35</v>
      </c>
      <c r="AH895" s="33"/>
      <c r="AI895" s="33"/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customHeight="1" x14ac:dyDescent="0.25">
      <c r="A896" s="1" t="s">
        <v>5097</v>
      </c>
      <c r="B896" s="21" t="s">
        <v>5098</v>
      </c>
      <c r="C896" s="1">
        <v>1</v>
      </c>
      <c r="D896" s="1" t="s">
        <v>5099</v>
      </c>
      <c r="E896" s="7">
        <v>4549</v>
      </c>
      <c r="F896" s="7">
        <v>57</v>
      </c>
      <c r="G896" s="1">
        <v>350.2</v>
      </c>
      <c r="H896" s="34">
        <f>Tabela1[[#This Row],[PESO UNI]]*Tabela1[[#This Row],[QTE]]</f>
        <v>350.2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5105</v>
      </c>
      <c r="O896" s="12"/>
      <c r="P896" s="13"/>
      <c r="Q896" s="14">
        <f>Tabela1[[#This Row],[QTDE/ Fabricação]]-Tabela1[[#This Row],[QTE]]</f>
        <v>-1</v>
      </c>
      <c r="R896" s="18">
        <f t="shared" si="181"/>
        <v>292.41699999999997</v>
      </c>
      <c r="S896" s="18">
        <f t="shared" si="182"/>
        <v>122.57</v>
      </c>
      <c r="T896" s="19">
        <f t="shared" si="183"/>
        <v>-227.63</v>
      </c>
      <c r="U896" s="16">
        <f>IFERROR(SUMIF('LISTA DE EMBARQUE'!B:B,MICRO!E:E,'LISTA DE EMBARQUE'!G:G),"")</f>
        <v>0</v>
      </c>
      <c r="V896" s="12" t="str">
        <f>IFERROR(VLOOKUP(Tabela1[[#This Row],[COD.MDE]],'LISTA DE EMBARQUE'!B:L,11,0),"")</f>
        <v/>
      </c>
      <c r="W896" s="13" t="str">
        <f>IFERROR(VLOOKUP(Tabela1[[#This Row],[COD.MDE]],'LISTA DE EMBARQUE'!B:M,12,0),"")</f>
        <v/>
      </c>
      <c r="X896" s="14">
        <f>IFERROR(Tabela1[[#This Row],[QIANTIDADE EXPEDIDA]]*Tabela1[[#This Row],[PESO UNI]],"")</f>
        <v>0</v>
      </c>
      <c r="Y896" s="14">
        <f t="shared" si="184"/>
        <v>-1</v>
      </c>
      <c r="Z896" s="20">
        <f>Tabela1[[#This Row],[PESO TOTAL]]-Tabela1[[#This Row],[Peso Expedido]]</f>
        <v>350.2</v>
      </c>
      <c r="AA896" s="17">
        <v>1</v>
      </c>
      <c r="AB896" s="33"/>
      <c r="AC896" s="33">
        <v>1</v>
      </c>
      <c r="AD896" s="33">
        <v>0.7</v>
      </c>
      <c r="AE896" s="33">
        <v>0.7</v>
      </c>
      <c r="AF896" s="33">
        <v>0.4</v>
      </c>
      <c r="AG896" s="33">
        <v>0.35</v>
      </c>
      <c r="AH896" s="33"/>
      <c r="AI896" s="33"/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customHeight="1" x14ac:dyDescent="0.25">
      <c r="A897" s="1" t="s">
        <v>5097</v>
      </c>
      <c r="B897" s="21" t="s">
        <v>5098</v>
      </c>
      <c r="C897" s="1">
        <v>3</v>
      </c>
      <c r="D897" s="1" t="s">
        <v>5100</v>
      </c>
      <c r="E897" s="7">
        <v>4550</v>
      </c>
      <c r="F897" s="7">
        <v>57</v>
      </c>
      <c r="G897" s="1">
        <v>3.1</v>
      </c>
      <c r="H897" s="34">
        <f>Tabela1[[#This Row],[PESO UNI]]*Tabela1[[#This Row],[QTE]]</f>
        <v>9.3000000000000007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5105</v>
      </c>
      <c r="O897" s="12"/>
      <c r="P897" s="13"/>
      <c r="Q897" s="14">
        <f>Tabela1[[#This Row],[QTDE/ Fabricação]]-Tabela1[[#This Row],[QTE]]</f>
        <v>-3</v>
      </c>
      <c r="R897" s="18">
        <f t="shared" si="181"/>
        <v>7.7655000000000003</v>
      </c>
      <c r="S897" s="18">
        <f t="shared" si="182"/>
        <v>3.2549999999999999</v>
      </c>
      <c r="T897" s="19">
        <f t="shared" si="183"/>
        <v>-6.0450000000000008</v>
      </c>
      <c r="U897" s="16">
        <f>IFERROR(SUMIF('LISTA DE EMBARQUE'!B:B,MICRO!E:E,'LISTA DE EMBARQUE'!G:G),"")</f>
        <v>0</v>
      </c>
      <c r="V897" s="12" t="str">
        <f>IFERROR(VLOOKUP(Tabela1[[#This Row],[COD.MDE]],'LISTA DE EMBARQUE'!B:L,11,0),"")</f>
        <v/>
      </c>
      <c r="W897" s="13" t="str">
        <f>IFERROR(VLOOKUP(Tabela1[[#This Row],[COD.MDE]],'LISTA DE EMBARQUE'!B:M,12,0),"")</f>
        <v/>
      </c>
      <c r="X897" s="14">
        <f>IFERROR(Tabela1[[#This Row],[QIANTIDADE EXPEDIDA]]*Tabela1[[#This Row],[PESO UNI]],"")</f>
        <v>0</v>
      </c>
      <c r="Y897" s="14">
        <f t="shared" si="184"/>
        <v>-3</v>
      </c>
      <c r="Z897" s="20">
        <f>Tabela1[[#This Row],[PESO TOTAL]]-Tabela1[[#This Row],[Peso Expedido]]</f>
        <v>9.3000000000000007</v>
      </c>
      <c r="AA897" s="17">
        <v>1</v>
      </c>
      <c r="AB897" s="33"/>
      <c r="AC897" s="33">
        <v>1</v>
      </c>
      <c r="AD897" s="33">
        <v>0.7</v>
      </c>
      <c r="AE897" s="33">
        <v>0.7</v>
      </c>
      <c r="AF897" s="33">
        <v>0.4</v>
      </c>
      <c r="AG897" s="33">
        <v>0.35</v>
      </c>
      <c r="AH897" s="33"/>
      <c r="AI897" s="33"/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customHeight="1" x14ac:dyDescent="0.25">
      <c r="A898" s="1" t="s">
        <v>5101</v>
      </c>
      <c r="B898" s="21" t="s">
        <v>5102</v>
      </c>
      <c r="C898" s="1">
        <v>1</v>
      </c>
      <c r="D898" s="1" t="s">
        <v>5103</v>
      </c>
      <c r="E898" s="7">
        <v>4551</v>
      </c>
      <c r="F898" s="7">
        <v>57</v>
      </c>
      <c r="G898" s="1">
        <v>33</v>
      </c>
      <c r="H898" s="34">
        <f>Tabela1[[#This Row],[PESO UNI]]*Tabela1[[#This Row],[QTE]]</f>
        <v>33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5105</v>
      </c>
      <c r="O898" s="12"/>
      <c r="P898" s="13"/>
      <c r="Q898" s="14">
        <f>Tabela1[[#This Row],[QTDE/ Fabricação]]-Tabela1[[#This Row],[QTE]]</f>
        <v>-1</v>
      </c>
      <c r="R898" s="18">
        <f t="shared" si="181"/>
        <v>27.555</v>
      </c>
      <c r="S898" s="18">
        <f t="shared" si="182"/>
        <v>11.549999999999999</v>
      </c>
      <c r="T898" s="19">
        <f t="shared" si="183"/>
        <v>-21.450000000000003</v>
      </c>
      <c r="U898" s="16">
        <f>IFERROR(SUMIF('LISTA DE EMBARQUE'!B:B,MICRO!E:E,'LISTA DE EMBARQUE'!G:G),"")</f>
        <v>0</v>
      </c>
      <c r="V898" s="12" t="str">
        <f>IFERROR(VLOOKUP(Tabela1[[#This Row],[COD.MDE]],'LISTA DE EMBARQUE'!B:L,11,0),"")</f>
        <v/>
      </c>
      <c r="W898" s="13" t="str">
        <f>IFERROR(VLOOKUP(Tabela1[[#This Row],[COD.MDE]],'LISTA DE EMBARQUE'!B:M,12,0),"")</f>
        <v/>
      </c>
      <c r="X898" s="14">
        <f>IFERROR(Tabela1[[#This Row],[QIANTIDADE EXPEDIDA]]*Tabela1[[#This Row],[PESO UNI]],"")</f>
        <v>0</v>
      </c>
      <c r="Y898" s="14">
        <f t="shared" si="184"/>
        <v>-1</v>
      </c>
      <c r="Z898" s="20">
        <f>Tabela1[[#This Row],[PESO TOTAL]]-Tabela1[[#This Row],[Peso Expedido]]</f>
        <v>33</v>
      </c>
      <c r="AA898" s="17">
        <v>1</v>
      </c>
      <c r="AB898" s="33"/>
      <c r="AC898" s="33">
        <v>1</v>
      </c>
      <c r="AD898" s="33">
        <v>0.7</v>
      </c>
      <c r="AE898" s="33">
        <v>0.7</v>
      </c>
      <c r="AF898" s="33">
        <v>0.4</v>
      </c>
      <c r="AG898" s="33">
        <v>0.35</v>
      </c>
      <c r="AH898" s="33"/>
      <c r="AI898" s="33"/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customHeight="1" x14ac:dyDescent="0.25">
      <c r="A899" s="1" t="s">
        <v>5584</v>
      </c>
      <c r="B899" s="21" t="s">
        <v>5104</v>
      </c>
      <c r="C899" s="1">
        <v>67</v>
      </c>
      <c r="D899" s="1" t="s">
        <v>5585</v>
      </c>
      <c r="E899" s="7">
        <v>4552</v>
      </c>
      <c r="F899" s="7">
        <v>57</v>
      </c>
      <c r="G899" s="1">
        <v>8.1</v>
      </c>
      <c r="H899" s="34">
        <f>Tabela1[[#This Row],[PESO UNI]]*Tabela1[[#This Row],[QTE]]</f>
        <v>542.69999999999993</v>
      </c>
      <c r="I899" s="7">
        <v>0</v>
      </c>
      <c r="J899" s="8" t="s">
        <v>3045</v>
      </c>
      <c r="K899" s="8" t="s">
        <v>44</v>
      </c>
      <c r="L899" s="9" t="s">
        <v>2984</v>
      </c>
      <c r="M899" s="10">
        <v>46251</v>
      </c>
      <c r="N899" s="8" t="s">
        <v>38</v>
      </c>
      <c r="O899" s="12"/>
      <c r="P899" s="13"/>
      <c r="Q899" s="14">
        <f>Tabela1[[#This Row],[QTDE/ Fabricação]]-Tabela1[[#This Row],[QTE]]</f>
        <v>-67</v>
      </c>
      <c r="R899" s="18">
        <f t="shared" ref="R899:R927" si="185">IFERROR(H899*((AA899*0.25)+(AC899*0.25)+(AD899*0.225)+(AE899*0.225)+(AF899*0.05)),"")</f>
        <v>135.67499999999998</v>
      </c>
      <c r="S899" s="18">
        <f t="shared" ref="S899:S927" si="186">IFERROR(H899*AG899,"")</f>
        <v>0</v>
      </c>
      <c r="T899" s="19">
        <f t="shared" ref="T899:T927" si="187">IFERROR(S899-H899,"")</f>
        <v>-542.69999999999993</v>
      </c>
      <c r="U899" s="16">
        <f>IFERROR(SUMIF('LISTA DE EMBARQUE'!B:B,MICRO!E:E,'LISTA DE EMBARQUE'!G:G),"")</f>
        <v>0</v>
      </c>
      <c r="V899" s="12" t="str">
        <f>IFERROR(VLOOKUP(Tabela1[[#This Row],[COD.MDE]],'LISTA DE EMBARQUE'!B:L,11,0),"")</f>
        <v/>
      </c>
      <c r="W899" s="13" t="str">
        <f>IFERROR(VLOOKUP(Tabela1[[#This Row],[COD.MDE]],'LISTA DE EMBARQUE'!B:M,12,0),"")</f>
        <v/>
      </c>
      <c r="X899" s="14">
        <f>IFERROR(Tabela1[[#This Row],[QIANTIDADE EXPEDIDA]]*Tabela1[[#This Row],[PESO UNI]],"")</f>
        <v>0</v>
      </c>
      <c r="Y899" s="14">
        <f t="shared" ref="Y899:Y927" si="188">U899-C899</f>
        <v>-67</v>
      </c>
      <c r="Z899" s="20">
        <f>Tabela1[[#This Row],[PESO TOTAL]]-Tabela1[[#This Row],[Peso Expedido]]</f>
        <v>542.69999999999993</v>
      </c>
      <c r="AA899" s="17">
        <v>1</v>
      </c>
      <c r="AB899" s="33"/>
      <c r="AC899" s="33"/>
      <c r="AD899" s="33"/>
      <c r="AE899" s="33"/>
      <c r="AF899" s="33"/>
      <c r="AG899" s="33"/>
      <c r="AH899" s="33"/>
      <c r="AI899" s="33"/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customHeight="1" x14ac:dyDescent="0.25">
      <c r="A900" s="1" t="s">
        <v>5584</v>
      </c>
      <c r="B900" s="21" t="s">
        <v>5104</v>
      </c>
      <c r="C900" s="1">
        <v>3</v>
      </c>
      <c r="D900" s="1" t="s">
        <v>5586</v>
      </c>
      <c r="E900" s="7">
        <v>4553</v>
      </c>
      <c r="F900" s="7">
        <v>57</v>
      </c>
      <c r="G900" s="1">
        <v>9.4</v>
      </c>
      <c r="H900" s="34">
        <f>Tabela1[[#This Row],[PESO UNI]]*Tabela1[[#This Row],[QTE]]</f>
        <v>28.200000000000003</v>
      </c>
      <c r="I900" s="7">
        <v>0</v>
      </c>
      <c r="J900" s="8" t="s">
        <v>3045</v>
      </c>
      <c r="K900" s="8" t="s">
        <v>44</v>
      </c>
      <c r="L900" s="9" t="s">
        <v>2984</v>
      </c>
      <c r="M900" s="10">
        <v>46251</v>
      </c>
      <c r="N900" s="8" t="s">
        <v>38</v>
      </c>
      <c r="O900" s="12"/>
      <c r="P900" s="13"/>
      <c r="Q900" s="14">
        <f>Tabela1[[#This Row],[QTDE/ Fabricação]]-Tabela1[[#This Row],[QTE]]</f>
        <v>-3</v>
      </c>
      <c r="R900" s="18">
        <f t="shared" si="185"/>
        <v>7.0500000000000007</v>
      </c>
      <c r="S900" s="18">
        <f t="shared" si="186"/>
        <v>0</v>
      </c>
      <c r="T900" s="19">
        <f t="shared" si="187"/>
        <v>-28.200000000000003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 t="shared" si="188"/>
        <v>-3</v>
      </c>
      <c r="Z900" s="20">
        <f>Tabela1[[#This Row],[PESO TOTAL]]-Tabela1[[#This Row],[Peso Expedido]]</f>
        <v>28.200000000000003</v>
      </c>
      <c r="AA900" s="17">
        <v>1</v>
      </c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customHeight="1" x14ac:dyDescent="0.25">
      <c r="A901" s="1" t="s">
        <v>5584</v>
      </c>
      <c r="B901" s="21" t="s">
        <v>5104</v>
      </c>
      <c r="C901" s="1">
        <v>1</v>
      </c>
      <c r="D901" s="1" t="s">
        <v>5587</v>
      </c>
      <c r="E901" s="7">
        <v>4554</v>
      </c>
      <c r="F901" s="7">
        <v>57</v>
      </c>
      <c r="G901" s="1">
        <v>5.4</v>
      </c>
      <c r="H901" s="34">
        <f>Tabela1[[#This Row],[PESO UNI]]*Tabela1[[#This Row],[QTE]]</f>
        <v>5.4</v>
      </c>
      <c r="I901" s="7">
        <v>0</v>
      </c>
      <c r="J901" s="8" t="s">
        <v>3045</v>
      </c>
      <c r="K901" s="8" t="s">
        <v>44</v>
      </c>
      <c r="L901" s="9" t="s">
        <v>2984</v>
      </c>
      <c r="M901" s="10">
        <v>46251</v>
      </c>
      <c r="N901" s="8" t="s">
        <v>38</v>
      </c>
      <c r="O901" s="12"/>
      <c r="P901" s="13"/>
      <c r="Q901" s="14">
        <f>Tabela1[[#This Row],[QTDE/ Fabricação]]-Tabela1[[#This Row],[QTE]]</f>
        <v>-1</v>
      </c>
      <c r="R901" s="18">
        <f t="shared" si="185"/>
        <v>1.35</v>
      </c>
      <c r="S901" s="18">
        <f t="shared" si="186"/>
        <v>0</v>
      </c>
      <c r="T901" s="19">
        <f t="shared" si="187"/>
        <v>-5.4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 t="shared" si="188"/>
        <v>-1</v>
      </c>
      <c r="Z901" s="20">
        <f>Tabela1[[#This Row],[PESO TOTAL]]-Tabela1[[#This Row],[Peso Expedido]]</f>
        <v>5.4</v>
      </c>
      <c r="AA901" s="17">
        <v>1</v>
      </c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customHeight="1" x14ac:dyDescent="0.25">
      <c r="A902" s="1" t="s">
        <v>5584</v>
      </c>
      <c r="B902" s="21" t="s">
        <v>5104</v>
      </c>
      <c r="C902" s="1">
        <v>6</v>
      </c>
      <c r="D902" s="1" t="s">
        <v>5588</v>
      </c>
      <c r="E902" s="7">
        <v>4800</v>
      </c>
      <c r="F902" s="7">
        <v>57</v>
      </c>
      <c r="G902" s="1">
        <v>3.9</v>
      </c>
      <c r="H902" s="34">
        <f>Tabela1[[#This Row],[PESO UNI]]*Tabela1[[#This Row],[QTE]]</f>
        <v>23.4</v>
      </c>
      <c r="I902" s="7">
        <v>0</v>
      </c>
      <c r="J902" s="8" t="s">
        <v>3045</v>
      </c>
      <c r="K902" s="8" t="s">
        <v>44</v>
      </c>
      <c r="L902" s="9" t="s">
        <v>2984</v>
      </c>
      <c r="M902" s="10">
        <v>46251</v>
      </c>
      <c r="N902" s="8" t="s">
        <v>38</v>
      </c>
      <c r="O902" s="12"/>
      <c r="P902" s="13"/>
      <c r="Q902" s="14">
        <f>Tabela1[[#This Row],[QTDE/ Fabricação]]-Tabela1[[#This Row],[QTE]]</f>
        <v>-6</v>
      </c>
      <c r="R902" s="18">
        <f t="shared" si="185"/>
        <v>5.85</v>
      </c>
      <c r="S902" s="18">
        <f t="shared" si="186"/>
        <v>0</v>
      </c>
      <c r="T902" s="19">
        <f t="shared" si="187"/>
        <v>-23.4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 t="shared" si="188"/>
        <v>-6</v>
      </c>
      <c r="Z902" s="20">
        <f>Tabela1[[#This Row],[PESO TOTAL]]-Tabela1[[#This Row],[Peso Expedido]]</f>
        <v>23.4</v>
      </c>
      <c r="AA902" s="17">
        <v>1</v>
      </c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customHeight="1" x14ac:dyDescent="0.25">
      <c r="A903" s="1" t="s">
        <v>5584</v>
      </c>
      <c r="B903" s="21" t="s">
        <v>5104</v>
      </c>
      <c r="C903" s="1">
        <v>4</v>
      </c>
      <c r="D903" s="1" t="s">
        <v>5589</v>
      </c>
      <c r="E903" s="7">
        <v>4801</v>
      </c>
      <c r="F903" s="7">
        <v>57</v>
      </c>
      <c r="G903" s="1">
        <v>2.8</v>
      </c>
      <c r="H903" s="34">
        <f>Tabela1[[#This Row],[PESO UNI]]*Tabela1[[#This Row],[QTE]]</f>
        <v>11.2</v>
      </c>
      <c r="I903" s="7">
        <v>0</v>
      </c>
      <c r="J903" s="8" t="s">
        <v>3045</v>
      </c>
      <c r="K903" s="8" t="s">
        <v>44</v>
      </c>
      <c r="L903" s="9" t="s">
        <v>2984</v>
      </c>
      <c r="M903" s="10">
        <v>46251</v>
      </c>
      <c r="N903" s="8" t="s">
        <v>38</v>
      </c>
      <c r="O903" s="12"/>
      <c r="P903" s="13"/>
      <c r="Q903" s="14">
        <f>Tabela1[[#This Row],[QTDE/ Fabricação]]-Tabela1[[#This Row],[QTE]]</f>
        <v>-4</v>
      </c>
      <c r="R903" s="18">
        <f t="shared" si="185"/>
        <v>2.8</v>
      </c>
      <c r="S903" s="18">
        <f t="shared" si="186"/>
        <v>0</v>
      </c>
      <c r="T903" s="19">
        <f t="shared" si="187"/>
        <v>-11.2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 t="shared" si="188"/>
        <v>-4</v>
      </c>
      <c r="Z903" s="20">
        <f>Tabela1[[#This Row],[PESO TOTAL]]-Tabela1[[#This Row],[Peso Expedido]]</f>
        <v>11.2</v>
      </c>
      <c r="AA903" s="17">
        <v>1</v>
      </c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customHeight="1" x14ac:dyDescent="0.25">
      <c r="A904" s="1" t="s">
        <v>5584</v>
      </c>
      <c r="B904" s="21" t="s">
        <v>5104</v>
      </c>
      <c r="C904" s="1">
        <v>2</v>
      </c>
      <c r="D904" s="1" t="s">
        <v>5590</v>
      </c>
      <c r="E904" s="7">
        <v>4802</v>
      </c>
      <c r="F904" s="7">
        <v>57</v>
      </c>
      <c r="G904" s="1">
        <v>4.7</v>
      </c>
      <c r="H904" s="34">
        <f>Tabela1[[#This Row],[PESO UNI]]*Tabela1[[#This Row],[QTE]]</f>
        <v>9.4</v>
      </c>
      <c r="I904" s="7">
        <v>0</v>
      </c>
      <c r="J904" s="8" t="s">
        <v>3045</v>
      </c>
      <c r="K904" s="8" t="s">
        <v>44</v>
      </c>
      <c r="L904" s="9" t="s">
        <v>2984</v>
      </c>
      <c r="M904" s="10">
        <v>46251</v>
      </c>
      <c r="N904" s="8" t="s">
        <v>38</v>
      </c>
      <c r="O904" s="12"/>
      <c r="P904" s="13"/>
      <c r="Q904" s="14">
        <f>Tabela1[[#This Row],[QTDE/ Fabricação]]-Tabela1[[#This Row],[QTE]]</f>
        <v>-2</v>
      </c>
      <c r="R904" s="18">
        <f t="shared" si="185"/>
        <v>2.35</v>
      </c>
      <c r="S904" s="18">
        <f t="shared" si="186"/>
        <v>0</v>
      </c>
      <c r="T904" s="19">
        <f t="shared" si="187"/>
        <v>-9.4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 t="shared" si="188"/>
        <v>-2</v>
      </c>
      <c r="Z904" s="20">
        <f>Tabela1[[#This Row],[PESO TOTAL]]-Tabela1[[#This Row],[Peso Expedido]]</f>
        <v>9.4</v>
      </c>
      <c r="AA904" s="17">
        <v>1</v>
      </c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customHeight="1" x14ac:dyDescent="0.25">
      <c r="A905" s="1" t="s">
        <v>5584</v>
      </c>
      <c r="B905" s="21" t="s">
        <v>5104</v>
      </c>
      <c r="C905" s="1">
        <v>1</v>
      </c>
      <c r="D905" s="1" t="s">
        <v>5591</v>
      </c>
      <c r="E905" s="7">
        <v>4803</v>
      </c>
      <c r="F905" s="7">
        <v>57</v>
      </c>
      <c r="G905" s="1">
        <v>11.4</v>
      </c>
      <c r="H905" s="34">
        <f>Tabela1[[#This Row],[PESO UNI]]*Tabela1[[#This Row],[QTE]]</f>
        <v>11.4</v>
      </c>
      <c r="I905" s="7">
        <v>0</v>
      </c>
      <c r="J905" s="8" t="s">
        <v>3045</v>
      </c>
      <c r="K905" s="8" t="s">
        <v>44</v>
      </c>
      <c r="L905" s="9" t="s">
        <v>2984</v>
      </c>
      <c r="M905" s="10">
        <v>46251</v>
      </c>
      <c r="N905" s="8" t="s">
        <v>38</v>
      </c>
      <c r="O905" s="12"/>
      <c r="P905" s="13"/>
      <c r="Q905" s="14">
        <f>Tabela1[[#This Row],[QTDE/ Fabricação]]-Tabela1[[#This Row],[QTE]]</f>
        <v>-1</v>
      </c>
      <c r="R905" s="18">
        <f t="shared" si="185"/>
        <v>2.85</v>
      </c>
      <c r="S905" s="18">
        <f t="shared" si="186"/>
        <v>0</v>
      </c>
      <c r="T905" s="19">
        <f t="shared" si="187"/>
        <v>-11.4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 t="shared" si="188"/>
        <v>-1</v>
      </c>
      <c r="Z905" s="20">
        <f>Tabela1[[#This Row],[PESO TOTAL]]-Tabela1[[#This Row],[Peso Expedido]]</f>
        <v>11.4</v>
      </c>
      <c r="AA905" s="17">
        <v>1</v>
      </c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customHeight="1" x14ac:dyDescent="0.25">
      <c r="A906" s="1" t="s">
        <v>5584</v>
      </c>
      <c r="B906" s="21" t="s">
        <v>5104</v>
      </c>
      <c r="C906" s="1">
        <v>1</v>
      </c>
      <c r="D906" s="1" t="s">
        <v>5592</v>
      </c>
      <c r="E906" s="7">
        <v>4804</v>
      </c>
      <c r="F906" s="7">
        <v>57</v>
      </c>
      <c r="G906" s="1">
        <v>4.3</v>
      </c>
      <c r="H906" s="34">
        <f>Tabela1[[#This Row],[PESO UNI]]*Tabela1[[#This Row],[QTE]]</f>
        <v>4.3</v>
      </c>
      <c r="I906" s="7">
        <v>0</v>
      </c>
      <c r="J906" s="8" t="s">
        <v>3045</v>
      </c>
      <c r="K906" s="8" t="s">
        <v>44</v>
      </c>
      <c r="L906" s="9" t="s">
        <v>2984</v>
      </c>
      <c r="M906" s="10">
        <v>46251</v>
      </c>
      <c r="N906" s="8" t="s">
        <v>38</v>
      </c>
      <c r="O906" s="12"/>
      <c r="P906" s="13"/>
      <c r="Q906" s="14">
        <f>Tabela1[[#This Row],[QTDE/ Fabricação]]-Tabela1[[#This Row],[QTE]]</f>
        <v>-1</v>
      </c>
      <c r="R906" s="18">
        <f t="shared" si="185"/>
        <v>1.075</v>
      </c>
      <c r="S906" s="18">
        <f t="shared" si="186"/>
        <v>0</v>
      </c>
      <c r="T906" s="19">
        <f t="shared" si="187"/>
        <v>-4.3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 t="shared" si="188"/>
        <v>-1</v>
      </c>
      <c r="Z906" s="20">
        <f>Tabela1[[#This Row],[PESO TOTAL]]-Tabela1[[#This Row],[Peso Expedido]]</f>
        <v>4.3</v>
      </c>
      <c r="AA906" s="17">
        <v>1</v>
      </c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customHeight="1" x14ac:dyDescent="0.25">
      <c r="A907" s="1" t="s">
        <v>5584</v>
      </c>
      <c r="B907" s="21" t="s">
        <v>5104</v>
      </c>
      <c r="C907" s="1">
        <v>1</v>
      </c>
      <c r="D907" s="1" t="s">
        <v>5593</v>
      </c>
      <c r="E907" s="7">
        <v>4805</v>
      </c>
      <c r="F907" s="7">
        <v>57</v>
      </c>
      <c r="G907" s="1">
        <v>5.2</v>
      </c>
      <c r="H907" s="34">
        <f>Tabela1[[#This Row],[PESO UNI]]*Tabela1[[#This Row],[QTE]]</f>
        <v>5.2</v>
      </c>
      <c r="I907" s="7">
        <v>0</v>
      </c>
      <c r="J907" s="8" t="s">
        <v>3045</v>
      </c>
      <c r="K907" s="8" t="s">
        <v>44</v>
      </c>
      <c r="L907" s="9" t="s">
        <v>2984</v>
      </c>
      <c r="M907" s="10">
        <v>46251</v>
      </c>
      <c r="N907" s="8" t="s">
        <v>38</v>
      </c>
      <c r="O907" s="12"/>
      <c r="P907" s="13"/>
      <c r="Q907" s="14">
        <f>Tabela1[[#This Row],[QTDE/ Fabricação]]-Tabela1[[#This Row],[QTE]]</f>
        <v>-1</v>
      </c>
      <c r="R907" s="18">
        <f t="shared" si="185"/>
        <v>1.3</v>
      </c>
      <c r="S907" s="18">
        <f t="shared" si="186"/>
        <v>0</v>
      </c>
      <c r="T907" s="19">
        <f t="shared" si="187"/>
        <v>-5.2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 t="shared" si="188"/>
        <v>-1</v>
      </c>
      <c r="Z907" s="20">
        <f>Tabela1[[#This Row],[PESO TOTAL]]-Tabela1[[#This Row],[Peso Expedido]]</f>
        <v>5.2</v>
      </c>
      <c r="AA907" s="17">
        <v>1</v>
      </c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customHeight="1" x14ac:dyDescent="0.25">
      <c r="A908" s="1" t="s">
        <v>5584</v>
      </c>
      <c r="B908" s="21" t="s">
        <v>5104</v>
      </c>
      <c r="C908" s="1">
        <v>1</v>
      </c>
      <c r="D908" s="1" t="s">
        <v>5594</v>
      </c>
      <c r="E908" s="7">
        <v>4806</v>
      </c>
      <c r="F908" s="7">
        <v>57</v>
      </c>
      <c r="G908" s="1">
        <v>6.2</v>
      </c>
      <c r="H908" s="34">
        <f>Tabela1[[#This Row],[PESO UNI]]*Tabela1[[#This Row],[QTE]]</f>
        <v>6.2</v>
      </c>
      <c r="I908" s="7">
        <v>0</v>
      </c>
      <c r="J908" s="8" t="s">
        <v>3045</v>
      </c>
      <c r="K908" s="8" t="s">
        <v>44</v>
      </c>
      <c r="L908" s="9" t="s">
        <v>2984</v>
      </c>
      <c r="M908" s="10">
        <v>46251</v>
      </c>
      <c r="N908" s="8" t="s">
        <v>38</v>
      </c>
      <c r="O908" s="12"/>
      <c r="P908" s="13"/>
      <c r="Q908" s="14">
        <f>Tabela1[[#This Row],[QTDE/ Fabricação]]-Tabela1[[#This Row],[QTE]]</f>
        <v>-1</v>
      </c>
      <c r="R908" s="18">
        <f t="shared" si="185"/>
        <v>1.55</v>
      </c>
      <c r="S908" s="18">
        <f t="shared" si="186"/>
        <v>0</v>
      </c>
      <c r="T908" s="19">
        <f t="shared" si="187"/>
        <v>-6.2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 t="shared" si="188"/>
        <v>-1</v>
      </c>
      <c r="Z908" s="20">
        <f>Tabela1[[#This Row],[PESO TOTAL]]-Tabela1[[#This Row],[Peso Expedido]]</f>
        <v>6.2</v>
      </c>
      <c r="AA908" s="17">
        <v>1</v>
      </c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customHeight="1" x14ac:dyDescent="0.25">
      <c r="A909" s="1" t="s">
        <v>5584</v>
      </c>
      <c r="B909" s="21" t="s">
        <v>5104</v>
      </c>
      <c r="C909" s="1">
        <v>1</v>
      </c>
      <c r="D909" s="1" t="s">
        <v>5595</v>
      </c>
      <c r="E909" s="7">
        <v>4807</v>
      </c>
      <c r="F909" s="7">
        <v>57</v>
      </c>
      <c r="G909" s="1">
        <v>7.1</v>
      </c>
      <c r="H909" s="34">
        <f>Tabela1[[#This Row],[PESO UNI]]*Tabela1[[#This Row],[QTE]]</f>
        <v>7.1</v>
      </c>
      <c r="I909" s="7">
        <v>0</v>
      </c>
      <c r="J909" s="8" t="s">
        <v>3045</v>
      </c>
      <c r="K909" s="8" t="s">
        <v>44</v>
      </c>
      <c r="L909" s="9" t="s">
        <v>2984</v>
      </c>
      <c r="M909" s="10">
        <v>46251</v>
      </c>
      <c r="N909" s="8" t="s">
        <v>38</v>
      </c>
      <c r="O909" s="12"/>
      <c r="P909" s="13"/>
      <c r="Q909" s="14">
        <f>Tabela1[[#This Row],[QTDE/ Fabricação]]-Tabela1[[#This Row],[QTE]]</f>
        <v>-1</v>
      </c>
      <c r="R909" s="18">
        <f t="shared" si="185"/>
        <v>1.7749999999999999</v>
      </c>
      <c r="S909" s="18">
        <f t="shared" si="186"/>
        <v>0</v>
      </c>
      <c r="T909" s="19">
        <f t="shared" si="187"/>
        <v>-7.1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 t="shared" si="188"/>
        <v>-1</v>
      </c>
      <c r="Z909" s="20">
        <f>Tabela1[[#This Row],[PESO TOTAL]]-Tabela1[[#This Row],[Peso Expedido]]</f>
        <v>7.1</v>
      </c>
      <c r="AA909" s="17">
        <v>1</v>
      </c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customHeight="1" x14ac:dyDescent="0.25">
      <c r="A910" s="1" t="s">
        <v>5584</v>
      </c>
      <c r="B910" s="21" t="s">
        <v>5104</v>
      </c>
      <c r="C910" s="1">
        <v>1</v>
      </c>
      <c r="D910" s="1" t="s">
        <v>5596</v>
      </c>
      <c r="E910" s="7">
        <v>4808</v>
      </c>
      <c r="F910" s="7">
        <v>57</v>
      </c>
      <c r="G910" s="1">
        <v>13.5</v>
      </c>
      <c r="H910" s="34">
        <f>Tabela1[[#This Row],[PESO UNI]]*Tabela1[[#This Row],[QTE]]</f>
        <v>13.5</v>
      </c>
      <c r="I910" s="7">
        <v>0</v>
      </c>
      <c r="J910" s="8" t="s">
        <v>3045</v>
      </c>
      <c r="K910" s="8" t="s">
        <v>44</v>
      </c>
      <c r="L910" s="9" t="s">
        <v>2984</v>
      </c>
      <c r="M910" s="10">
        <v>46251</v>
      </c>
      <c r="N910" s="8" t="s">
        <v>38</v>
      </c>
      <c r="O910" s="12"/>
      <c r="P910" s="13"/>
      <c r="Q910" s="14">
        <f>Tabela1[[#This Row],[QTDE/ Fabricação]]-Tabela1[[#This Row],[QTE]]</f>
        <v>-1</v>
      </c>
      <c r="R910" s="18">
        <f t="shared" si="185"/>
        <v>3.375</v>
      </c>
      <c r="S910" s="18">
        <f t="shared" si="186"/>
        <v>0</v>
      </c>
      <c r="T910" s="19">
        <f t="shared" si="187"/>
        <v>-13.5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 t="shared" si="188"/>
        <v>-1</v>
      </c>
      <c r="Z910" s="20">
        <f>Tabela1[[#This Row],[PESO TOTAL]]-Tabela1[[#This Row],[Peso Expedido]]</f>
        <v>13.5</v>
      </c>
      <c r="AA910" s="17">
        <v>1</v>
      </c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customHeight="1" x14ac:dyDescent="0.25">
      <c r="A911" s="1" t="s">
        <v>5584</v>
      </c>
      <c r="B911" s="21" t="s">
        <v>5104</v>
      </c>
      <c r="C911" s="1">
        <v>1</v>
      </c>
      <c r="D911" s="1" t="s">
        <v>5597</v>
      </c>
      <c r="E911" s="7">
        <v>4809</v>
      </c>
      <c r="F911" s="7">
        <v>57</v>
      </c>
      <c r="G911" s="1">
        <v>6.5</v>
      </c>
      <c r="H911" s="34">
        <f>Tabela1[[#This Row],[PESO UNI]]*Tabela1[[#This Row],[QTE]]</f>
        <v>6.5</v>
      </c>
      <c r="I911" s="7">
        <v>0</v>
      </c>
      <c r="J911" s="8" t="s">
        <v>3045</v>
      </c>
      <c r="K911" s="8" t="s">
        <v>44</v>
      </c>
      <c r="L911" s="9" t="s">
        <v>2984</v>
      </c>
      <c r="M911" s="10">
        <v>46251</v>
      </c>
      <c r="N911" s="8" t="s">
        <v>38</v>
      </c>
      <c r="O911" s="12"/>
      <c r="P911" s="13"/>
      <c r="Q911" s="14">
        <f>Tabela1[[#This Row],[QTDE/ Fabricação]]-Tabela1[[#This Row],[QTE]]</f>
        <v>-1</v>
      </c>
      <c r="R911" s="18">
        <f t="shared" si="185"/>
        <v>1.625</v>
      </c>
      <c r="S911" s="18">
        <f t="shared" si="186"/>
        <v>0</v>
      </c>
      <c r="T911" s="19">
        <f t="shared" si="187"/>
        <v>-6.5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 t="shared" si="188"/>
        <v>-1</v>
      </c>
      <c r="Z911" s="20">
        <f>Tabela1[[#This Row],[PESO TOTAL]]-Tabela1[[#This Row],[Peso Expedido]]</f>
        <v>6.5</v>
      </c>
      <c r="AA911" s="17">
        <v>1</v>
      </c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customHeight="1" x14ac:dyDescent="0.25">
      <c r="A912" s="1" t="s">
        <v>5584</v>
      </c>
      <c r="B912" s="21" t="s">
        <v>5104</v>
      </c>
      <c r="C912" s="1">
        <v>1</v>
      </c>
      <c r="D912" s="1" t="s">
        <v>5598</v>
      </c>
      <c r="E912" s="7">
        <v>4810</v>
      </c>
      <c r="F912" s="7">
        <v>57</v>
      </c>
      <c r="G912" s="1">
        <v>7.3</v>
      </c>
      <c r="H912" s="34">
        <f>Tabela1[[#This Row],[PESO UNI]]*Tabela1[[#This Row],[QTE]]</f>
        <v>7.3</v>
      </c>
      <c r="I912" s="7">
        <v>0</v>
      </c>
      <c r="J912" s="8" t="s">
        <v>3045</v>
      </c>
      <c r="K912" s="8" t="s">
        <v>44</v>
      </c>
      <c r="L912" s="9" t="s">
        <v>2984</v>
      </c>
      <c r="M912" s="10">
        <v>46251</v>
      </c>
      <c r="N912" s="8" t="s">
        <v>38</v>
      </c>
      <c r="O912" s="12"/>
      <c r="P912" s="13"/>
      <c r="Q912" s="14">
        <f>Tabela1[[#This Row],[QTDE/ Fabricação]]-Tabela1[[#This Row],[QTE]]</f>
        <v>-1</v>
      </c>
      <c r="R912" s="18">
        <f t="shared" si="185"/>
        <v>1.825</v>
      </c>
      <c r="S912" s="18">
        <f t="shared" si="186"/>
        <v>0</v>
      </c>
      <c r="T912" s="19">
        <f t="shared" si="187"/>
        <v>-7.3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 t="shared" si="188"/>
        <v>-1</v>
      </c>
      <c r="Z912" s="20">
        <f>Tabela1[[#This Row],[PESO TOTAL]]-Tabela1[[#This Row],[Peso Expedido]]</f>
        <v>7.3</v>
      </c>
      <c r="AA912" s="17">
        <v>1</v>
      </c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customHeight="1" x14ac:dyDescent="0.25">
      <c r="A913" s="1" t="s">
        <v>5584</v>
      </c>
      <c r="B913" s="21" t="s">
        <v>5104</v>
      </c>
      <c r="C913" s="1">
        <v>1</v>
      </c>
      <c r="D913" s="1" t="s">
        <v>5599</v>
      </c>
      <c r="E913" s="7">
        <v>4811</v>
      </c>
      <c r="F913" s="7">
        <v>57</v>
      </c>
      <c r="G913" s="1">
        <v>5.3</v>
      </c>
      <c r="H913" s="34">
        <f>Tabela1[[#This Row],[PESO UNI]]*Tabela1[[#This Row],[QTE]]</f>
        <v>5.3</v>
      </c>
      <c r="I913" s="7">
        <v>0</v>
      </c>
      <c r="J913" s="8" t="s">
        <v>3045</v>
      </c>
      <c r="K913" s="8" t="s">
        <v>44</v>
      </c>
      <c r="L913" s="9" t="s">
        <v>2984</v>
      </c>
      <c r="M913" s="10">
        <v>46251</v>
      </c>
      <c r="N913" s="8" t="s">
        <v>38</v>
      </c>
      <c r="O913" s="12"/>
      <c r="P913" s="13"/>
      <c r="Q913" s="14">
        <f>Tabela1[[#This Row],[QTDE/ Fabricação]]-Tabela1[[#This Row],[QTE]]</f>
        <v>-1</v>
      </c>
      <c r="R913" s="18">
        <f t="shared" si="185"/>
        <v>1.325</v>
      </c>
      <c r="S913" s="18">
        <f t="shared" si="186"/>
        <v>0</v>
      </c>
      <c r="T913" s="19">
        <f t="shared" si="187"/>
        <v>-5.3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 t="shared" si="188"/>
        <v>-1</v>
      </c>
      <c r="Z913" s="20">
        <f>Tabela1[[#This Row],[PESO TOTAL]]-Tabela1[[#This Row],[Peso Expedido]]</f>
        <v>5.3</v>
      </c>
      <c r="AA913" s="17">
        <v>1</v>
      </c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customHeight="1" x14ac:dyDescent="0.25">
      <c r="A914" s="1" t="s">
        <v>5584</v>
      </c>
      <c r="B914" s="21" t="s">
        <v>5104</v>
      </c>
      <c r="C914" s="1">
        <v>2</v>
      </c>
      <c r="D914" s="1" t="s">
        <v>5600</v>
      </c>
      <c r="E914" s="7">
        <v>4812</v>
      </c>
      <c r="F914" s="7">
        <v>57</v>
      </c>
      <c r="G914" s="1">
        <v>12.2</v>
      </c>
      <c r="H914" s="34">
        <f>Tabela1[[#This Row],[PESO UNI]]*Tabela1[[#This Row],[QTE]]</f>
        <v>24.4</v>
      </c>
      <c r="I914" s="7">
        <v>0</v>
      </c>
      <c r="J914" s="8" t="s">
        <v>3045</v>
      </c>
      <c r="K914" s="8" t="s">
        <v>44</v>
      </c>
      <c r="L914" s="9" t="s">
        <v>2984</v>
      </c>
      <c r="M914" s="10">
        <v>46251</v>
      </c>
      <c r="N914" s="8" t="s">
        <v>38</v>
      </c>
      <c r="O914" s="12"/>
      <c r="P914" s="13"/>
      <c r="Q914" s="14">
        <f>Tabela1[[#This Row],[QTDE/ Fabricação]]-Tabela1[[#This Row],[QTE]]</f>
        <v>-2</v>
      </c>
      <c r="R914" s="18">
        <f t="shared" si="185"/>
        <v>6.1</v>
      </c>
      <c r="S914" s="18">
        <f t="shared" si="186"/>
        <v>0</v>
      </c>
      <c r="T914" s="19">
        <f t="shared" si="187"/>
        <v>-24.4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 t="shared" si="188"/>
        <v>-2</v>
      </c>
      <c r="Z914" s="20">
        <f>Tabela1[[#This Row],[PESO TOTAL]]-Tabela1[[#This Row],[Peso Expedido]]</f>
        <v>24.4</v>
      </c>
      <c r="AA914" s="17">
        <v>1</v>
      </c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customHeight="1" x14ac:dyDescent="0.25">
      <c r="A915" s="1" t="s">
        <v>5584</v>
      </c>
      <c r="B915" s="21" t="s">
        <v>5104</v>
      </c>
      <c r="C915" s="1">
        <v>2</v>
      </c>
      <c r="D915" s="1" t="s">
        <v>5601</v>
      </c>
      <c r="E915" s="7">
        <v>4813</v>
      </c>
      <c r="F915" s="7">
        <v>57</v>
      </c>
      <c r="G915" s="1">
        <v>11.4</v>
      </c>
      <c r="H915" s="34">
        <f>Tabela1[[#This Row],[PESO UNI]]*Tabela1[[#This Row],[QTE]]</f>
        <v>22.8</v>
      </c>
      <c r="I915" s="7">
        <v>0</v>
      </c>
      <c r="J915" s="8" t="s">
        <v>3045</v>
      </c>
      <c r="K915" s="8" t="s">
        <v>44</v>
      </c>
      <c r="L915" s="9" t="s">
        <v>2984</v>
      </c>
      <c r="M915" s="10">
        <v>46251</v>
      </c>
      <c r="N915" s="8" t="s">
        <v>38</v>
      </c>
      <c r="O915" s="12"/>
      <c r="P915" s="13"/>
      <c r="Q915" s="14">
        <f>Tabela1[[#This Row],[QTDE/ Fabricação]]-Tabela1[[#This Row],[QTE]]</f>
        <v>-2</v>
      </c>
      <c r="R915" s="18">
        <f t="shared" si="185"/>
        <v>5.7</v>
      </c>
      <c r="S915" s="18">
        <f t="shared" si="186"/>
        <v>0</v>
      </c>
      <c r="T915" s="19">
        <f t="shared" si="187"/>
        <v>-22.8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 t="shared" si="188"/>
        <v>-2</v>
      </c>
      <c r="Z915" s="20">
        <f>Tabela1[[#This Row],[PESO TOTAL]]-Tabela1[[#This Row],[Peso Expedido]]</f>
        <v>22.8</v>
      </c>
      <c r="AA915" s="17">
        <v>1</v>
      </c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customHeight="1" x14ac:dyDescent="0.25">
      <c r="A916" s="1" t="s">
        <v>5584</v>
      </c>
      <c r="B916" s="21" t="s">
        <v>5104</v>
      </c>
      <c r="C916" s="1">
        <v>2</v>
      </c>
      <c r="D916" s="1" t="s">
        <v>5602</v>
      </c>
      <c r="E916" s="7">
        <v>4814</v>
      </c>
      <c r="F916" s="7">
        <v>57</v>
      </c>
      <c r="G916" s="1">
        <v>10.5</v>
      </c>
      <c r="H916" s="34">
        <f>Tabela1[[#This Row],[PESO UNI]]*Tabela1[[#This Row],[QTE]]</f>
        <v>21</v>
      </c>
      <c r="I916" s="7">
        <v>0</v>
      </c>
      <c r="J916" s="8" t="s">
        <v>3045</v>
      </c>
      <c r="K916" s="8" t="s">
        <v>44</v>
      </c>
      <c r="L916" s="9" t="s">
        <v>2984</v>
      </c>
      <c r="M916" s="10">
        <v>46251</v>
      </c>
      <c r="N916" s="8" t="s">
        <v>38</v>
      </c>
      <c r="O916" s="12"/>
      <c r="P916" s="13"/>
      <c r="Q916" s="14">
        <f>Tabela1[[#This Row],[QTDE/ Fabricação]]-Tabela1[[#This Row],[QTE]]</f>
        <v>-2</v>
      </c>
      <c r="R916" s="18">
        <f t="shared" si="185"/>
        <v>5.25</v>
      </c>
      <c r="S916" s="18">
        <f t="shared" si="186"/>
        <v>0</v>
      </c>
      <c r="T916" s="19">
        <f t="shared" si="187"/>
        <v>-21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 t="shared" si="188"/>
        <v>-2</v>
      </c>
      <c r="Z916" s="20">
        <f>Tabela1[[#This Row],[PESO TOTAL]]-Tabela1[[#This Row],[Peso Expedido]]</f>
        <v>21</v>
      </c>
      <c r="AA916" s="17">
        <v>1</v>
      </c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customHeight="1" x14ac:dyDescent="0.25">
      <c r="A917" s="1" t="s">
        <v>5584</v>
      </c>
      <c r="B917" s="21" t="s">
        <v>5104</v>
      </c>
      <c r="C917" s="1">
        <v>2</v>
      </c>
      <c r="D917" s="1" t="s">
        <v>5603</v>
      </c>
      <c r="E917" s="7">
        <v>4815</v>
      </c>
      <c r="F917" s="7">
        <v>57</v>
      </c>
      <c r="G917" s="1">
        <v>12.9</v>
      </c>
      <c r="H917" s="34">
        <f>Tabela1[[#This Row],[PESO UNI]]*Tabela1[[#This Row],[QTE]]</f>
        <v>25.8</v>
      </c>
      <c r="I917" s="7">
        <v>0</v>
      </c>
      <c r="J917" s="8" t="s">
        <v>3045</v>
      </c>
      <c r="K917" s="8" t="s">
        <v>44</v>
      </c>
      <c r="L917" s="9" t="s">
        <v>2984</v>
      </c>
      <c r="M917" s="10">
        <v>46251</v>
      </c>
      <c r="N917" s="8" t="s">
        <v>38</v>
      </c>
      <c r="O917" s="12"/>
      <c r="P917" s="13"/>
      <c r="Q917" s="14">
        <f>Tabela1[[#This Row],[QTDE/ Fabricação]]-Tabela1[[#This Row],[QTE]]</f>
        <v>-2</v>
      </c>
      <c r="R917" s="18">
        <f t="shared" si="185"/>
        <v>6.45</v>
      </c>
      <c r="S917" s="18">
        <f t="shared" si="186"/>
        <v>0</v>
      </c>
      <c r="T917" s="19">
        <f t="shared" si="187"/>
        <v>-25.8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 t="shared" si="188"/>
        <v>-2</v>
      </c>
      <c r="Z917" s="20">
        <f>Tabela1[[#This Row],[PESO TOTAL]]-Tabela1[[#This Row],[Peso Expedido]]</f>
        <v>25.8</v>
      </c>
      <c r="AA917" s="17">
        <v>1</v>
      </c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customHeight="1" x14ac:dyDescent="0.25">
      <c r="A918" s="1" t="s">
        <v>5584</v>
      </c>
      <c r="B918" s="21" t="s">
        <v>5104</v>
      </c>
      <c r="C918" s="1">
        <v>2</v>
      </c>
      <c r="D918" s="1" t="s">
        <v>5604</v>
      </c>
      <c r="E918" s="7">
        <v>4816</v>
      </c>
      <c r="F918" s="7">
        <v>57</v>
      </c>
      <c r="G918" s="1">
        <v>11.4</v>
      </c>
      <c r="H918" s="34">
        <f>Tabela1[[#This Row],[PESO UNI]]*Tabela1[[#This Row],[QTE]]</f>
        <v>22.8</v>
      </c>
      <c r="I918" s="7">
        <v>0</v>
      </c>
      <c r="J918" s="8" t="s">
        <v>3045</v>
      </c>
      <c r="K918" s="8" t="s">
        <v>44</v>
      </c>
      <c r="L918" s="9" t="s">
        <v>2984</v>
      </c>
      <c r="M918" s="10">
        <v>46251</v>
      </c>
      <c r="N918" s="8" t="s">
        <v>38</v>
      </c>
      <c r="O918" s="12"/>
      <c r="P918" s="13"/>
      <c r="Q918" s="14">
        <f>Tabela1[[#This Row],[QTDE/ Fabricação]]-Tabela1[[#This Row],[QTE]]</f>
        <v>-2</v>
      </c>
      <c r="R918" s="18">
        <f t="shared" si="185"/>
        <v>5.7</v>
      </c>
      <c r="S918" s="18">
        <f t="shared" si="186"/>
        <v>0</v>
      </c>
      <c r="T918" s="19">
        <f t="shared" si="187"/>
        <v>-22.8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 t="shared" si="188"/>
        <v>-2</v>
      </c>
      <c r="Z918" s="20">
        <f>Tabela1[[#This Row],[PESO TOTAL]]-Tabela1[[#This Row],[Peso Expedido]]</f>
        <v>22.8</v>
      </c>
      <c r="AA918" s="17">
        <v>1</v>
      </c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customHeight="1" x14ac:dyDescent="0.25">
      <c r="A919" s="1" t="s">
        <v>5584</v>
      </c>
      <c r="B919" s="21" t="s">
        <v>5104</v>
      </c>
      <c r="C919" s="1">
        <v>2</v>
      </c>
      <c r="D919" s="1" t="s">
        <v>5605</v>
      </c>
      <c r="E919" s="7">
        <v>4817</v>
      </c>
      <c r="F919" s="7">
        <v>57</v>
      </c>
      <c r="G919" s="1">
        <v>4.7</v>
      </c>
      <c r="H919" s="34">
        <f>Tabela1[[#This Row],[PESO UNI]]*Tabela1[[#This Row],[QTE]]</f>
        <v>9.4</v>
      </c>
      <c r="I919" s="7">
        <v>0</v>
      </c>
      <c r="J919" s="8" t="s">
        <v>3045</v>
      </c>
      <c r="K919" s="8" t="s">
        <v>44</v>
      </c>
      <c r="L919" s="9" t="s">
        <v>2984</v>
      </c>
      <c r="M919" s="10">
        <v>46251</v>
      </c>
      <c r="N919" s="8" t="s">
        <v>38</v>
      </c>
      <c r="O919" s="12"/>
      <c r="P919" s="13"/>
      <c r="Q919" s="14">
        <f>Tabela1[[#This Row],[QTDE/ Fabricação]]-Tabela1[[#This Row],[QTE]]</f>
        <v>-2</v>
      </c>
      <c r="R919" s="18">
        <f t="shared" si="185"/>
        <v>2.35</v>
      </c>
      <c r="S919" s="18">
        <f t="shared" si="186"/>
        <v>0</v>
      </c>
      <c r="T919" s="19">
        <f t="shared" si="187"/>
        <v>-9.4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 t="shared" si="188"/>
        <v>-2</v>
      </c>
      <c r="Z919" s="20">
        <f>Tabela1[[#This Row],[PESO TOTAL]]-Tabela1[[#This Row],[Peso Expedido]]</f>
        <v>9.4</v>
      </c>
      <c r="AA919" s="17">
        <v>1</v>
      </c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customHeight="1" x14ac:dyDescent="0.25">
      <c r="A920" s="1" t="s">
        <v>5584</v>
      </c>
      <c r="B920" s="21" t="s">
        <v>5104</v>
      </c>
      <c r="C920" s="1">
        <v>2</v>
      </c>
      <c r="D920" s="1" t="s">
        <v>5606</v>
      </c>
      <c r="E920" s="7">
        <v>4818</v>
      </c>
      <c r="F920" s="7">
        <v>57</v>
      </c>
      <c r="G920" s="1">
        <v>14.8</v>
      </c>
      <c r="H920" s="34">
        <f>Tabela1[[#This Row],[PESO UNI]]*Tabela1[[#This Row],[QTE]]</f>
        <v>29.6</v>
      </c>
      <c r="I920" s="7">
        <v>0</v>
      </c>
      <c r="J920" s="8" t="s">
        <v>3045</v>
      </c>
      <c r="K920" s="8" t="s">
        <v>44</v>
      </c>
      <c r="L920" s="9" t="s">
        <v>2984</v>
      </c>
      <c r="M920" s="10">
        <v>46251</v>
      </c>
      <c r="N920" s="8" t="s">
        <v>38</v>
      </c>
      <c r="O920" s="12"/>
      <c r="P920" s="13"/>
      <c r="Q920" s="14">
        <f>Tabela1[[#This Row],[QTDE/ Fabricação]]-Tabela1[[#This Row],[QTE]]</f>
        <v>-2</v>
      </c>
      <c r="R920" s="18">
        <f t="shared" si="185"/>
        <v>7.4</v>
      </c>
      <c r="S920" s="18">
        <f t="shared" si="186"/>
        <v>0</v>
      </c>
      <c r="T920" s="19">
        <f t="shared" si="187"/>
        <v>-29.6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 t="shared" si="188"/>
        <v>-2</v>
      </c>
      <c r="Z920" s="20">
        <f>Tabela1[[#This Row],[PESO TOTAL]]-Tabela1[[#This Row],[Peso Expedido]]</f>
        <v>29.6</v>
      </c>
      <c r="AA920" s="17">
        <v>1</v>
      </c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customHeight="1" x14ac:dyDescent="0.25">
      <c r="A921" s="1" t="s">
        <v>5584</v>
      </c>
      <c r="B921" s="21" t="s">
        <v>5104</v>
      </c>
      <c r="C921" s="1">
        <v>2</v>
      </c>
      <c r="D921" s="1" t="s">
        <v>5607</v>
      </c>
      <c r="E921" s="7">
        <v>4819</v>
      </c>
      <c r="F921" s="7">
        <v>57</v>
      </c>
      <c r="G921" s="1">
        <v>10.9</v>
      </c>
      <c r="H921" s="34">
        <f>Tabela1[[#This Row],[PESO UNI]]*Tabela1[[#This Row],[QTE]]</f>
        <v>21.8</v>
      </c>
      <c r="I921" s="7">
        <v>0</v>
      </c>
      <c r="J921" s="8" t="s">
        <v>3045</v>
      </c>
      <c r="K921" s="8" t="s">
        <v>44</v>
      </c>
      <c r="L921" s="9" t="s">
        <v>2984</v>
      </c>
      <c r="M921" s="10">
        <v>46251</v>
      </c>
      <c r="N921" s="8" t="s">
        <v>38</v>
      </c>
      <c r="O921" s="12"/>
      <c r="P921" s="13"/>
      <c r="Q921" s="14">
        <f>Tabela1[[#This Row],[QTDE/ Fabricação]]-Tabela1[[#This Row],[QTE]]</f>
        <v>-2</v>
      </c>
      <c r="R921" s="18">
        <f t="shared" si="185"/>
        <v>5.45</v>
      </c>
      <c r="S921" s="18">
        <f t="shared" si="186"/>
        <v>0</v>
      </c>
      <c r="T921" s="19">
        <f t="shared" si="187"/>
        <v>-21.8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 t="shared" si="188"/>
        <v>-2</v>
      </c>
      <c r="Z921" s="20">
        <f>Tabela1[[#This Row],[PESO TOTAL]]-Tabela1[[#This Row],[Peso Expedido]]</f>
        <v>21.8</v>
      </c>
      <c r="AA921" s="17">
        <v>1</v>
      </c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customHeight="1" x14ac:dyDescent="0.25">
      <c r="A922" s="1" t="s">
        <v>5584</v>
      </c>
      <c r="B922" s="21" t="s">
        <v>5104</v>
      </c>
      <c r="C922" s="1">
        <v>2</v>
      </c>
      <c r="D922" s="1" t="s">
        <v>5608</v>
      </c>
      <c r="E922" s="7">
        <v>4820</v>
      </c>
      <c r="F922" s="7">
        <v>57</v>
      </c>
      <c r="G922" s="1">
        <v>12</v>
      </c>
      <c r="H922" s="34">
        <f>Tabela1[[#This Row],[PESO UNI]]*Tabela1[[#This Row],[QTE]]</f>
        <v>24</v>
      </c>
      <c r="I922" s="7">
        <v>0</v>
      </c>
      <c r="J922" s="8" t="s">
        <v>3045</v>
      </c>
      <c r="K922" s="8" t="s">
        <v>44</v>
      </c>
      <c r="L922" s="9" t="s">
        <v>2984</v>
      </c>
      <c r="M922" s="10">
        <v>46251</v>
      </c>
      <c r="N922" s="8" t="s">
        <v>38</v>
      </c>
      <c r="O922" s="12"/>
      <c r="P922" s="13"/>
      <c r="Q922" s="14">
        <f>Tabela1[[#This Row],[QTDE/ Fabricação]]-Tabela1[[#This Row],[QTE]]</f>
        <v>-2</v>
      </c>
      <c r="R922" s="18">
        <f t="shared" si="185"/>
        <v>6</v>
      </c>
      <c r="S922" s="18">
        <f t="shared" si="186"/>
        <v>0</v>
      </c>
      <c r="T922" s="19">
        <f t="shared" si="187"/>
        <v>-24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 t="shared" si="188"/>
        <v>-2</v>
      </c>
      <c r="Z922" s="20">
        <f>Tabela1[[#This Row],[PESO TOTAL]]-Tabela1[[#This Row],[Peso Expedido]]</f>
        <v>24</v>
      </c>
      <c r="AA922" s="17">
        <v>1</v>
      </c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customHeight="1" x14ac:dyDescent="0.25">
      <c r="A923" s="1" t="s">
        <v>5584</v>
      </c>
      <c r="B923" s="21" t="s">
        <v>5104</v>
      </c>
      <c r="C923" s="1">
        <v>2</v>
      </c>
      <c r="D923" s="1" t="s">
        <v>5609</v>
      </c>
      <c r="E923" s="7">
        <v>4821</v>
      </c>
      <c r="F923" s="7">
        <v>57</v>
      </c>
      <c r="G923" s="1">
        <v>12.2</v>
      </c>
      <c r="H923" s="34">
        <f>Tabela1[[#This Row],[PESO UNI]]*Tabela1[[#This Row],[QTE]]</f>
        <v>24.4</v>
      </c>
      <c r="I923" s="7">
        <v>0</v>
      </c>
      <c r="J923" s="8" t="s">
        <v>3045</v>
      </c>
      <c r="K923" s="8" t="s">
        <v>44</v>
      </c>
      <c r="L923" s="9" t="s">
        <v>2984</v>
      </c>
      <c r="M923" s="10">
        <v>46251</v>
      </c>
      <c r="N923" s="8" t="s">
        <v>38</v>
      </c>
      <c r="O923" s="12"/>
      <c r="P923" s="13"/>
      <c r="Q923" s="14">
        <f>Tabela1[[#This Row],[QTDE/ Fabricação]]-Tabela1[[#This Row],[QTE]]</f>
        <v>-2</v>
      </c>
      <c r="R923" s="18">
        <f t="shared" si="185"/>
        <v>6.1</v>
      </c>
      <c r="S923" s="18">
        <f t="shared" si="186"/>
        <v>0</v>
      </c>
      <c r="T923" s="19">
        <f t="shared" si="187"/>
        <v>-24.4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 t="shared" si="188"/>
        <v>-2</v>
      </c>
      <c r="Z923" s="20">
        <f>Tabela1[[#This Row],[PESO TOTAL]]-Tabela1[[#This Row],[Peso Expedido]]</f>
        <v>24.4</v>
      </c>
      <c r="AA923" s="17">
        <v>1</v>
      </c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customHeight="1" x14ac:dyDescent="0.25">
      <c r="A924" s="1" t="s">
        <v>5584</v>
      </c>
      <c r="B924" s="21" t="s">
        <v>5104</v>
      </c>
      <c r="C924" s="1">
        <v>2</v>
      </c>
      <c r="D924" s="1" t="s">
        <v>5610</v>
      </c>
      <c r="E924" s="7">
        <v>4822</v>
      </c>
      <c r="F924" s="7">
        <v>57</v>
      </c>
      <c r="G924" s="1">
        <v>16.649999999999999</v>
      </c>
      <c r="H924" s="34">
        <f>Tabela1[[#This Row],[PESO UNI]]*Tabela1[[#This Row],[QTE]]</f>
        <v>33.299999999999997</v>
      </c>
      <c r="I924" s="7">
        <v>0</v>
      </c>
      <c r="J924" s="8" t="s">
        <v>3045</v>
      </c>
      <c r="K924" s="8" t="s">
        <v>44</v>
      </c>
      <c r="L924" s="9" t="s">
        <v>2984</v>
      </c>
      <c r="M924" s="10">
        <v>46251</v>
      </c>
      <c r="N924" s="8" t="s">
        <v>38</v>
      </c>
      <c r="O924" s="12"/>
      <c r="P924" s="13"/>
      <c r="Q924" s="14">
        <f>Tabela1[[#This Row],[QTDE/ Fabricação]]-Tabela1[[#This Row],[QTE]]</f>
        <v>-2</v>
      </c>
      <c r="R924" s="18">
        <f t="shared" si="185"/>
        <v>8.3249999999999993</v>
      </c>
      <c r="S924" s="18">
        <f t="shared" si="186"/>
        <v>0</v>
      </c>
      <c r="T924" s="19">
        <f t="shared" si="187"/>
        <v>-33.299999999999997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 t="shared" si="188"/>
        <v>-2</v>
      </c>
      <c r="Z924" s="20">
        <f>Tabela1[[#This Row],[PESO TOTAL]]-Tabela1[[#This Row],[Peso Expedido]]</f>
        <v>33.299999999999997</v>
      </c>
      <c r="AA924" s="17">
        <v>1</v>
      </c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customHeight="1" x14ac:dyDescent="0.25">
      <c r="A925" s="1" t="s">
        <v>5584</v>
      </c>
      <c r="B925" s="21" t="s">
        <v>5104</v>
      </c>
      <c r="C925" s="1">
        <v>2</v>
      </c>
      <c r="D925" s="1" t="s">
        <v>5611</v>
      </c>
      <c r="E925" s="7">
        <v>4823</v>
      </c>
      <c r="F925" s="7">
        <v>57</v>
      </c>
      <c r="G925" s="1">
        <v>7.5</v>
      </c>
      <c r="H925" s="34">
        <f>Tabela1[[#This Row],[PESO UNI]]*Tabela1[[#This Row],[QTE]]</f>
        <v>15</v>
      </c>
      <c r="I925" s="7">
        <v>0</v>
      </c>
      <c r="J925" s="8" t="s">
        <v>3045</v>
      </c>
      <c r="K925" s="8" t="s">
        <v>44</v>
      </c>
      <c r="L925" s="9" t="s">
        <v>2984</v>
      </c>
      <c r="M925" s="10">
        <v>46251</v>
      </c>
      <c r="N925" s="8" t="s">
        <v>38</v>
      </c>
      <c r="O925" s="12"/>
      <c r="P925" s="13"/>
      <c r="Q925" s="14">
        <f>Tabela1[[#This Row],[QTDE/ Fabricação]]-Tabela1[[#This Row],[QTE]]</f>
        <v>-2</v>
      </c>
      <c r="R925" s="18">
        <f t="shared" si="185"/>
        <v>3.75</v>
      </c>
      <c r="S925" s="18">
        <f t="shared" si="186"/>
        <v>0</v>
      </c>
      <c r="T925" s="19">
        <f t="shared" si="187"/>
        <v>-15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 t="shared" si="188"/>
        <v>-2</v>
      </c>
      <c r="Z925" s="20">
        <f>Tabela1[[#This Row],[PESO TOTAL]]-Tabela1[[#This Row],[Peso Expedido]]</f>
        <v>15</v>
      </c>
      <c r="AA925" s="17">
        <v>1</v>
      </c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customHeight="1" x14ac:dyDescent="0.25">
      <c r="A926" s="1" t="s">
        <v>5584</v>
      </c>
      <c r="B926" s="21" t="s">
        <v>5104</v>
      </c>
      <c r="C926" s="1">
        <v>1</v>
      </c>
      <c r="D926" s="1" t="s">
        <v>5612</v>
      </c>
      <c r="E926" s="7">
        <v>4824</v>
      </c>
      <c r="F926" s="7">
        <v>57</v>
      </c>
      <c r="G926" s="1">
        <v>5.5</v>
      </c>
      <c r="H926" s="34">
        <f>Tabela1[[#This Row],[PESO UNI]]*Tabela1[[#This Row],[QTE]]</f>
        <v>5.5</v>
      </c>
      <c r="I926" s="7">
        <v>0</v>
      </c>
      <c r="J926" s="8" t="s">
        <v>3045</v>
      </c>
      <c r="K926" s="8" t="s">
        <v>44</v>
      </c>
      <c r="L926" s="9" t="s">
        <v>2984</v>
      </c>
      <c r="M926" s="10">
        <v>46251</v>
      </c>
      <c r="N926" s="8" t="s">
        <v>38</v>
      </c>
      <c r="O926" s="12"/>
      <c r="P926" s="13"/>
      <c r="Q926" s="14">
        <f>Tabela1[[#This Row],[QTDE/ Fabricação]]-Tabela1[[#This Row],[QTE]]</f>
        <v>-1</v>
      </c>
      <c r="R926" s="18">
        <f t="shared" si="185"/>
        <v>1.375</v>
      </c>
      <c r="S926" s="18">
        <f t="shared" si="186"/>
        <v>0</v>
      </c>
      <c r="T926" s="19">
        <f t="shared" si="187"/>
        <v>-5.5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 t="shared" si="188"/>
        <v>-1</v>
      </c>
      <c r="Z926" s="20">
        <f>Tabela1[[#This Row],[PESO TOTAL]]-Tabela1[[#This Row],[Peso Expedido]]</f>
        <v>5.5</v>
      </c>
      <c r="AA926" s="17">
        <v>1</v>
      </c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customHeight="1" x14ac:dyDescent="0.25">
      <c r="A927" s="1" t="s">
        <v>5584</v>
      </c>
      <c r="B927" s="21" t="s">
        <v>5104</v>
      </c>
      <c r="C927" s="1">
        <v>1</v>
      </c>
      <c r="D927" s="1" t="s">
        <v>5613</v>
      </c>
      <c r="E927" s="7">
        <v>4825</v>
      </c>
      <c r="F927" s="7">
        <v>57</v>
      </c>
      <c r="G927" s="1">
        <v>5.5</v>
      </c>
      <c r="H927" s="34">
        <f>Tabela1[[#This Row],[PESO UNI]]*Tabela1[[#This Row],[QTE]]</f>
        <v>5.5</v>
      </c>
      <c r="I927" s="7">
        <v>0</v>
      </c>
      <c r="J927" s="8" t="s">
        <v>3045</v>
      </c>
      <c r="K927" s="8" t="s">
        <v>44</v>
      </c>
      <c r="L927" s="9" t="s">
        <v>2984</v>
      </c>
      <c r="M927" s="10">
        <v>46251</v>
      </c>
      <c r="N927" s="8" t="s">
        <v>38</v>
      </c>
      <c r="O927" s="12"/>
      <c r="P927" s="13"/>
      <c r="Q927" s="14">
        <f>Tabela1[[#This Row],[QTDE/ Fabricação]]-Tabela1[[#This Row],[QTE]]</f>
        <v>-1</v>
      </c>
      <c r="R927" s="18">
        <f t="shared" si="185"/>
        <v>1.375</v>
      </c>
      <c r="S927" s="18">
        <f t="shared" si="186"/>
        <v>0</v>
      </c>
      <c r="T927" s="19">
        <f t="shared" si="187"/>
        <v>-5.5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 t="shared" si="188"/>
        <v>-1</v>
      </c>
      <c r="Z927" s="20">
        <f>Tabela1[[#This Row],[PESO TOTAL]]-Tabela1[[#This Row],[Peso Expedido]]</f>
        <v>5.5</v>
      </c>
      <c r="AA927" s="17">
        <v>1</v>
      </c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customHeight="1" x14ac:dyDescent="0.25">
      <c r="A928" s="1" t="s">
        <v>5106</v>
      </c>
      <c r="B928" s="21" t="s">
        <v>5107</v>
      </c>
      <c r="C928" s="1">
        <v>1</v>
      </c>
      <c r="D928" s="1" t="s">
        <v>5108</v>
      </c>
      <c r="E928" s="7">
        <v>4555</v>
      </c>
      <c r="F928" s="7">
        <v>58</v>
      </c>
      <c r="G928" s="1">
        <v>84.46</v>
      </c>
      <c r="H928" s="34">
        <f>Tabela1[[#This Row],[PESO UNI]]*Tabela1[[#This Row],[QTE]]</f>
        <v>84.46</v>
      </c>
      <c r="I928" s="7">
        <v>0</v>
      </c>
      <c r="J928" s="8" t="s">
        <v>3045</v>
      </c>
      <c r="K928" s="8" t="s">
        <v>4320</v>
      </c>
      <c r="L928" s="9" t="s">
        <v>2984</v>
      </c>
      <c r="M928" s="10">
        <v>46251</v>
      </c>
      <c r="N928" s="8" t="s">
        <v>5105</v>
      </c>
      <c r="O928" s="12"/>
      <c r="P928" s="13"/>
      <c r="Q928" s="14">
        <f>Tabela1[[#This Row],[QTDE/ Fabricação]]-Tabela1[[#This Row],[QTE]]</f>
        <v>-1</v>
      </c>
      <c r="R928" s="18">
        <f t="shared" si="181"/>
        <v>70.52409999999999</v>
      </c>
      <c r="S928" s="18">
        <f t="shared" si="182"/>
        <v>29.560999999999996</v>
      </c>
      <c r="T928" s="19">
        <f t="shared" si="183"/>
        <v>-54.899000000000001</v>
      </c>
      <c r="U928" s="16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IFERROR(VLOOKUP(Tabela1[[#This Row],[COD.MDE]],'LISTA DE EMBARQUE'!B:M,12,0),"")</f>
        <v/>
      </c>
      <c r="X928" s="14">
        <f>IFERROR(Tabela1[[#This Row],[QIANTIDADE EXPEDIDA]]*Tabela1[[#This Row],[PESO UNI]],"")</f>
        <v>0</v>
      </c>
      <c r="Y928" s="14">
        <f t="shared" si="184"/>
        <v>-1</v>
      </c>
      <c r="Z928" s="20">
        <f>Tabela1[[#This Row],[PESO TOTAL]]-Tabela1[[#This Row],[Peso Expedido]]</f>
        <v>84.46</v>
      </c>
      <c r="AA928" s="17">
        <v>1</v>
      </c>
      <c r="AB928" s="33"/>
      <c r="AC928" s="33">
        <v>1</v>
      </c>
      <c r="AD928" s="33">
        <v>0.7</v>
      </c>
      <c r="AE928" s="33">
        <v>0.7</v>
      </c>
      <c r="AF928" s="33">
        <v>0.4</v>
      </c>
      <c r="AG928" s="33">
        <v>0.35</v>
      </c>
      <c r="AH928" s="33"/>
      <c r="AI928" s="33"/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customHeight="1" x14ac:dyDescent="0.25">
      <c r="A929" s="1" t="s">
        <v>5106</v>
      </c>
      <c r="B929" s="21" t="s">
        <v>5107</v>
      </c>
      <c r="C929" s="1">
        <v>2</v>
      </c>
      <c r="D929" s="1" t="s">
        <v>5109</v>
      </c>
      <c r="E929" s="7">
        <v>4556</v>
      </c>
      <c r="F929" s="7">
        <v>58</v>
      </c>
      <c r="G929" s="1">
        <v>69.61</v>
      </c>
      <c r="H929" s="34">
        <f>Tabela1[[#This Row],[PESO UNI]]*Tabela1[[#This Row],[QTE]]</f>
        <v>139.22</v>
      </c>
      <c r="I929" s="7">
        <v>0</v>
      </c>
      <c r="J929" s="8" t="s">
        <v>3045</v>
      </c>
      <c r="K929" s="8" t="s">
        <v>4320</v>
      </c>
      <c r="L929" s="9" t="s">
        <v>2984</v>
      </c>
      <c r="M929" s="10">
        <v>46251</v>
      </c>
      <c r="N929" s="8" t="s">
        <v>5105</v>
      </c>
      <c r="O929" s="12"/>
      <c r="P929" s="13"/>
      <c r="Q929" s="14">
        <f>Tabela1[[#This Row],[QTDE/ Fabricação]]-Tabela1[[#This Row],[QTE]]</f>
        <v>-2</v>
      </c>
      <c r="R929" s="18">
        <f t="shared" ref="R929:R960" si="189">IFERROR(H929*((AA929*0.25)+(AC929*0.25)+(AD929*0.225)+(AE929*0.225)+(AF929*0.05)),"")</f>
        <v>116.2487</v>
      </c>
      <c r="S929" s="18">
        <f t="shared" ref="S929:S960" si="190">IFERROR(H929*AG929,"")</f>
        <v>48.726999999999997</v>
      </c>
      <c r="T929" s="19">
        <f t="shared" ref="T929:T960" si="191">IFERROR(S929-H929,"")</f>
        <v>-90.492999999999995</v>
      </c>
      <c r="U929" s="16">
        <f>IFERROR(SUMIF('LISTA DE EMBARQUE'!B:B,MICRO!E:E,'LISTA DE EMBARQUE'!G:G),"")</f>
        <v>0</v>
      </c>
      <c r="V929" s="12" t="str">
        <f>IFERROR(VLOOKUP(Tabela1[[#This Row],[COD.MDE]],'LISTA DE EMBARQUE'!B:L,11,0),"")</f>
        <v/>
      </c>
      <c r="W929" s="13" t="str">
        <f>IFERROR(VLOOKUP(Tabela1[[#This Row],[COD.MDE]],'LISTA DE EMBARQUE'!B:M,12,0),"")</f>
        <v/>
      </c>
      <c r="X929" s="14">
        <f>IFERROR(Tabela1[[#This Row],[QIANTIDADE EXPEDIDA]]*Tabela1[[#This Row],[PESO UNI]],"")</f>
        <v>0</v>
      </c>
      <c r="Y929" s="14">
        <f t="shared" ref="Y929:Y960" si="192">U929-C929</f>
        <v>-2</v>
      </c>
      <c r="Z929" s="20">
        <f>Tabela1[[#This Row],[PESO TOTAL]]-Tabela1[[#This Row],[Peso Expedido]]</f>
        <v>139.22</v>
      </c>
      <c r="AA929" s="17">
        <v>1</v>
      </c>
      <c r="AB929" s="33"/>
      <c r="AC929" s="33">
        <v>1</v>
      </c>
      <c r="AD929" s="33">
        <v>0.7</v>
      </c>
      <c r="AE929" s="33">
        <v>0.7</v>
      </c>
      <c r="AF929" s="33">
        <v>0.4</v>
      </c>
      <c r="AG929" s="33">
        <v>0.35</v>
      </c>
      <c r="AH929" s="33"/>
      <c r="AI929" s="33"/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customHeight="1" x14ac:dyDescent="0.25">
      <c r="A930" s="1" t="s">
        <v>5106</v>
      </c>
      <c r="B930" s="21" t="s">
        <v>5107</v>
      </c>
      <c r="C930" s="1">
        <v>2</v>
      </c>
      <c r="D930" s="1" t="s">
        <v>5110</v>
      </c>
      <c r="E930" s="7">
        <v>4557</v>
      </c>
      <c r="F930" s="7">
        <v>58</v>
      </c>
      <c r="G930" s="1">
        <v>30.38</v>
      </c>
      <c r="H930" s="34">
        <f>Tabela1[[#This Row],[PESO UNI]]*Tabela1[[#This Row],[QTE]]</f>
        <v>60.76</v>
      </c>
      <c r="I930" s="7">
        <v>0</v>
      </c>
      <c r="J930" s="8" t="s">
        <v>3045</v>
      </c>
      <c r="K930" s="8" t="s">
        <v>4320</v>
      </c>
      <c r="L930" s="9" t="s">
        <v>2984</v>
      </c>
      <c r="M930" s="10">
        <v>46251</v>
      </c>
      <c r="N930" s="8" t="s">
        <v>5105</v>
      </c>
      <c r="O930" s="12"/>
      <c r="P930" s="13"/>
      <c r="Q930" s="14">
        <f>Tabela1[[#This Row],[QTDE/ Fabricação]]-Tabela1[[#This Row],[QTE]]</f>
        <v>-2</v>
      </c>
      <c r="R930" s="18">
        <f t="shared" si="189"/>
        <v>50.734599999999993</v>
      </c>
      <c r="S930" s="18">
        <f t="shared" si="190"/>
        <v>21.265999999999998</v>
      </c>
      <c r="T930" s="19">
        <f t="shared" si="191"/>
        <v>-39.494</v>
      </c>
      <c r="U930" s="16">
        <f>IFERROR(SUMIF('LISTA DE EMBARQUE'!B:B,MICRO!E:E,'LISTA DE EMBARQUE'!G:G),"")</f>
        <v>0</v>
      </c>
      <c r="V930" s="12" t="str">
        <f>IFERROR(VLOOKUP(Tabela1[[#This Row],[COD.MDE]],'LISTA DE EMBARQUE'!B:L,11,0),"")</f>
        <v/>
      </c>
      <c r="W930" s="13" t="str">
        <f>IFERROR(VLOOKUP(Tabela1[[#This Row],[COD.MDE]],'LISTA DE EMBARQUE'!B:M,12,0),"")</f>
        <v/>
      </c>
      <c r="X930" s="14">
        <f>IFERROR(Tabela1[[#This Row],[QIANTIDADE EXPEDIDA]]*Tabela1[[#This Row],[PESO UNI]],"")</f>
        <v>0</v>
      </c>
      <c r="Y930" s="14">
        <f t="shared" si="192"/>
        <v>-2</v>
      </c>
      <c r="Z930" s="20">
        <f>Tabela1[[#This Row],[PESO TOTAL]]-Tabela1[[#This Row],[Peso Expedido]]</f>
        <v>60.76</v>
      </c>
      <c r="AA930" s="17">
        <v>1</v>
      </c>
      <c r="AB930" s="33"/>
      <c r="AC930" s="33">
        <v>1</v>
      </c>
      <c r="AD930" s="33">
        <v>0.7</v>
      </c>
      <c r="AE930" s="33">
        <v>0.7</v>
      </c>
      <c r="AF930" s="33">
        <v>0.4</v>
      </c>
      <c r="AG930" s="33">
        <v>0.35</v>
      </c>
      <c r="AH930" s="33"/>
      <c r="AI930" s="33"/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customHeight="1" x14ac:dyDescent="0.25">
      <c r="A931" s="1" t="s">
        <v>5106</v>
      </c>
      <c r="B931" s="21" t="s">
        <v>5107</v>
      </c>
      <c r="C931" s="1">
        <v>6</v>
      </c>
      <c r="D931" s="1" t="s">
        <v>5111</v>
      </c>
      <c r="E931" s="7">
        <v>4558</v>
      </c>
      <c r="F931" s="7">
        <v>58</v>
      </c>
      <c r="G931" s="1">
        <v>6.07</v>
      </c>
      <c r="H931" s="34">
        <f>Tabela1[[#This Row],[PESO UNI]]*Tabela1[[#This Row],[QTE]]</f>
        <v>36.42</v>
      </c>
      <c r="I931" s="7">
        <v>0</v>
      </c>
      <c r="J931" s="8" t="s">
        <v>3045</v>
      </c>
      <c r="K931" s="8" t="s">
        <v>4320</v>
      </c>
      <c r="L931" s="9" t="s">
        <v>2984</v>
      </c>
      <c r="M931" s="10">
        <v>46251</v>
      </c>
      <c r="N931" s="8" t="s">
        <v>5105</v>
      </c>
      <c r="O931" s="12"/>
      <c r="P931" s="13"/>
      <c r="Q931" s="14">
        <f>Tabela1[[#This Row],[QTDE/ Fabricação]]-Tabela1[[#This Row],[QTE]]</f>
        <v>-6</v>
      </c>
      <c r="R931" s="18">
        <f t="shared" si="189"/>
        <v>30.410699999999999</v>
      </c>
      <c r="S931" s="18">
        <f t="shared" si="190"/>
        <v>12.747</v>
      </c>
      <c r="T931" s="19">
        <f t="shared" si="191"/>
        <v>-23.673000000000002</v>
      </c>
      <c r="U931" s="16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IFERROR(VLOOKUP(Tabela1[[#This Row],[COD.MDE]],'LISTA DE EMBARQUE'!B:M,12,0),"")</f>
        <v/>
      </c>
      <c r="X931" s="14">
        <f>IFERROR(Tabela1[[#This Row],[QIANTIDADE EXPEDIDA]]*Tabela1[[#This Row],[PESO UNI]],"")</f>
        <v>0</v>
      </c>
      <c r="Y931" s="14">
        <f t="shared" si="192"/>
        <v>-6</v>
      </c>
      <c r="Z931" s="20">
        <f>Tabela1[[#This Row],[PESO TOTAL]]-Tabela1[[#This Row],[Peso Expedido]]</f>
        <v>36.42</v>
      </c>
      <c r="AA931" s="17">
        <v>1</v>
      </c>
      <c r="AB931" s="33"/>
      <c r="AC931" s="33">
        <v>1</v>
      </c>
      <c r="AD931" s="33">
        <v>0.7</v>
      </c>
      <c r="AE931" s="33">
        <v>0.7</v>
      </c>
      <c r="AF931" s="33">
        <v>0.4</v>
      </c>
      <c r="AG931" s="33">
        <v>0.35</v>
      </c>
      <c r="AH931" s="33"/>
      <c r="AI931" s="33"/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customHeight="1" x14ac:dyDescent="0.25">
      <c r="A932" s="1" t="s">
        <v>5106</v>
      </c>
      <c r="B932" s="21" t="s">
        <v>5107</v>
      </c>
      <c r="C932" s="1">
        <v>1</v>
      </c>
      <c r="D932" s="1" t="s">
        <v>5112</v>
      </c>
      <c r="E932" s="7">
        <v>4559</v>
      </c>
      <c r="F932" s="7">
        <v>58</v>
      </c>
      <c r="G932" s="1">
        <v>22.07</v>
      </c>
      <c r="H932" s="34">
        <f>Tabela1[[#This Row],[PESO UNI]]*Tabela1[[#This Row],[QTE]]</f>
        <v>22.07</v>
      </c>
      <c r="I932" s="7">
        <v>0</v>
      </c>
      <c r="J932" s="8" t="s">
        <v>3045</v>
      </c>
      <c r="K932" s="8" t="s">
        <v>4320</v>
      </c>
      <c r="L932" s="9" t="s">
        <v>2984</v>
      </c>
      <c r="M932" s="10">
        <v>46251</v>
      </c>
      <c r="N932" s="8" t="s">
        <v>5105</v>
      </c>
      <c r="O932" s="12"/>
      <c r="P932" s="13"/>
      <c r="Q932" s="14">
        <f>Tabela1[[#This Row],[QTDE/ Fabricação]]-Tabela1[[#This Row],[QTE]]</f>
        <v>-1</v>
      </c>
      <c r="R932" s="18">
        <f>IFERROR(H932*((AA932*0.25)+(AC932*0.25)+(AD932*0.225)+(AE932*0.225)+(AF932*0.05)),"")</f>
        <v>18.428449999999998</v>
      </c>
      <c r="S932" s="18">
        <f t="shared" si="190"/>
        <v>7.7244999999999999</v>
      </c>
      <c r="T932" s="19">
        <f t="shared" si="191"/>
        <v>-14.345500000000001</v>
      </c>
      <c r="U932" s="16">
        <f>IFERROR(SUMIF('LISTA DE EMBARQUE'!B:B,MICRO!E:E,'LISTA DE EMBARQUE'!G:G),"")</f>
        <v>0</v>
      </c>
      <c r="V932" s="12" t="str">
        <f>IFERROR(VLOOKUP(Tabela1[[#This Row],[COD.MDE]],'LISTA DE EMBARQUE'!B:L,11,0),"")</f>
        <v/>
      </c>
      <c r="W932" s="13" t="str">
        <f>IFERROR(VLOOKUP(Tabela1[[#This Row],[COD.MDE]],'LISTA DE EMBARQUE'!B:M,12,0),"")</f>
        <v/>
      </c>
      <c r="X932" s="14">
        <f>IFERROR(Tabela1[[#This Row],[QIANTIDADE EXPEDIDA]]*Tabela1[[#This Row],[PESO UNI]],"")</f>
        <v>0</v>
      </c>
      <c r="Y932" s="14">
        <f t="shared" si="192"/>
        <v>-1</v>
      </c>
      <c r="Z932" s="20">
        <f>Tabela1[[#This Row],[PESO TOTAL]]-Tabela1[[#This Row],[Peso Expedido]]</f>
        <v>22.07</v>
      </c>
      <c r="AA932" s="17">
        <v>1</v>
      </c>
      <c r="AB932" s="33"/>
      <c r="AC932" s="33">
        <v>1</v>
      </c>
      <c r="AD932" s="33">
        <v>0.7</v>
      </c>
      <c r="AE932" s="33">
        <v>0.7</v>
      </c>
      <c r="AF932" s="33">
        <v>0.4</v>
      </c>
      <c r="AG932" s="33">
        <v>0.35</v>
      </c>
      <c r="AH932" s="33"/>
      <c r="AI932" s="33"/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customHeight="1" x14ac:dyDescent="0.25">
      <c r="A933" s="1" t="s">
        <v>5106</v>
      </c>
      <c r="B933" s="21" t="s">
        <v>5107</v>
      </c>
      <c r="C933" s="1">
        <v>1</v>
      </c>
      <c r="D933" s="1" t="s">
        <v>5113</v>
      </c>
      <c r="E933" s="7">
        <v>4560</v>
      </c>
      <c r="F933" s="7">
        <v>58</v>
      </c>
      <c r="G933" s="1">
        <v>33.590000000000003</v>
      </c>
      <c r="H933" s="34">
        <f>Tabela1[[#This Row],[PESO UNI]]*Tabela1[[#This Row],[QTE]]</f>
        <v>33.590000000000003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5105</v>
      </c>
      <c r="O933" s="12"/>
      <c r="P933" s="13"/>
      <c r="Q933" s="14">
        <f>Tabela1[[#This Row],[QTDE/ Fabricação]]-Tabela1[[#This Row],[QTE]]</f>
        <v>-1</v>
      </c>
      <c r="R933" s="18">
        <f>IFERROR(H933*((AA933*0.25)+(AC933*0.25)+(AD933*0.225)+(AE933*0.225)+(AF933*0.05)),"")</f>
        <v>28.047650000000001</v>
      </c>
      <c r="S933" s="18">
        <f t="shared" si="190"/>
        <v>11.756500000000001</v>
      </c>
      <c r="T933" s="19">
        <f t="shared" si="191"/>
        <v>-21.833500000000001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 t="shared" si="192"/>
        <v>-1</v>
      </c>
      <c r="Z933" s="20">
        <f>Tabela1[[#This Row],[PESO TOTAL]]-Tabela1[[#This Row],[Peso Expedido]]</f>
        <v>33.590000000000003</v>
      </c>
      <c r="AA933" s="17">
        <v>1</v>
      </c>
      <c r="AB933" s="33"/>
      <c r="AC933" s="33">
        <v>1</v>
      </c>
      <c r="AD933" s="33">
        <v>0.7</v>
      </c>
      <c r="AE933" s="33">
        <v>0.7</v>
      </c>
      <c r="AF933" s="33">
        <v>0.4</v>
      </c>
      <c r="AG933" s="33">
        <v>0.35</v>
      </c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customHeight="1" x14ac:dyDescent="0.25">
      <c r="A934" s="1" t="s">
        <v>5106</v>
      </c>
      <c r="B934" s="21" t="s">
        <v>5107</v>
      </c>
      <c r="C934" s="1">
        <v>1</v>
      </c>
      <c r="D934" s="1" t="s">
        <v>5114</v>
      </c>
      <c r="E934" s="7">
        <v>4561</v>
      </c>
      <c r="F934" s="7">
        <v>58</v>
      </c>
      <c r="G934" s="1">
        <v>20.48</v>
      </c>
      <c r="H934" s="34">
        <f>Tabela1[[#This Row],[PESO UNI]]*Tabela1[[#This Row],[QTE]]</f>
        <v>20.48</v>
      </c>
      <c r="I934" s="7">
        <v>0</v>
      </c>
      <c r="J934" s="8" t="s">
        <v>3045</v>
      </c>
      <c r="K934" s="8" t="s">
        <v>4320</v>
      </c>
      <c r="L934" s="9" t="s">
        <v>2984</v>
      </c>
      <c r="M934" s="10">
        <v>46251</v>
      </c>
      <c r="N934" s="8" t="s">
        <v>5105</v>
      </c>
      <c r="O934" s="12"/>
      <c r="P934" s="13"/>
      <c r="Q934" s="14">
        <f>Tabela1[[#This Row],[QTDE/ Fabricação]]-Tabela1[[#This Row],[QTE]]</f>
        <v>-1</v>
      </c>
      <c r="R934" s="18">
        <f t="shared" si="189"/>
        <v>17.1008</v>
      </c>
      <c r="S934" s="18">
        <f t="shared" si="190"/>
        <v>7.1679999999999993</v>
      </c>
      <c r="T934" s="19">
        <f t="shared" si="191"/>
        <v>-13.312000000000001</v>
      </c>
      <c r="U934" s="16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IFERROR(VLOOKUP(Tabela1[[#This Row],[COD.MDE]],'LISTA DE EMBARQUE'!B:M,12,0),"")</f>
        <v/>
      </c>
      <c r="X934" s="14">
        <f>IFERROR(Tabela1[[#This Row],[QIANTIDADE EXPEDIDA]]*Tabela1[[#This Row],[PESO UNI]],"")</f>
        <v>0</v>
      </c>
      <c r="Y934" s="14">
        <f t="shared" si="192"/>
        <v>-1</v>
      </c>
      <c r="Z934" s="20">
        <f>Tabela1[[#This Row],[PESO TOTAL]]-Tabela1[[#This Row],[Peso Expedido]]</f>
        <v>20.48</v>
      </c>
      <c r="AA934" s="17">
        <v>1</v>
      </c>
      <c r="AB934" s="33"/>
      <c r="AC934" s="33">
        <v>1</v>
      </c>
      <c r="AD934" s="33">
        <v>0.7</v>
      </c>
      <c r="AE934" s="33">
        <v>0.7</v>
      </c>
      <c r="AF934" s="33">
        <v>0.4</v>
      </c>
      <c r="AG934" s="33">
        <v>0.35</v>
      </c>
      <c r="AH934" s="33"/>
      <c r="AI934" s="33"/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customHeight="1" x14ac:dyDescent="0.25">
      <c r="A935" s="1" t="s">
        <v>5106</v>
      </c>
      <c r="B935" s="21" t="s">
        <v>5107</v>
      </c>
      <c r="C935" s="1">
        <v>2</v>
      </c>
      <c r="D935" s="1" t="s">
        <v>5115</v>
      </c>
      <c r="E935" s="7">
        <v>4562</v>
      </c>
      <c r="F935" s="7">
        <v>58</v>
      </c>
      <c r="G935" s="1">
        <v>18.54</v>
      </c>
      <c r="H935" s="34">
        <f>Tabela1[[#This Row],[PESO UNI]]*Tabela1[[#This Row],[QTE]]</f>
        <v>37.08</v>
      </c>
      <c r="I935" s="7">
        <v>0</v>
      </c>
      <c r="J935" s="8" t="s">
        <v>3045</v>
      </c>
      <c r="K935" s="8" t="s">
        <v>4320</v>
      </c>
      <c r="L935" s="9" t="s">
        <v>2984</v>
      </c>
      <c r="M935" s="10">
        <v>46251</v>
      </c>
      <c r="N935" s="8" t="s">
        <v>5105</v>
      </c>
      <c r="O935" s="12"/>
      <c r="P935" s="13"/>
      <c r="Q935" s="14">
        <f>Tabela1[[#This Row],[QTDE/ Fabricação]]-Tabela1[[#This Row],[QTE]]</f>
        <v>-2</v>
      </c>
      <c r="R935" s="18">
        <f t="shared" si="189"/>
        <v>30.961799999999997</v>
      </c>
      <c r="S935" s="18">
        <f t="shared" si="190"/>
        <v>12.977999999999998</v>
      </c>
      <c r="T935" s="19">
        <f t="shared" si="191"/>
        <v>-24.102</v>
      </c>
      <c r="U935" s="16">
        <f>IFERROR(SUMIF('LISTA DE EMBARQUE'!B:B,MICRO!E:E,'LISTA DE EMBARQUE'!G:G),"")</f>
        <v>0</v>
      </c>
      <c r="V935" s="12" t="str">
        <f>IFERROR(VLOOKUP(Tabela1[[#This Row],[COD.MDE]],'LISTA DE EMBARQUE'!B:L,11,0),"")</f>
        <v/>
      </c>
      <c r="W935" s="13" t="str">
        <f>IFERROR(VLOOKUP(Tabela1[[#This Row],[COD.MDE]],'LISTA DE EMBARQUE'!B:M,12,0),"")</f>
        <v/>
      </c>
      <c r="X935" s="14">
        <f>IFERROR(Tabela1[[#This Row],[QIANTIDADE EXPEDIDA]]*Tabela1[[#This Row],[PESO UNI]],"")</f>
        <v>0</v>
      </c>
      <c r="Y935" s="14">
        <f t="shared" si="192"/>
        <v>-2</v>
      </c>
      <c r="Z935" s="20">
        <f>Tabela1[[#This Row],[PESO TOTAL]]-Tabela1[[#This Row],[Peso Expedido]]</f>
        <v>37.08</v>
      </c>
      <c r="AA935" s="17">
        <v>1</v>
      </c>
      <c r="AB935" s="33"/>
      <c r="AC935" s="33">
        <v>1</v>
      </c>
      <c r="AD935" s="33">
        <v>0.7</v>
      </c>
      <c r="AE935" s="33">
        <v>0.7</v>
      </c>
      <c r="AF935" s="33">
        <v>0.4</v>
      </c>
      <c r="AG935" s="33">
        <v>0.35</v>
      </c>
      <c r="AH935" s="33"/>
      <c r="AI935" s="33"/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customHeight="1" x14ac:dyDescent="0.25">
      <c r="A936" s="1" t="s">
        <v>5116</v>
      </c>
      <c r="B936" s="21" t="s">
        <v>5117</v>
      </c>
      <c r="C936" s="1">
        <v>1</v>
      </c>
      <c r="D936" s="1" t="s">
        <v>5118</v>
      </c>
      <c r="E936" s="7">
        <v>4563</v>
      </c>
      <c r="F936" s="7">
        <v>58</v>
      </c>
      <c r="G936" s="1">
        <v>82.5</v>
      </c>
      <c r="H936" s="34">
        <f>Tabela1[[#This Row],[PESO UNI]]*Tabela1[[#This Row],[QTE]]</f>
        <v>82.5</v>
      </c>
      <c r="I936" s="7">
        <v>0</v>
      </c>
      <c r="J936" s="8" t="s">
        <v>3045</v>
      </c>
      <c r="K936" s="8" t="s">
        <v>4320</v>
      </c>
      <c r="L936" s="9" t="s">
        <v>2984</v>
      </c>
      <c r="M936" s="10">
        <v>46251</v>
      </c>
      <c r="N936" s="8" t="s">
        <v>5105</v>
      </c>
      <c r="O936" s="12"/>
      <c r="P936" s="13"/>
      <c r="Q936" s="14">
        <f>Tabela1[[#This Row],[QTDE/ Fabricação]]-Tabela1[[#This Row],[QTE]]</f>
        <v>-1</v>
      </c>
      <c r="R936" s="18">
        <f t="shared" si="189"/>
        <v>68.887500000000003</v>
      </c>
      <c r="S936" s="18">
        <f t="shared" si="190"/>
        <v>28.874999999999996</v>
      </c>
      <c r="T936" s="19">
        <f t="shared" si="191"/>
        <v>-53.625</v>
      </c>
      <c r="U936" s="16">
        <f>IFERROR(SUMIF('LISTA DE EMBARQUE'!B:B,MICRO!E:E,'LISTA DE EMBARQUE'!G:G),"")</f>
        <v>0</v>
      </c>
      <c r="V936" s="12" t="str">
        <f>IFERROR(VLOOKUP(Tabela1[[#This Row],[COD.MDE]],'LISTA DE EMBARQUE'!B:L,11,0),"")</f>
        <v/>
      </c>
      <c r="W936" s="13" t="str">
        <f>IFERROR(VLOOKUP(Tabela1[[#This Row],[COD.MDE]],'LISTA DE EMBARQUE'!B:M,12,0),"")</f>
        <v/>
      </c>
      <c r="X936" s="14">
        <f>IFERROR(Tabela1[[#This Row],[QIANTIDADE EXPEDIDA]]*Tabela1[[#This Row],[PESO UNI]],"")</f>
        <v>0</v>
      </c>
      <c r="Y936" s="14">
        <f t="shared" si="192"/>
        <v>-1</v>
      </c>
      <c r="Z936" s="20">
        <f>Tabela1[[#This Row],[PESO TOTAL]]-Tabela1[[#This Row],[Peso Expedido]]</f>
        <v>82.5</v>
      </c>
      <c r="AA936" s="17">
        <v>1</v>
      </c>
      <c r="AB936" s="33"/>
      <c r="AC936" s="33">
        <v>1</v>
      </c>
      <c r="AD936" s="33">
        <v>0.7</v>
      </c>
      <c r="AE936" s="33">
        <v>0.7</v>
      </c>
      <c r="AF936" s="33">
        <v>0.4</v>
      </c>
      <c r="AG936" s="33">
        <v>0.35</v>
      </c>
      <c r="AH936" s="33"/>
      <c r="AI936" s="33"/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customHeight="1" x14ac:dyDescent="0.25">
      <c r="A937" s="1" t="s">
        <v>5116</v>
      </c>
      <c r="B937" s="21" t="s">
        <v>5117</v>
      </c>
      <c r="C937" s="1">
        <v>1</v>
      </c>
      <c r="D937" s="1" t="s">
        <v>5119</v>
      </c>
      <c r="E937" s="7">
        <v>4564</v>
      </c>
      <c r="F937" s="7">
        <v>58</v>
      </c>
      <c r="G937" s="1">
        <v>81.86</v>
      </c>
      <c r="H937" s="34">
        <f>Tabela1[[#This Row],[PESO UNI]]*Tabela1[[#This Row],[QTE]]</f>
        <v>81.86</v>
      </c>
      <c r="I937" s="7">
        <v>0</v>
      </c>
      <c r="J937" s="8" t="s">
        <v>3045</v>
      </c>
      <c r="K937" s="8" t="s">
        <v>4320</v>
      </c>
      <c r="L937" s="9" t="s">
        <v>2984</v>
      </c>
      <c r="M937" s="10">
        <v>46251</v>
      </c>
      <c r="N937" s="8" t="s">
        <v>5105</v>
      </c>
      <c r="O937" s="12"/>
      <c r="P937" s="13"/>
      <c r="Q937" s="14">
        <f>Tabela1[[#This Row],[QTDE/ Fabricação]]-Tabela1[[#This Row],[QTE]]</f>
        <v>-1</v>
      </c>
      <c r="R937" s="18">
        <f t="shared" si="189"/>
        <v>68.353099999999998</v>
      </c>
      <c r="S937" s="18">
        <f t="shared" si="190"/>
        <v>28.650999999999996</v>
      </c>
      <c r="T937" s="19">
        <f t="shared" si="191"/>
        <v>-53.209000000000003</v>
      </c>
      <c r="U937" s="16">
        <f>IFERROR(SUMIF('LISTA DE EMBARQUE'!B:B,MICRO!E:E,'LISTA DE EMBARQUE'!G:G),"")</f>
        <v>0</v>
      </c>
      <c r="V937" s="12" t="str">
        <f>IFERROR(VLOOKUP(Tabela1[[#This Row],[COD.MDE]],'LISTA DE EMBARQUE'!B:L,11,0),"")</f>
        <v/>
      </c>
      <c r="W937" s="13" t="str">
        <f>IFERROR(VLOOKUP(Tabela1[[#This Row],[COD.MDE]],'LISTA DE EMBARQUE'!B:M,12,0),"")</f>
        <v/>
      </c>
      <c r="X937" s="14">
        <f>IFERROR(Tabela1[[#This Row],[QIANTIDADE EXPEDIDA]]*Tabela1[[#This Row],[PESO UNI]],"")</f>
        <v>0</v>
      </c>
      <c r="Y937" s="14">
        <f t="shared" si="192"/>
        <v>-1</v>
      </c>
      <c r="Z937" s="20">
        <f>Tabela1[[#This Row],[PESO TOTAL]]-Tabela1[[#This Row],[Peso Expedido]]</f>
        <v>81.86</v>
      </c>
      <c r="AA937" s="17">
        <v>1</v>
      </c>
      <c r="AB937" s="33"/>
      <c r="AC937" s="33">
        <v>1</v>
      </c>
      <c r="AD937" s="33">
        <v>0.7</v>
      </c>
      <c r="AE937" s="33">
        <v>0.7</v>
      </c>
      <c r="AF937" s="33">
        <v>0.4</v>
      </c>
      <c r="AG937" s="33">
        <v>0.35</v>
      </c>
      <c r="AH937" s="33"/>
      <c r="AI937" s="33"/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customHeight="1" x14ac:dyDescent="0.25">
      <c r="A938" s="1" t="s">
        <v>5120</v>
      </c>
      <c r="B938" s="21" t="s">
        <v>5121</v>
      </c>
      <c r="C938" s="1">
        <v>3</v>
      </c>
      <c r="D938" s="1" t="s">
        <v>5122</v>
      </c>
      <c r="E938" s="7">
        <v>4565</v>
      </c>
      <c r="F938" s="7">
        <v>58</v>
      </c>
      <c r="G938" s="1">
        <v>83.82</v>
      </c>
      <c r="H938" s="34">
        <f>Tabela1[[#This Row],[PESO UNI]]*Tabela1[[#This Row],[QTE]]</f>
        <v>251.45999999999998</v>
      </c>
      <c r="I938" s="7">
        <v>0</v>
      </c>
      <c r="J938" s="8" t="s">
        <v>3045</v>
      </c>
      <c r="K938" s="8" t="s">
        <v>4320</v>
      </c>
      <c r="L938" s="9" t="s">
        <v>2984</v>
      </c>
      <c r="M938" s="10">
        <v>46251</v>
      </c>
      <c r="N938" s="8" t="s">
        <v>5105</v>
      </c>
      <c r="O938" s="12"/>
      <c r="P938" s="13"/>
      <c r="Q938" s="14">
        <f>Tabela1[[#This Row],[QTDE/ Fabricação]]-Tabela1[[#This Row],[QTE]]</f>
        <v>-3</v>
      </c>
      <c r="R938" s="18">
        <f t="shared" si="189"/>
        <v>209.96909999999997</v>
      </c>
      <c r="S938" s="18">
        <f t="shared" si="190"/>
        <v>88.010999999999981</v>
      </c>
      <c r="T938" s="19">
        <f t="shared" si="191"/>
        <v>-163.44900000000001</v>
      </c>
      <c r="U938" s="16">
        <f>IFERROR(SUMIF('LISTA DE EMBARQUE'!B:B,MICRO!E:E,'LISTA DE EMBARQUE'!G:G),"")</f>
        <v>0</v>
      </c>
      <c r="V938" s="12" t="str">
        <f>IFERROR(VLOOKUP(Tabela1[[#This Row],[COD.MDE]],'LISTA DE EMBARQUE'!B:L,11,0),"")</f>
        <v/>
      </c>
      <c r="W938" s="13" t="str">
        <f>IFERROR(VLOOKUP(Tabela1[[#This Row],[COD.MDE]],'LISTA DE EMBARQUE'!B:M,12,0),"")</f>
        <v/>
      </c>
      <c r="X938" s="14">
        <f>IFERROR(Tabela1[[#This Row],[QIANTIDADE EXPEDIDA]]*Tabela1[[#This Row],[PESO UNI]],"")</f>
        <v>0</v>
      </c>
      <c r="Y938" s="14">
        <f t="shared" si="192"/>
        <v>-3</v>
      </c>
      <c r="Z938" s="20">
        <f>Tabela1[[#This Row],[PESO TOTAL]]-Tabela1[[#This Row],[Peso Expedido]]</f>
        <v>251.45999999999998</v>
      </c>
      <c r="AA938" s="17">
        <v>1</v>
      </c>
      <c r="AB938" s="33"/>
      <c r="AC938" s="33">
        <v>1</v>
      </c>
      <c r="AD938" s="33">
        <v>0.7</v>
      </c>
      <c r="AE938" s="33">
        <v>0.7</v>
      </c>
      <c r="AF938" s="33">
        <v>0.4</v>
      </c>
      <c r="AG938" s="33">
        <v>0.35</v>
      </c>
      <c r="AH938" s="33"/>
      <c r="AI938" s="33"/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customHeight="1" x14ac:dyDescent="0.25">
      <c r="A939" s="1" t="s">
        <v>5120</v>
      </c>
      <c r="B939" s="21" t="s">
        <v>5121</v>
      </c>
      <c r="C939" s="1">
        <v>2</v>
      </c>
      <c r="D939" s="1" t="s">
        <v>5123</v>
      </c>
      <c r="E939" s="7">
        <v>4566</v>
      </c>
      <c r="F939" s="7">
        <v>58</v>
      </c>
      <c r="G939" s="1">
        <v>85.1</v>
      </c>
      <c r="H939" s="34">
        <f>Tabela1[[#This Row],[PESO UNI]]*Tabela1[[#This Row],[QTE]]</f>
        <v>170.2</v>
      </c>
      <c r="I939" s="7">
        <v>0</v>
      </c>
      <c r="J939" s="8" t="s">
        <v>3045</v>
      </c>
      <c r="K939" s="8" t="s">
        <v>4320</v>
      </c>
      <c r="L939" s="9" t="s">
        <v>2984</v>
      </c>
      <c r="M939" s="10">
        <v>46251</v>
      </c>
      <c r="N939" s="8" t="s">
        <v>5105</v>
      </c>
      <c r="O939" s="12"/>
      <c r="P939" s="13"/>
      <c r="Q939" s="14">
        <f>Tabela1[[#This Row],[QTDE/ Fabricação]]-Tabela1[[#This Row],[QTE]]</f>
        <v>-2</v>
      </c>
      <c r="R939" s="18">
        <f t="shared" si="189"/>
        <v>142.11699999999999</v>
      </c>
      <c r="S939" s="18">
        <f t="shared" si="190"/>
        <v>59.569999999999993</v>
      </c>
      <c r="T939" s="19">
        <f t="shared" si="191"/>
        <v>-110.63</v>
      </c>
      <c r="U939" s="16">
        <f>IFERROR(SUMIF('LISTA DE EMBARQUE'!B:B,MICRO!E:E,'LISTA DE EMBARQUE'!G:G),"")</f>
        <v>0</v>
      </c>
      <c r="V939" s="12" t="str">
        <f>IFERROR(VLOOKUP(Tabela1[[#This Row],[COD.MDE]],'LISTA DE EMBARQUE'!B:L,11,0),"")</f>
        <v/>
      </c>
      <c r="W939" s="13" t="str">
        <f>IFERROR(VLOOKUP(Tabela1[[#This Row],[COD.MDE]],'LISTA DE EMBARQUE'!B:M,12,0),"")</f>
        <v/>
      </c>
      <c r="X939" s="14">
        <f>IFERROR(Tabela1[[#This Row],[QIANTIDADE EXPEDIDA]]*Tabela1[[#This Row],[PESO UNI]],"")</f>
        <v>0</v>
      </c>
      <c r="Y939" s="14">
        <f t="shared" si="192"/>
        <v>-2</v>
      </c>
      <c r="Z939" s="20">
        <f>Tabela1[[#This Row],[PESO TOTAL]]-Tabela1[[#This Row],[Peso Expedido]]</f>
        <v>170.2</v>
      </c>
      <c r="AA939" s="17">
        <v>1</v>
      </c>
      <c r="AB939" s="33"/>
      <c r="AC939" s="33">
        <v>1</v>
      </c>
      <c r="AD939" s="33">
        <v>0.7</v>
      </c>
      <c r="AE939" s="33">
        <v>0.7</v>
      </c>
      <c r="AF939" s="33">
        <v>0.4</v>
      </c>
      <c r="AG939" s="33">
        <v>0.35</v>
      </c>
      <c r="AH939" s="33"/>
      <c r="AI939" s="33"/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customHeight="1" x14ac:dyDescent="0.25">
      <c r="A940" s="1" t="s">
        <v>5124</v>
      </c>
      <c r="B940" s="21" t="s">
        <v>5125</v>
      </c>
      <c r="C940" s="1">
        <v>1</v>
      </c>
      <c r="D940" s="1" t="s">
        <v>5126</v>
      </c>
      <c r="E940" s="7">
        <v>4567</v>
      </c>
      <c r="F940" s="7">
        <v>58</v>
      </c>
      <c r="G940" s="1">
        <v>86.97</v>
      </c>
      <c r="H940" s="34">
        <f>Tabela1[[#This Row],[PESO UNI]]*Tabela1[[#This Row],[QTE]]</f>
        <v>86.97</v>
      </c>
      <c r="I940" s="7">
        <v>0</v>
      </c>
      <c r="J940" s="8" t="s">
        <v>3045</v>
      </c>
      <c r="K940" s="8" t="s">
        <v>4320</v>
      </c>
      <c r="L940" s="9" t="s">
        <v>2984</v>
      </c>
      <c r="M940" s="10">
        <v>46251</v>
      </c>
      <c r="N940" s="8" t="s">
        <v>5105</v>
      </c>
      <c r="O940" s="12"/>
      <c r="P940" s="13"/>
      <c r="Q940" s="14">
        <f>Tabela1[[#This Row],[QTDE/ Fabricação]]-Tabela1[[#This Row],[QTE]]</f>
        <v>-1</v>
      </c>
      <c r="R940" s="18">
        <f t="shared" si="189"/>
        <v>72.619950000000003</v>
      </c>
      <c r="S940" s="18">
        <f t="shared" si="190"/>
        <v>30.439499999999999</v>
      </c>
      <c r="T940" s="19">
        <f t="shared" si="191"/>
        <v>-56.530500000000004</v>
      </c>
      <c r="U940" s="16">
        <f>IFERROR(SUMIF('LISTA DE EMBARQUE'!B:B,MICRO!E:E,'LISTA DE EMBARQUE'!G:G),"")</f>
        <v>0</v>
      </c>
      <c r="V940" s="12" t="str">
        <f>IFERROR(VLOOKUP(Tabela1[[#This Row],[COD.MDE]],'LISTA DE EMBARQUE'!B:L,11,0),"")</f>
        <v/>
      </c>
      <c r="W940" s="13" t="str">
        <f>IFERROR(VLOOKUP(Tabela1[[#This Row],[COD.MDE]],'LISTA DE EMBARQUE'!B:M,12,0),"")</f>
        <v/>
      </c>
      <c r="X940" s="14">
        <f>IFERROR(Tabela1[[#This Row],[QIANTIDADE EXPEDIDA]]*Tabela1[[#This Row],[PESO UNI]],"")</f>
        <v>0</v>
      </c>
      <c r="Y940" s="14">
        <f t="shared" si="192"/>
        <v>-1</v>
      </c>
      <c r="Z940" s="20">
        <f>Tabela1[[#This Row],[PESO TOTAL]]-Tabela1[[#This Row],[Peso Expedido]]</f>
        <v>86.97</v>
      </c>
      <c r="AA940" s="17">
        <v>1</v>
      </c>
      <c r="AB940" s="33"/>
      <c r="AC940" s="33">
        <v>1</v>
      </c>
      <c r="AD940" s="33">
        <v>0.7</v>
      </c>
      <c r="AE940" s="33">
        <v>0.7</v>
      </c>
      <c r="AF940" s="33">
        <v>0.4</v>
      </c>
      <c r="AG940" s="33">
        <v>0.35</v>
      </c>
      <c r="AH940" s="33"/>
      <c r="AI940" s="33"/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customHeight="1" x14ac:dyDescent="0.25">
      <c r="A941" s="1" t="s">
        <v>5124</v>
      </c>
      <c r="B941" s="21" t="s">
        <v>5125</v>
      </c>
      <c r="C941" s="1">
        <v>1</v>
      </c>
      <c r="D941" s="1" t="s">
        <v>5127</v>
      </c>
      <c r="E941" s="7">
        <v>4568</v>
      </c>
      <c r="F941" s="7">
        <v>58</v>
      </c>
      <c r="G941" s="1">
        <v>87.61</v>
      </c>
      <c r="H941" s="34">
        <f>Tabela1[[#This Row],[PESO UNI]]*Tabela1[[#This Row],[QTE]]</f>
        <v>87.61</v>
      </c>
      <c r="I941" s="7">
        <v>0</v>
      </c>
      <c r="J941" s="8" t="s">
        <v>3045</v>
      </c>
      <c r="K941" s="8" t="s">
        <v>4320</v>
      </c>
      <c r="L941" s="9" t="s">
        <v>2984</v>
      </c>
      <c r="M941" s="10">
        <v>46251</v>
      </c>
      <c r="N941" s="8" t="s">
        <v>5105</v>
      </c>
      <c r="O941" s="12"/>
      <c r="P941" s="13"/>
      <c r="Q941" s="14">
        <f>Tabela1[[#This Row],[QTDE/ Fabricação]]-Tabela1[[#This Row],[QTE]]</f>
        <v>-1</v>
      </c>
      <c r="R941" s="18">
        <f t="shared" si="189"/>
        <v>73.154349999999994</v>
      </c>
      <c r="S941" s="18">
        <f t="shared" si="190"/>
        <v>30.663499999999999</v>
      </c>
      <c r="T941" s="19">
        <f t="shared" si="191"/>
        <v>-56.9465</v>
      </c>
      <c r="U941" s="16">
        <f>IFERROR(SUMIF('LISTA DE EMBARQUE'!B:B,MICRO!E:E,'LISTA DE EMBARQUE'!G:G),"")</f>
        <v>0</v>
      </c>
      <c r="V941" s="12" t="str">
        <f>IFERROR(VLOOKUP(Tabela1[[#This Row],[COD.MDE]],'LISTA DE EMBARQUE'!B:L,11,0),"")</f>
        <v/>
      </c>
      <c r="W941" s="13" t="str">
        <f>IFERROR(VLOOKUP(Tabela1[[#This Row],[COD.MDE]],'LISTA DE EMBARQUE'!B:M,12,0),"")</f>
        <v/>
      </c>
      <c r="X941" s="14">
        <f>IFERROR(Tabela1[[#This Row],[QIANTIDADE EXPEDIDA]]*Tabela1[[#This Row],[PESO UNI]],"")</f>
        <v>0</v>
      </c>
      <c r="Y941" s="14">
        <f t="shared" si="192"/>
        <v>-1</v>
      </c>
      <c r="Z941" s="20">
        <f>Tabela1[[#This Row],[PESO TOTAL]]-Tabela1[[#This Row],[Peso Expedido]]</f>
        <v>87.61</v>
      </c>
      <c r="AA941" s="17">
        <v>1</v>
      </c>
      <c r="AB941" s="33"/>
      <c r="AC941" s="33">
        <v>1</v>
      </c>
      <c r="AD941" s="33">
        <v>0.7</v>
      </c>
      <c r="AE941" s="33">
        <v>0.7</v>
      </c>
      <c r="AF941" s="33">
        <v>0.4</v>
      </c>
      <c r="AG941" s="33">
        <v>0.35</v>
      </c>
      <c r="AH941" s="33"/>
      <c r="AI941" s="33"/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customHeight="1" x14ac:dyDescent="0.25">
      <c r="A942" s="1" t="s">
        <v>5128</v>
      </c>
      <c r="B942" s="21" t="s">
        <v>5129</v>
      </c>
      <c r="C942" s="1">
        <v>4</v>
      </c>
      <c r="D942" s="1" t="s">
        <v>5130</v>
      </c>
      <c r="E942" s="7">
        <v>4569</v>
      </c>
      <c r="F942" s="7">
        <v>58</v>
      </c>
      <c r="G942" s="1">
        <v>26.26</v>
      </c>
      <c r="H942" s="34">
        <f>Tabela1[[#This Row],[PESO UNI]]*Tabela1[[#This Row],[QTE]]</f>
        <v>105.04</v>
      </c>
      <c r="I942" s="7">
        <v>0</v>
      </c>
      <c r="J942" s="8" t="s">
        <v>3045</v>
      </c>
      <c r="K942" s="8" t="s">
        <v>4320</v>
      </c>
      <c r="L942" s="9" t="s">
        <v>2984</v>
      </c>
      <c r="M942" s="10">
        <v>46251</v>
      </c>
      <c r="N942" s="8" t="s">
        <v>5105</v>
      </c>
      <c r="O942" s="12"/>
      <c r="P942" s="13"/>
      <c r="Q942" s="14">
        <f>Tabela1[[#This Row],[QTDE/ Fabricação]]-Tabela1[[#This Row],[QTE]]</f>
        <v>-4</v>
      </c>
      <c r="R942" s="18">
        <f t="shared" si="189"/>
        <v>87.708399999999997</v>
      </c>
      <c r="S942" s="18">
        <f t="shared" si="190"/>
        <v>36.764000000000003</v>
      </c>
      <c r="T942" s="19">
        <f t="shared" si="191"/>
        <v>-68.27600000000001</v>
      </c>
      <c r="U942" s="16">
        <f>IFERROR(SUMIF('LISTA DE EMBARQUE'!B:B,MICRO!E:E,'LISTA DE EMBARQUE'!G:G),"")</f>
        <v>0</v>
      </c>
      <c r="V942" s="12" t="str">
        <f>IFERROR(VLOOKUP(Tabela1[[#This Row],[COD.MDE]],'LISTA DE EMBARQUE'!B:L,11,0),"")</f>
        <v/>
      </c>
      <c r="W942" s="13" t="str">
        <f>IFERROR(VLOOKUP(Tabela1[[#This Row],[COD.MDE]],'LISTA DE EMBARQUE'!B:M,12,0),"")</f>
        <v/>
      </c>
      <c r="X942" s="14">
        <f>IFERROR(Tabela1[[#This Row],[QIANTIDADE EXPEDIDA]]*Tabela1[[#This Row],[PESO UNI]],"")</f>
        <v>0</v>
      </c>
      <c r="Y942" s="14">
        <f t="shared" si="192"/>
        <v>-4</v>
      </c>
      <c r="Z942" s="20">
        <f>Tabela1[[#This Row],[PESO TOTAL]]-Tabela1[[#This Row],[Peso Expedido]]</f>
        <v>105.04</v>
      </c>
      <c r="AA942" s="17">
        <v>1</v>
      </c>
      <c r="AB942" s="33"/>
      <c r="AC942" s="33">
        <v>1</v>
      </c>
      <c r="AD942" s="33">
        <v>0.7</v>
      </c>
      <c r="AE942" s="33">
        <v>0.7</v>
      </c>
      <c r="AF942" s="33">
        <v>0.4</v>
      </c>
      <c r="AG942" s="33">
        <v>0.35</v>
      </c>
      <c r="AH942" s="33"/>
      <c r="AI942" s="33"/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customHeight="1" x14ac:dyDescent="0.25">
      <c r="A943" s="1" t="s">
        <v>5128</v>
      </c>
      <c r="B943" s="21" t="s">
        <v>5129</v>
      </c>
      <c r="C943" s="1">
        <v>4</v>
      </c>
      <c r="D943" s="1" t="s">
        <v>5131</v>
      </c>
      <c r="E943" s="7">
        <v>4570</v>
      </c>
      <c r="F943" s="7">
        <v>58</v>
      </c>
      <c r="G943" s="1">
        <v>31.82</v>
      </c>
      <c r="H943" s="34">
        <f>Tabela1[[#This Row],[PESO UNI]]*Tabela1[[#This Row],[QTE]]</f>
        <v>127.28</v>
      </c>
      <c r="I943" s="7">
        <v>0</v>
      </c>
      <c r="J943" s="8" t="s">
        <v>3045</v>
      </c>
      <c r="K943" s="8" t="s">
        <v>4320</v>
      </c>
      <c r="L943" s="9" t="s">
        <v>2984</v>
      </c>
      <c r="M943" s="10">
        <v>46251</v>
      </c>
      <c r="N943" s="8" t="s">
        <v>5105</v>
      </c>
      <c r="O943" s="12"/>
      <c r="P943" s="13"/>
      <c r="Q943" s="14">
        <f>Tabela1[[#This Row],[QTDE/ Fabricação]]-Tabela1[[#This Row],[QTE]]</f>
        <v>-4</v>
      </c>
      <c r="R943" s="18">
        <f t="shared" si="189"/>
        <v>106.27879999999999</v>
      </c>
      <c r="S943" s="18">
        <f t="shared" si="190"/>
        <v>44.547999999999995</v>
      </c>
      <c r="T943" s="19">
        <f t="shared" si="191"/>
        <v>-82.731999999999999</v>
      </c>
      <c r="U943" s="16">
        <f>IFERROR(SUMIF('LISTA DE EMBARQUE'!B:B,MICRO!E:E,'LISTA DE EMBARQUE'!G:G),"")</f>
        <v>0</v>
      </c>
      <c r="V943" s="12" t="str">
        <f>IFERROR(VLOOKUP(Tabela1[[#This Row],[COD.MDE]],'LISTA DE EMBARQUE'!B:L,11,0),"")</f>
        <v/>
      </c>
      <c r="W943" s="13" t="str">
        <f>IFERROR(VLOOKUP(Tabela1[[#This Row],[COD.MDE]],'LISTA DE EMBARQUE'!B:M,12,0),"")</f>
        <v/>
      </c>
      <c r="X943" s="14">
        <f>IFERROR(Tabela1[[#This Row],[QIANTIDADE EXPEDIDA]]*Tabela1[[#This Row],[PESO UNI]],"")</f>
        <v>0</v>
      </c>
      <c r="Y943" s="14">
        <f t="shared" si="192"/>
        <v>-4</v>
      </c>
      <c r="Z943" s="20">
        <f>Tabela1[[#This Row],[PESO TOTAL]]-Tabela1[[#This Row],[Peso Expedido]]</f>
        <v>127.28</v>
      </c>
      <c r="AA943" s="17">
        <v>1</v>
      </c>
      <c r="AB943" s="33"/>
      <c r="AC943" s="33">
        <v>1</v>
      </c>
      <c r="AD943" s="33">
        <v>0.7</v>
      </c>
      <c r="AE943" s="33">
        <v>0.7</v>
      </c>
      <c r="AF943" s="33">
        <v>0.4</v>
      </c>
      <c r="AG943" s="33">
        <v>0.35</v>
      </c>
      <c r="AH943" s="33"/>
      <c r="AI943" s="33"/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customHeight="1" x14ac:dyDescent="0.25">
      <c r="A944" s="1" t="s">
        <v>5128</v>
      </c>
      <c r="B944" s="21" t="s">
        <v>5129</v>
      </c>
      <c r="C944" s="1">
        <v>4</v>
      </c>
      <c r="D944" s="1" t="s">
        <v>5132</v>
      </c>
      <c r="E944" s="7">
        <v>4571</v>
      </c>
      <c r="F944" s="7">
        <v>58</v>
      </c>
      <c r="G944" s="1">
        <v>30.1</v>
      </c>
      <c r="H944" s="34">
        <f>Tabela1[[#This Row],[PESO UNI]]*Tabela1[[#This Row],[QTE]]</f>
        <v>120.4</v>
      </c>
      <c r="I944" s="7">
        <v>0</v>
      </c>
      <c r="J944" s="8" t="s">
        <v>3045</v>
      </c>
      <c r="K944" s="8" t="s">
        <v>4320</v>
      </c>
      <c r="L944" s="9" t="s">
        <v>2984</v>
      </c>
      <c r="M944" s="10">
        <v>46251</v>
      </c>
      <c r="N944" s="8" t="s">
        <v>5105</v>
      </c>
      <c r="O944" s="12"/>
      <c r="P944" s="13"/>
      <c r="Q944" s="14">
        <f>Tabela1[[#This Row],[QTDE/ Fabricação]]-Tabela1[[#This Row],[QTE]]</f>
        <v>-4</v>
      </c>
      <c r="R944" s="18">
        <f t="shared" si="189"/>
        <v>100.53400000000001</v>
      </c>
      <c r="S944" s="18">
        <f t="shared" si="190"/>
        <v>42.14</v>
      </c>
      <c r="T944" s="19">
        <f t="shared" si="191"/>
        <v>-78.260000000000005</v>
      </c>
      <c r="U944" s="16">
        <f>IFERROR(SUMIF('LISTA DE EMBARQUE'!B:B,MICRO!E:E,'LISTA DE EMBARQUE'!G:G),"")</f>
        <v>0</v>
      </c>
      <c r="V944" s="12" t="str">
        <f>IFERROR(VLOOKUP(Tabela1[[#This Row],[COD.MDE]],'LISTA DE EMBARQUE'!B:L,11,0),"")</f>
        <v/>
      </c>
      <c r="W944" s="13" t="str">
        <f>IFERROR(VLOOKUP(Tabela1[[#This Row],[COD.MDE]],'LISTA DE EMBARQUE'!B:M,12,0),"")</f>
        <v/>
      </c>
      <c r="X944" s="14">
        <f>IFERROR(Tabela1[[#This Row],[QIANTIDADE EXPEDIDA]]*Tabela1[[#This Row],[PESO UNI]],"")</f>
        <v>0</v>
      </c>
      <c r="Y944" s="14">
        <f t="shared" si="192"/>
        <v>-4</v>
      </c>
      <c r="Z944" s="20">
        <f>Tabela1[[#This Row],[PESO TOTAL]]-Tabela1[[#This Row],[Peso Expedido]]</f>
        <v>120.4</v>
      </c>
      <c r="AA944" s="17">
        <v>1</v>
      </c>
      <c r="AB944" s="33"/>
      <c r="AC944" s="33">
        <v>1</v>
      </c>
      <c r="AD944" s="33">
        <v>0.7</v>
      </c>
      <c r="AE944" s="33">
        <v>0.7</v>
      </c>
      <c r="AF944" s="33">
        <v>0.4</v>
      </c>
      <c r="AG944" s="33">
        <v>0.35</v>
      </c>
      <c r="AH944" s="33"/>
      <c r="AI944" s="33"/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customHeight="1" x14ac:dyDescent="0.25">
      <c r="A945" s="1" t="s">
        <v>5128</v>
      </c>
      <c r="B945" s="21" t="s">
        <v>5129</v>
      </c>
      <c r="C945" s="1">
        <v>4</v>
      </c>
      <c r="D945" s="1" t="s">
        <v>5133</v>
      </c>
      <c r="E945" s="7">
        <v>4572</v>
      </c>
      <c r="F945" s="7">
        <v>58</v>
      </c>
      <c r="G945" s="1">
        <v>34.200000000000003</v>
      </c>
      <c r="H945" s="34">
        <f>Tabela1[[#This Row],[PESO UNI]]*Tabela1[[#This Row],[QTE]]</f>
        <v>136.80000000000001</v>
      </c>
      <c r="I945" s="7">
        <v>0</v>
      </c>
      <c r="J945" s="8" t="s">
        <v>3045</v>
      </c>
      <c r="K945" s="8" t="s">
        <v>4320</v>
      </c>
      <c r="L945" s="9" t="s">
        <v>2984</v>
      </c>
      <c r="M945" s="10">
        <v>46251</v>
      </c>
      <c r="N945" s="8" t="s">
        <v>5105</v>
      </c>
      <c r="O945" s="12"/>
      <c r="P945" s="13"/>
      <c r="Q945" s="14">
        <f>Tabela1[[#This Row],[QTDE/ Fabricação]]-Tabela1[[#This Row],[QTE]]</f>
        <v>-4</v>
      </c>
      <c r="R945" s="18">
        <f t="shared" si="189"/>
        <v>114.22800000000001</v>
      </c>
      <c r="S945" s="18">
        <f t="shared" si="190"/>
        <v>47.88</v>
      </c>
      <c r="T945" s="19">
        <f t="shared" si="191"/>
        <v>-88.920000000000016</v>
      </c>
      <c r="U945" s="16">
        <f>IFERROR(SUMIF('LISTA DE EMBARQUE'!B:B,MICRO!E:E,'LISTA DE EMBARQUE'!G:G),"")</f>
        <v>0</v>
      </c>
      <c r="V945" s="12" t="str">
        <f>IFERROR(VLOOKUP(Tabela1[[#This Row],[COD.MDE]],'LISTA DE EMBARQUE'!B:L,11,0),"")</f>
        <v/>
      </c>
      <c r="W945" s="13" t="str">
        <f>IFERROR(VLOOKUP(Tabela1[[#This Row],[COD.MDE]],'LISTA DE EMBARQUE'!B:M,12,0),"")</f>
        <v/>
      </c>
      <c r="X945" s="14">
        <f>IFERROR(Tabela1[[#This Row],[QIANTIDADE EXPEDIDA]]*Tabela1[[#This Row],[PESO UNI]],"")</f>
        <v>0</v>
      </c>
      <c r="Y945" s="14">
        <f t="shared" si="192"/>
        <v>-4</v>
      </c>
      <c r="Z945" s="20">
        <f>Tabela1[[#This Row],[PESO TOTAL]]-Tabela1[[#This Row],[Peso Expedido]]</f>
        <v>136.80000000000001</v>
      </c>
      <c r="AA945" s="17">
        <v>1</v>
      </c>
      <c r="AB945" s="33"/>
      <c r="AC945" s="33">
        <v>1</v>
      </c>
      <c r="AD945" s="33">
        <v>0.7</v>
      </c>
      <c r="AE945" s="33">
        <v>0.7</v>
      </c>
      <c r="AF945" s="33">
        <v>0.4</v>
      </c>
      <c r="AG945" s="33">
        <v>0.35</v>
      </c>
      <c r="AH945" s="33"/>
      <c r="AI945" s="33"/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customHeight="1" x14ac:dyDescent="0.25">
      <c r="A946" s="1" t="s">
        <v>5128</v>
      </c>
      <c r="B946" s="21" t="s">
        <v>5129</v>
      </c>
      <c r="C946" s="1">
        <v>2</v>
      </c>
      <c r="D946" s="1" t="s">
        <v>5134</v>
      </c>
      <c r="E946" s="7">
        <v>4573</v>
      </c>
      <c r="F946" s="7">
        <v>58</v>
      </c>
      <c r="G946" s="1">
        <v>29.36</v>
      </c>
      <c r="H946" s="34">
        <f>Tabela1[[#This Row],[PESO UNI]]*Tabela1[[#This Row],[QTE]]</f>
        <v>58.72</v>
      </c>
      <c r="I946" s="7">
        <v>0</v>
      </c>
      <c r="J946" s="8" t="s">
        <v>3045</v>
      </c>
      <c r="K946" s="8" t="s">
        <v>4320</v>
      </c>
      <c r="L946" s="9" t="s">
        <v>2984</v>
      </c>
      <c r="M946" s="10">
        <v>46251</v>
      </c>
      <c r="N946" s="8" t="s">
        <v>5105</v>
      </c>
      <c r="O946" s="12"/>
      <c r="P946" s="13"/>
      <c r="Q946" s="14">
        <f>Tabela1[[#This Row],[QTDE/ Fabricação]]-Tabela1[[#This Row],[QTE]]</f>
        <v>-2</v>
      </c>
      <c r="R946" s="18">
        <f t="shared" si="189"/>
        <v>49.031199999999998</v>
      </c>
      <c r="S946" s="18">
        <f t="shared" si="190"/>
        <v>20.552</v>
      </c>
      <c r="T946" s="19">
        <f t="shared" si="191"/>
        <v>-38.167999999999999</v>
      </c>
      <c r="U946" s="16">
        <f>IFERROR(SUMIF('LISTA DE EMBARQUE'!B:B,MICRO!E:E,'LISTA DE EMBARQUE'!G:G),"")</f>
        <v>0</v>
      </c>
      <c r="V946" s="12" t="str">
        <f>IFERROR(VLOOKUP(Tabela1[[#This Row],[COD.MDE]],'LISTA DE EMBARQUE'!B:L,11,0),"")</f>
        <v/>
      </c>
      <c r="W946" s="13" t="str">
        <f>IFERROR(VLOOKUP(Tabela1[[#This Row],[COD.MDE]],'LISTA DE EMBARQUE'!B:M,12,0),"")</f>
        <v/>
      </c>
      <c r="X946" s="14">
        <f>IFERROR(Tabela1[[#This Row],[QIANTIDADE EXPEDIDA]]*Tabela1[[#This Row],[PESO UNI]],"")</f>
        <v>0</v>
      </c>
      <c r="Y946" s="14">
        <f t="shared" si="192"/>
        <v>-2</v>
      </c>
      <c r="Z946" s="20">
        <f>Tabela1[[#This Row],[PESO TOTAL]]-Tabela1[[#This Row],[Peso Expedido]]</f>
        <v>58.72</v>
      </c>
      <c r="AA946" s="17">
        <v>1</v>
      </c>
      <c r="AB946" s="33"/>
      <c r="AC946" s="33">
        <v>1</v>
      </c>
      <c r="AD946" s="33">
        <v>0.7</v>
      </c>
      <c r="AE946" s="33">
        <v>0.7</v>
      </c>
      <c r="AF946" s="33">
        <v>0.4</v>
      </c>
      <c r="AG946" s="33">
        <v>0.35</v>
      </c>
      <c r="AH946" s="33"/>
      <c r="AI946" s="33"/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customHeight="1" x14ac:dyDescent="0.25">
      <c r="A947" s="1" t="s">
        <v>5128</v>
      </c>
      <c r="B947" s="21" t="s">
        <v>5129</v>
      </c>
      <c r="C947" s="1">
        <v>2</v>
      </c>
      <c r="D947" s="1" t="s">
        <v>5135</v>
      </c>
      <c r="E947" s="7">
        <v>4574</v>
      </c>
      <c r="F947" s="7">
        <v>58</v>
      </c>
      <c r="G947" s="1">
        <v>27.46</v>
      </c>
      <c r="H947" s="34">
        <f>Tabela1[[#This Row],[PESO UNI]]*Tabela1[[#This Row],[QTE]]</f>
        <v>54.92</v>
      </c>
      <c r="I947" s="7">
        <v>0</v>
      </c>
      <c r="J947" s="8" t="s">
        <v>3045</v>
      </c>
      <c r="K947" s="8" t="s">
        <v>4320</v>
      </c>
      <c r="L947" s="9" t="s">
        <v>2984</v>
      </c>
      <c r="M947" s="10">
        <v>46251</v>
      </c>
      <c r="N947" s="8" t="s">
        <v>5105</v>
      </c>
      <c r="O947" s="12"/>
      <c r="P947" s="13"/>
      <c r="Q947" s="14">
        <f>Tabela1[[#This Row],[QTDE/ Fabricação]]-Tabela1[[#This Row],[QTE]]</f>
        <v>-2</v>
      </c>
      <c r="R947" s="18">
        <f t="shared" si="189"/>
        <v>45.858199999999997</v>
      </c>
      <c r="S947" s="18">
        <f t="shared" si="190"/>
        <v>19.221999999999998</v>
      </c>
      <c r="T947" s="19">
        <f t="shared" si="191"/>
        <v>-35.698000000000008</v>
      </c>
      <c r="U947" s="16">
        <f>IFERROR(SUMIF('LISTA DE EMBARQUE'!B:B,MICRO!E:E,'LISTA DE EMBARQUE'!G:G),"")</f>
        <v>0</v>
      </c>
      <c r="V947" s="12" t="str">
        <f>IFERROR(VLOOKUP(Tabela1[[#This Row],[COD.MDE]],'LISTA DE EMBARQUE'!B:L,11,0),"")</f>
        <v/>
      </c>
      <c r="W947" s="13" t="str">
        <f>IFERROR(VLOOKUP(Tabela1[[#This Row],[COD.MDE]],'LISTA DE EMBARQUE'!B:M,12,0),"")</f>
        <v/>
      </c>
      <c r="X947" s="14">
        <f>IFERROR(Tabela1[[#This Row],[QIANTIDADE EXPEDIDA]]*Tabela1[[#This Row],[PESO UNI]],"")</f>
        <v>0</v>
      </c>
      <c r="Y947" s="14">
        <f t="shared" si="192"/>
        <v>-2</v>
      </c>
      <c r="Z947" s="20">
        <f>Tabela1[[#This Row],[PESO TOTAL]]-Tabela1[[#This Row],[Peso Expedido]]</f>
        <v>54.92</v>
      </c>
      <c r="AA947" s="17">
        <v>1</v>
      </c>
      <c r="AB947" s="33"/>
      <c r="AC947" s="33">
        <v>1</v>
      </c>
      <c r="AD947" s="33">
        <v>0.7</v>
      </c>
      <c r="AE947" s="33">
        <v>0.7</v>
      </c>
      <c r="AF947" s="33">
        <v>0.4</v>
      </c>
      <c r="AG947" s="33">
        <v>0.35</v>
      </c>
      <c r="AH947" s="33"/>
      <c r="AI947" s="33"/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customHeight="1" x14ac:dyDescent="0.25">
      <c r="A948" s="1" t="s">
        <v>5128</v>
      </c>
      <c r="B948" s="21" t="s">
        <v>5129</v>
      </c>
      <c r="C948" s="1">
        <v>2</v>
      </c>
      <c r="D948" s="1" t="s">
        <v>5137</v>
      </c>
      <c r="E948" s="7">
        <v>4575</v>
      </c>
      <c r="F948" s="7">
        <v>58</v>
      </c>
      <c r="G948" s="1">
        <v>71.62</v>
      </c>
      <c r="H948" s="34">
        <f>Tabela1[[#This Row],[PESO UNI]]*Tabela1[[#This Row],[QTE]]</f>
        <v>143.24</v>
      </c>
      <c r="I948" s="7">
        <v>0</v>
      </c>
      <c r="J948" s="8" t="s">
        <v>3045</v>
      </c>
      <c r="K948" s="8" t="s">
        <v>4320</v>
      </c>
      <c r="L948" s="9" t="s">
        <v>2984</v>
      </c>
      <c r="M948" s="10">
        <v>46251</v>
      </c>
      <c r="N948" s="8" t="s">
        <v>5105</v>
      </c>
      <c r="O948" s="12"/>
      <c r="P948" s="13"/>
      <c r="Q948" s="14">
        <f>Tabela1[[#This Row],[QTDE/ Fabricação]]-Tabela1[[#This Row],[QTE]]</f>
        <v>-2</v>
      </c>
      <c r="R948" s="18">
        <f t="shared" si="189"/>
        <v>119.6054</v>
      </c>
      <c r="S948" s="18">
        <f t="shared" si="190"/>
        <v>50.134</v>
      </c>
      <c r="T948" s="19">
        <f t="shared" si="191"/>
        <v>-93.106000000000009</v>
      </c>
      <c r="U948" s="16">
        <f>IFERROR(SUMIF('LISTA DE EMBARQUE'!B:B,MICRO!E:E,'LISTA DE EMBARQUE'!G:G),"")</f>
        <v>0</v>
      </c>
      <c r="V948" s="12" t="str">
        <f>IFERROR(VLOOKUP(Tabela1[[#This Row],[COD.MDE]],'LISTA DE EMBARQUE'!B:L,11,0),"")</f>
        <v/>
      </c>
      <c r="W948" s="13" t="str">
        <f>IFERROR(VLOOKUP(Tabela1[[#This Row],[COD.MDE]],'LISTA DE EMBARQUE'!B:M,12,0),"")</f>
        <v/>
      </c>
      <c r="X948" s="14">
        <f>IFERROR(Tabela1[[#This Row],[QIANTIDADE EXPEDIDA]]*Tabela1[[#This Row],[PESO UNI]],"")</f>
        <v>0</v>
      </c>
      <c r="Y948" s="14">
        <f t="shared" si="192"/>
        <v>-2</v>
      </c>
      <c r="Z948" s="20">
        <f>Tabela1[[#This Row],[PESO TOTAL]]-Tabela1[[#This Row],[Peso Expedido]]</f>
        <v>143.24</v>
      </c>
      <c r="AA948" s="17">
        <v>1</v>
      </c>
      <c r="AB948" s="33"/>
      <c r="AC948" s="33">
        <v>1</v>
      </c>
      <c r="AD948" s="33">
        <v>0.7</v>
      </c>
      <c r="AE948" s="33">
        <v>0.7</v>
      </c>
      <c r="AF948" s="33">
        <v>0.4</v>
      </c>
      <c r="AG948" s="33">
        <v>0.35</v>
      </c>
      <c r="AH948" s="33"/>
      <c r="AI948" s="33"/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customHeight="1" x14ac:dyDescent="0.25">
      <c r="A949" s="1" t="s">
        <v>5128</v>
      </c>
      <c r="B949" s="21" t="s">
        <v>5129</v>
      </c>
      <c r="C949" s="1">
        <v>2</v>
      </c>
      <c r="D949" s="1" t="s">
        <v>5136</v>
      </c>
      <c r="E949" s="7">
        <v>4576</v>
      </c>
      <c r="F949" s="7">
        <v>58</v>
      </c>
      <c r="G949" s="1">
        <v>82.73</v>
      </c>
      <c r="H949" s="34">
        <f>Tabela1[[#This Row],[PESO UNI]]*Tabela1[[#This Row],[QTE]]</f>
        <v>165.46</v>
      </c>
      <c r="I949" s="7">
        <v>0</v>
      </c>
      <c r="J949" s="8" t="s">
        <v>3045</v>
      </c>
      <c r="K949" s="8" t="s">
        <v>4320</v>
      </c>
      <c r="L949" s="9" t="s">
        <v>2984</v>
      </c>
      <c r="M949" s="10">
        <v>46251</v>
      </c>
      <c r="N949" s="8" t="s">
        <v>5105</v>
      </c>
      <c r="O949" s="12"/>
      <c r="P949" s="13"/>
      <c r="Q949" s="14">
        <f>Tabela1[[#This Row],[QTDE/ Fabricação]]-Tabela1[[#This Row],[QTE]]</f>
        <v>-2</v>
      </c>
      <c r="R949" s="18">
        <f t="shared" si="189"/>
        <v>138.1591</v>
      </c>
      <c r="S949" s="18">
        <f t="shared" si="190"/>
        <v>57.911000000000001</v>
      </c>
      <c r="T949" s="19">
        <f t="shared" si="191"/>
        <v>-107.54900000000001</v>
      </c>
      <c r="U949" s="16">
        <f>IFERROR(SUMIF('LISTA DE EMBARQUE'!B:B,MICRO!E:E,'LISTA DE EMBARQUE'!G:G),"")</f>
        <v>0</v>
      </c>
      <c r="V949" s="12" t="str">
        <f>IFERROR(VLOOKUP(Tabela1[[#This Row],[COD.MDE]],'LISTA DE EMBARQUE'!B:L,11,0),"")</f>
        <v/>
      </c>
      <c r="W949" s="13" t="str">
        <f>IFERROR(VLOOKUP(Tabela1[[#This Row],[COD.MDE]],'LISTA DE EMBARQUE'!B:M,12,0),"")</f>
        <v/>
      </c>
      <c r="X949" s="14">
        <f>IFERROR(Tabela1[[#This Row],[QIANTIDADE EXPEDIDA]]*Tabela1[[#This Row],[PESO UNI]],"")</f>
        <v>0</v>
      </c>
      <c r="Y949" s="14">
        <f t="shared" si="192"/>
        <v>-2</v>
      </c>
      <c r="Z949" s="20">
        <f>Tabela1[[#This Row],[PESO TOTAL]]-Tabela1[[#This Row],[Peso Expedido]]</f>
        <v>165.46</v>
      </c>
      <c r="AA949" s="17">
        <v>1</v>
      </c>
      <c r="AB949" s="33"/>
      <c r="AC949" s="33">
        <v>1</v>
      </c>
      <c r="AD949" s="33">
        <v>0.7</v>
      </c>
      <c r="AE949" s="33">
        <v>0.7</v>
      </c>
      <c r="AF949" s="33">
        <v>0.4</v>
      </c>
      <c r="AG949" s="33">
        <v>0.35</v>
      </c>
      <c r="AH949" s="33"/>
      <c r="AI949" s="33"/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customHeight="1" x14ac:dyDescent="0.25">
      <c r="A950" s="1" t="s">
        <v>5138</v>
      </c>
      <c r="B950" s="21" t="s">
        <v>5139</v>
      </c>
      <c r="C950" s="1">
        <v>1</v>
      </c>
      <c r="D950" s="1" t="s">
        <v>5140</v>
      </c>
      <c r="E950" s="7">
        <v>4577</v>
      </c>
      <c r="F950" s="7">
        <v>58</v>
      </c>
      <c r="G950" s="1">
        <v>92.27</v>
      </c>
      <c r="H950" s="34">
        <f>Tabela1[[#This Row],[PESO UNI]]*Tabela1[[#This Row],[QTE]]</f>
        <v>92.27</v>
      </c>
      <c r="I950" s="7">
        <v>0</v>
      </c>
      <c r="J950" s="8" t="s">
        <v>3045</v>
      </c>
      <c r="K950" s="8" t="s">
        <v>4320</v>
      </c>
      <c r="L950" s="9" t="s">
        <v>2984</v>
      </c>
      <c r="M950" s="10">
        <v>46251</v>
      </c>
      <c r="N950" s="8" t="s">
        <v>5105</v>
      </c>
      <c r="O950" s="12"/>
      <c r="P950" s="13"/>
      <c r="Q950" s="14">
        <f>Tabela1[[#This Row],[QTDE/ Fabricação]]-Tabela1[[#This Row],[QTE]]</f>
        <v>-1</v>
      </c>
      <c r="R950" s="18">
        <f t="shared" si="189"/>
        <v>77.045449999999988</v>
      </c>
      <c r="S950" s="18">
        <f t="shared" si="190"/>
        <v>32.294499999999999</v>
      </c>
      <c r="T950" s="19">
        <f t="shared" si="191"/>
        <v>-59.975499999999997</v>
      </c>
      <c r="U950" s="16">
        <f>IFERROR(SUMIF('LISTA DE EMBARQUE'!B:B,MICRO!E:E,'LISTA DE EMBARQUE'!G:G),"")</f>
        <v>0</v>
      </c>
      <c r="V950" s="12" t="str">
        <f>IFERROR(VLOOKUP(Tabela1[[#This Row],[COD.MDE]],'LISTA DE EMBARQUE'!B:L,11,0),"")</f>
        <v/>
      </c>
      <c r="W950" s="13" t="str">
        <f>IFERROR(VLOOKUP(Tabela1[[#This Row],[COD.MDE]],'LISTA DE EMBARQUE'!B:M,12,0),"")</f>
        <v/>
      </c>
      <c r="X950" s="14">
        <f>IFERROR(Tabela1[[#This Row],[QIANTIDADE EXPEDIDA]]*Tabela1[[#This Row],[PESO UNI]],"")</f>
        <v>0</v>
      </c>
      <c r="Y950" s="14">
        <f t="shared" si="192"/>
        <v>-1</v>
      </c>
      <c r="Z950" s="20">
        <f>Tabela1[[#This Row],[PESO TOTAL]]-Tabela1[[#This Row],[Peso Expedido]]</f>
        <v>92.27</v>
      </c>
      <c r="AA950" s="17">
        <v>1</v>
      </c>
      <c r="AB950" s="33"/>
      <c r="AC950" s="33">
        <v>1</v>
      </c>
      <c r="AD950" s="33">
        <v>0.7</v>
      </c>
      <c r="AE950" s="33">
        <v>0.7</v>
      </c>
      <c r="AF950" s="33">
        <v>0.4</v>
      </c>
      <c r="AG950" s="33">
        <v>0.35</v>
      </c>
      <c r="AH950" s="33"/>
      <c r="AI950" s="33"/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customHeight="1" x14ac:dyDescent="0.25">
      <c r="A951" s="1" t="s">
        <v>5138</v>
      </c>
      <c r="B951" s="21" t="s">
        <v>5139</v>
      </c>
      <c r="C951" s="1">
        <v>1</v>
      </c>
      <c r="D951" s="1" t="s">
        <v>5141</v>
      </c>
      <c r="E951" s="7">
        <v>4578</v>
      </c>
      <c r="F951" s="7">
        <v>58</v>
      </c>
      <c r="G951" s="1">
        <v>93.32</v>
      </c>
      <c r="H951" s="34">
        <f>Tabela1[[#This Row],[PESO UNI]]*Tabela1[[#This Row],[QTE]]</f>
        <v>93.32</v>
      </c>
      <c r="I951" s="7">
        <v>0</v>
      </c>
      <c r="J951" s="8" t="s">
        <v>3045</v>
      </c>
      <c r="K951" s="8" t="s">
        <v>4320</v>
      </c>
      <c r="L951" s="9" t="s">
        <v>2984</v>
      </c>
      <c r="M951" s="10">
        <v>46251</v>
      </c>
      <c r="N951" s="8" t="s">
        <v>5105</v>
      </c>
      <c r="O951" s="12"/>
      <c r="P951" s="13"/>
      <c r="Q951" s="14">
        <f>Tabela1[[#This Row],[QTDE/ Fabricação]]-Tabela1[[#This Row],[QTE]]</f>
        <v>-1</v>
      </c>
      <c r="R951" s="18">
        <f t="shared" si="189"/>
        <v>77.922199999999989</v>
      </c>
      <c r="S951" s="18">
        <f t="shared" si="190"/>
        <v>32.661999999999999</v>
      </c>
      <c r="T951" s="19">
        <f t="shared" si="191"/>
        <v>-60.657999999999994</v>
      </c>
      <c r="U951" s="16">
        <f>IFERROR(SUMIF('LISTA DE EMBARQUE'!B:B,MICRO!E:E,'LISTA DE EMBARQUE'!G:G),"")</f>
        <v>0</v>
      </c>
      <c r="V951" s="12" t="str">
        <f>IFERROR(VLOOKUP(Tabela1[[#This Row],[COD.MDE]],'LISTA DE EMBARQUE'!B:L,11,0),"")</f>
        <v/>
      </c>
      <c r="W951" s="13" t="str">
        <f>IFERROR(VLOOKUP(Tabela1[[#This Row],[COD.MDE]],'LISTA DE EMBARQUE'!B:M,12,0),"")</f>
        <v/>
      </c>
      <c r="X951" s="14">
        <f>IFERROR(Tabela1[[#This Row],[QIANTIDADE EXPEDIDA]]*Tabela1[[#This Row],[PESO UNI]],"")</f>
        <v>0</v>
      </c>
      <c r="Y951" s="14">
        <f t="shared" si="192"/>
        <v>-1</v>
      </c>
      <c r="Z951" s="20">
        <f>Tabela1[[#This Row],[PESO TOTAL]]-Tabela1[[#This Row],[Peso Expedido]]</f>
        <v>93.32</v>
      </c>
      <c r="AA951" s="17">
        <v>1</v>
      </c>
      <c r="AB951" s="33"/>
      <c r="AC951" s="33">
        <v>1</v>
      </c>
      <c r="AD951" s="33">
        <v>0.7</v>
      </c>
      <c r="AE951" s="33">
        <v>0.7</v>
      </c>
      <c r="AF951" s="33">
        <v>0.4</v>
      </c>
      <c r="AG951" s="33">
        <v>0.35</v>
      </c>
      <c r="AH951" s="33"/>
      <c r="AI951" s="33"/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customHeight="1" x14ac:dyDescent="0.25">
      <c r="A952" s="1" t="s">
        <v>5138</v>
      </c>
      <c r="B952" s="21" t="s">
        <v>5139</v>
      </c>
      <c r="C952" s="1">
        <v>1</v>
      </c>
      <c r="D952" s="1" t="s">
        <v>5142</v>
      </c>
      <c r="E952" s="7">
        <v>4579</v>
      </c>
      <c r="F952" s="7">
        <v>58</v>
      </c>
      <c r="G952" s="1">
        <v>60.64</v>
      </c>
      <c r="H952" s="34">
        <f>Tabela1[[#This Row],[PESO UNI]]*Tabela1[[#This Row],[QTE]]</f>
        <v>60.64</v>
      </c>
      <c r="I952" s="7">
        <v>0</v>
      </c>
      <c r="J952" s="8" t="s">
        <v>3045</v>
      </c>
      <c r="K952" s="8" t="s">
        <v>4320</v>
      </c>
      <c r="L952" s="9" t="s">
        <v>2984</v>
      </c>
      <c r="M952" s="10">
        <v>46251</v>
      </c>
      <c r="N952" s="8" t="s">
        <v>5105</v>
      </c>
      <c r="O952" s="12"/>
      <c r="P952" s="13"/>
      <c r="Q952" s="14">
        <f>Tabela1[[#This Row],[QTDE/ Fabricação]]-Tabela1[[#This Row],[QTE]]</f>
        <v>-1</v>
      </c>
      <c r="R952" s="18">
        <f t="shared" si="189"/>
        <v>50.634399999999999</v>
      </c>
      <c r="S952" s="18">
        <f t="shared" si="190"/>
        <v>21.224</v>
      </c>
      <c r="T952" s="19">
        <f t="shared" si="191"/>
        <v>-39.415999999999997</v>
      </c>
      <c r="U952" s="16">
        <f>IFERROR(SUMIF('LISTA DE EMBARQUE'!B:B,MICRO!E:E,'LISTA DE EMBARQUE'!G:G),"")</f>
        <v>0</v>
      </c>
      <c r="V952" s="12" t="str">
        <f>IFERROR(VLOOKUP(Tabela1[[#This Row],[COD.MDE]],'LISTA DE EMBARQUE'!B:L,11,0),"")</f>
        <v/>
      </c>
      <c r="W952" s="13" t="str">
        <f>IFERROR(VLOOKUP(Tabela1[[#This Row],[COD.MDE]],'LISTA DE EMBARQUE'!B:M,12,0),"")</f>
        <v/>
      </c>
      <c r="X952" s="14">
        <f>IFERROR(Tabela1[[#This Row],[QIANTIDADE EXPEDIDA]]*Tabela1[[#This Row],[PESO UNI]],"")</f>
        <v>0</v>
      </c>
      <c r="Y952" s="14">
        <f t="shared" si="192"/>
        <v>-1</v>
      </c>
      <c r="Z952" s="20">
        <f>Tabela1[[#This Row],[PESO TOTAL]]-Tabela1[[#This Row],[Peso Expedido]]</f>
        <v>60.64</v>
      </c>
      <c r="AA952" s="17">
        <v>1</v>
      </c>
      <c r="AB952" s="33"/>
      <c r="AC952" s="33">
        <v>1</v>
      </c>
      <c r="AD952" s="33">
        <v>0.7</v>
      </c>
      <c r="AE952" s="33">
        <v>0.7</v>
      </c>
      <c r="AF952" s="33">
        <v>0.4</v>
      </c>
      <c r="AG952" s="33">
        <v>0.35</v>
      </c>
      <c r="AH952" s="33"/>
      <c r="AI952" s="33"/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customHeight="1" x14ac:dyDescent="0.25">
      <c r="A953" s="1" t="s">
        <v>5138</v>
      </c>
      <c r="B953" s="21" t="s">
        <v>5139</v>
      </c>
      <c r="C953" s="1">
        <v>2</v>
      </c>
      <c r="D953" s="1" t="s">
        <v>5143</v>
      </c>
      <c r="E953" s="7">
        <v>4580</v>
      </c>
      <c r="F953" s="7">
        <v>58</v>
      </c>
      <c r="G953" s="1">
        <v>91.98</v>
      </c>
      <c r="H953" s="34">
        <f>Tabela1[[#This Row],[PESO UNI]]*Tabela1[[#This Row],[QTE]]</f>
        <v>183.96</v>
      </c>
      <c r="I953" s="7">
        <v>0</v>
      </c>
      <c r="J953" s="8" t="s">
        <v>3045</v>
      </c>
      <c r="K953" s="8" t="s">
        <v>4320</v>
      </c>
      <c r="L953" s="9" t="s">
        <v>2984</v>
      </c>
      <c r="M953" s="10">
        <v>46251</v>
      </c>
      <c r="N953" s="8" t="s">
        <v>5105</v>
      </c>
      <c r="O953" s="12"/>
      <c r="P953" s="13"/>
      <c r="Q953" s="14">
        <f>Tabela1[[#This Row],[QTDE/ Fabricação]]-Tabela1[[#This Row],[QTE]]</f>
        <v>-2</v>
      </c>
      <c r="R953" s="18" t="str">
        <f>IFERROR(H953*((AA953*0.25)+(#REF!*0.25)+(#REF!*0.225)+(#REF!*0.225)+(#REF!*0.05)),"")</f>
        <v/>
      </c>
      <c r="S953" s="18" t="str">
        <f>IFERROR(H953*#REF!,"")</f>
        <v/>
      </c>
      <c r="T953" s="19" t="str">
        <f t="shared" si="191"/>
        <v/>
      </c>
      <c r="U953" s="16">
        <f>IFERROR(SUMIF('LISTA DE EMBARQUE'!B:B,MICRO!E:E,'LISTA DE EMBARQUE'!G:G),"")</f>
        <v>0</v>
      </c>
      <c r="V953" s="12" t="str">
        <f>IFERROR(VLOOKUP(Tabela1[[#This Row],[COD.MDE]],'LISTA DE EMBARQUE'!B:L,11,0),"")</f>
        <v/>
      </c>
      <c r="W953" s="13" t="str">
        <f>IFERROR(VLOOKUP(Tabela1[[#This Row],[COD.MDE]],'LISTA DE EMBARQUE'!B:M,12,0),"")</f>
        <v/>
      </c>
      <c r="X953" s="14">
        <f>IFERROR(Tabela1[[#This Row],[QIANTIDADE EXPEDIDA]]*Tabela1[[#This Row],[PESO UNI]],"")</f>
        <v>0</v>
      </c>
      <c r="Y953" s="14">
        <f t="shared" si="192"/>
        <v>-2</v>
      </c>
      <c r="Z953" s="20">
        <f>Tabela1[[#This Row],[PESO TOTAL]]-Tabela1[[#This Row],[Peso Expedido]]</f>
        <v>183.96</v>
      </c>
      <c r="AA953" s="17">
        <v>1</v>
      </c>
      <c r="AB953" s="33"/>
      <c r="AC953" s="33">
        <v>1</v>
      </c>
      <c r="AD953" s="33">
        <v>0.7</v>
      </c>
      <c r="AE953" s="33">
        <v>0.7</v>
      </c>
      <c r="AF953" s="33">
        <v>0.4</v>
      </c>
      <c r="AG953" s="33">
        <v>0.35</v>
      </c>
      <c r="AH953" s="33"/>
      <c r="AI953" s="33"/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customHeight="1" x14ac:dyDescent="0.25">
      <c r="A954" s="1" t="s">
        <v>5138</v>
      </c>
      <c r="B954" s="21" t="s">
        <v>5139</v>
      </c>
      <c r="C954" s="1">
        <v>1</v>
      </c>
      <c r="D954" s="1" t="s">
        <v>5144</v>
      </c>
      <c r="E954" s="7">
        <v>4581</v>
      </c>
      <c r="F954" s="7">
        <v>58</v>
      </c>
      <c r="G954" s="1">
        <v>26.04</v>
      </c>
      <c r="H954" s="34">
        <f>Tabela1[[#This Row],[PESO UNI]]*Tabela1[[#This Row],[QTE]]</f>
        <v>26.04</v>
      </c>
      <c r="I954" s="7">
        <v>0</v>
      </c>
      <c r="J954" s="8" t="s">
        <v>3045</v>
      </c>
      <c r="K954" s="8" t="s">
        <v>4320</v>
      </c>
      <c r="L954" s="9" t="s">
        <v>2984</v>
      </c>
      <c r="M954" s="10">
        <v>46251</v>
      </c>
      <c r="N954" s="8" t="s">
        <v>5105</v>
      </c>
      <c r="O954" s="12"/>
      <c r="P954" s="13"/>
      <c r="Q954" s="14">
        <f>Tabela1[[#This Row],[QTDE/ Fabricação]]-Tabela1[[#This Row],[QTE]]</f>
        <v>-1</v>
      </c>
      <c r="R954" s="18">
        <f>IFERROR(H954*((AA954*0.25)+(AC953*0.25)+(AD953*0.225)+(AE953*0.225)+(AF953*0.05)),"")</f>
        <v>21.743399999999998</v>
      </c>
      <c r="S954" s="18">
        <f>IFERROR(H954*AG953,"")</f>
        <v>9.113999999999999</v>
      </c>
      <c r="T954" s="19">
        <f t="shared" si="191"/>
        <v>-16.926000000000002</v>
      </c>
      <c r="U954" s="16">
        <f>IFERROR(SUMIF('LISTA DE EMBARQUE'!B:B,MICRO!E:E,'LISTA DE EMBARQUE'!G:G),"")</f>
        <v>0</v>
      </c>
      <c r="V954" s="12" t="str">
        <f>IFERROR(VLOOKUP(Tabela1[[#This Row],[COD.MDE]],'LISTA DE EMBARQUE'!B:L,11,0),"")</f>
        <v/>
      </c>
      <c r="W954" s="13" t="str">
        <f>IFERROR(VLOOKUP(Tabela1[[#This Row],[COD.MDE]],'LISTA DE EMBARQUE'!B:M,12,0),"")</f>
        <v/>
      </c>
      <c r="X954" s="14">
        <f>IFERROR(Tabela1[[#This Row],[QIANTIDADE EXPEDIDA]]*Tabela1[[#This Row],[PESO UNI]],"")</f>
        <v>0</v>
      </c>
      <c r="Y954" s="14">
        <f t="shared" si="192"/>
        <v>-1</v>
      </c>
      <c r="Z954" s="20">
        <f>Tabela1[[#This Row],[PESO TOTAL]]-Tabela1[[#This Row],[Peso Expedido]]</f>
        <v>26.04</v>
      </c>
      <c r="AA954" s="17">
        <v>1</v>
      </c>
      <c r="AB954" s="33"/>
      <c r="AC954" s="33">
        <v>1</v>
      </c>
      <c r="AD954" s="33">
        <v>0.7</v>
      </c>
      <c r="AE954" s="33">
        <v>0.7</v>
      </c>
      <c r="AF954" s="33">
        <v>0.4</v>
      </c>
      <c r="AG954" s="33">
        <v>0.35</v>
      </c>
      <c r="AH954" s="33"/>
      <c r="AI954" s="33"/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customHeight="1" x14ac:dyDescent="0.25">
      <c r="A955" s="1" t="s">
        <v>5138</v>
      </c>
      <c r="B955" s="21" t="s">
        <v>5139</v>
      </c>
      <c r="C955" s="1">
        <v>1</v>
      </c>
      <c r="D955" s="1" t="s">
        <v>5145</v>
      </c>
      <c r="E955" s="7">
        <v>4582</v>
      </c>
      <c r="F955" s="7">
        <v>58</v>
      </c>
      <c r="G955" s="1">
        <v>26.04</v>
      </c>
      <c r="H955" s="34">
        <f>Tabela1[[#This Row],[PESO UNI]]*Tabela1[[#This Row],[QTE]]</f>
        <v>26.04</v>
      </c>
      <c r="I955" s="7">
        <v>0</v>
      </c>
      <c r="J955" s="8" t="s">
        <v>3045</v>
      </c>
      <c r="K955" s="8" t="s">
        <v>4320</v>
      </c>
      <c r="L955" s="9" t="s">
        <v>2984</v>
      </c>
      <c r="M955" s="10">
        <v>46251</v>
      </c>
      <c r="N955" s="8" t="s">
        <v>5105</v>
      </c>
      <c r="O955" s="12"/>
      <c r="P955" s="13"/>
      <c r="Q955" s="14">
        <f>Tabela1[[#This Row],[QTDE/ Fabricação]]-Tabela1[[#This Row],[QTE]]</f>
        <v>-1</v>
      </c>
      <c r="R955" s="18">
        <f t="shared" si="189"/>
        <v>21.743399999999998</v>
      </c>
      <c r="S955" s="18">
        <f t="shared" si="190"/>
        <v>9.113999999999999</v>
      </c>
      <c r="T955" s="19">
        <f t="shared" si="191"/>
        <v>-16.926000000000002</v>
      </c>
      <c r="U955" s="16">
        <f>IFERROR(SUMIF('LISTA DE EMBARQUE'!B:B,MICRO!E:E,'LISTA DE EMBARQUE'!G:G),"")</f>
        <v>0</v>
      </c>
      <c r="V955" s="12" t="str">
        <f>IFERROR(VLOOKUP(Tabela1[[#This Row],[COD.MDE]],'LISTA DE EMBARQUE'!B:L,11,0),"")</f>
        <v/>
      </c>
      <c r="W955" s="13" t="str">
        <f>IFERROR(VLOOKUP(Tabela1[[#This Row],[COD.MDE]],'LISTA DE EMBARQUE'!B:M,12,0),"")</f>
        <v/>
      </c>
      <c r="X955" s="14">
        <f>IFERROR(Tabela1[[#This Row],[QIANTIDADE EXPEDIDA]]*Tabela1[[#This Row],[PESO UNI]],"")</f>
        <v>0</v>
      </c>
      <c r="Y955" s="14">
        <f t="shared" si="192"/>
        <v>-1</v>
      </c>
      <c r="Z955" s="20">
        <f>Tabela1[[#This Row],[PESO TOTAL]]-Tabela1[[#This Row],[Peso Expedido]]</f>
        <v>26.04</v>
      </c>
      <c r="AA955" s="17">
        <v>1</v>
      </c>
      <c r="AB955" s="33"/>
      <c r="AC955" s="33">
        <v>1</v>
      </c>
      <c r="AD955" s="33">
        <v>0.7</v>
      </c>
      <c r="AE955" s="33">
        <v>0.7</v>
      </c>
      <c r="AF955" s="33">
        <v>0.4</v>
      </c>
      <c r="AG955" s="33">
        <v>0.35</v>
      </c>
      <c r="AH955" s="33"/>
      <c r="AI955" s="33"/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customHeight="1" x14ac:dyDescent="0.25">
      <c r="A956" s="1" t="s">
        <v>5138</v>
      </c>
      <c r="B956" s="21" t="s">
        <v>5139</v>
      </c>
      <c r="C956" s="1">
        <v>1</v>
      </c>
      <c r="D956" s="1" t="s">
        <v>5146</v>
      </c>
      <c r="E956" s="7">
        <v>4583</v>
      </c>
      <c r="F956" s="7">
        <v>58</v>
      </c>
      <c r="G956" s="1">
        <v>177.93</v>
      </c>
      <c r="H956" s="34">
        <f>Tabela1[[#This Row],[PESO UNI]]*Tabela1[[#This Row],[QTE]]</f>
        <v>177.93</v>
      </c>
      <c r="I956" s="7">
        <v>0</v>
      </c>
      <c r="J956" s="8" t="s">
        <v>3045</v>
      </c>
      <c r="K956" s="8" t="s">
        <v>4320</v>
      </c>
      <c r="L956" s="9" t="s">
        <v>2984</v>
      </c>
      <c r="M956" s="10">
        <v>46251</v>
      </c>
      <c r="N956" s="8" t="s">
        <v>5105</v>
      </c>
      <c r="O956" s="12"/>
      <c r="P956" s="13"/>
      <c r="Q956" s="14">
        <f>Tabela1[[#This Row],[QTDE/ Fabricação]]-Tabela1[[#This Row],[QTE]]</f>
        <v>-1</v>
      </c>
      <c r="R956" s="18">
        <f t="shared" si="189"/>
        <v>148.57155</v>
      </c>
      <c r="S956" s="18">
        <f t="shared" si="190"/>
        <v>62.275500000000001</v>
      </c>
      <c r="T956" s="19">
        <f t="shared" si="191"/>
        <v>-115.65450000000001</v>
      </c>
      <c r="U956" s="16">
        <f>IFERROR(SUMIF('LISTA DE EMBARQUE'!B:B,MICRO!E:E,'LISTA DE EMBARQUE'!G:G),"")</f>
        <v>0</v>
      </c>
      <c r="V956" s="12" t="str">
        <f>IFERROR(VLOOKUP(Tabela1[[#This Row],[COD.MDE]],'LISTA DE EMBARQUE'!B:L,11,0),"")</f>
        <v/>
      </c>
      <c r="W956" s="13" t="str">
        <f>IFERROR(VLOOKUP(Tabela1[[#This Row],[COD.MDE]],'LISTA DE EMBARQUE'!B:M,12,0),"")</f>
        <v/>
      </c>
      <c r="X956" s="14">
        <f>IFERROR(Tabela1[[#This Row],[QIANTIDADE EXPEDIDA]]*Tabela1[[#This Row],[PESO UNI]],"")</f>
        <v>0</v>
      </c>
      <c r="Y956" s="14">
        <f t="shared" si="192"/>
        <v>-1</v>
      </c>
      <c r="Z956" s="20">
        <f>Tabela1[[#This Row],[PESO TOTAL]]-Tabela1[[#This Row],[Peso Expedido]]</f>
        <v>177.93</v>
      </c>
      <c r="AA956" s="17">
        <v>1</v>
      </c>
      <c r="AB956" s="33"/>
      <c r="AC956" s="33">
        <v>1</v>
      </c>
      <c r="AD956" s="33">
        <v>0.7</v>
      </c>
      <c r="AE956" s="33">
        <v>0.7</v>
      </c>
      <c r="AF956" s="33">
        <v>0.4</v>
      </c>
      <c r="AG956" s="33">
        <v>0.35</v>
      </c>
      <c r="AH956" s="33"/>
      <c r="AI956" s="33"/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customHeight="1" x14ac:dyDescent="0.25">
      <c r="A957" s="1" t="s">
        <v>5138</v>
      </c>
      <c r="B957" s="21" t="s">
        <v>5139</v>
      </c>
      <c r="C957" s="1">
        <v>1</v>
      </c>
      <c r="D957" s="1" t="s">
        <v>5147</v>
      </c>
      <c r="E957" s="7">
        <v>4584</v>
      </c>
      <c r="F957" s="7">
        <v>58</v>
      </c>
      <c r="G957" s="1">
        <v>177.93</v>
      </c>
      <c r="H957" s="34">
        <f>Tabela1[[#This Row],[PESO UNI]]*Tabela1[[#This Row],[QTE]]</f>
        <v>177.93</v>
      </c>
      <c r="I957" s="7">
        <v>0</v>
      </c>
      <c r="J957" s="8" t="s">
        <v>3045</v>
      </c>
      <c r="K957" s="8" t="s">
        <v>4320</v>
      </c>
      <c r="L957" s="9" t="s">
        <v>2984</v>
      </c>
      <c r="M957" s="10">
        <v>46251</v>
      </c>
      <c r="N957" s="8" t="s">
        <v>5105</v>
      </c>
      <c r="O957" s="12"/>
      <c r="P957" s="13"/>
      <c r="Q957" s="14">
        <f>Tabela1[[#This Row],[QTDE/ Fabricação]]-Tabela1[[#This Row],[QTE]]</f>
        <v>-1</v>
      </c>
      <c r="R957" s="18">
        <f t="shared" si="189"/>
        <v>148.57155</v>
      </c>
      <c r="S957" s="18">
        <f t="shared" si="190"/>
        <v>62.275500000000001</v>
      </c>
      <c r="T957" s="19">
        <f t="shared" si="191"/>
        <v>-115.65450000000001</v>
      </c>
      <c r="U957" s="16">
        <f>IFERROR(SUMIF('LISTA DE EMBARQUE'!B:B,MICRO!E:E,'LISTA DE EMBARQUE'!G:G),"")</f>
        <v>0</v>
      </c>
      <c r="V957" s="12" t="str">
        <f>IFERROR(VLOOKUP(Tabela1[[#This Row],[COD.MDE]],'LISTA DE EMBARQUE'!B:L,11,0),"")</f>
        <v/>
      </c>
      <c r="W957" s="13" t="str">
        <f>IFERROR(VLOOKUP(Tabela1[[#This Row],[COD.MDE]],'LISTA DE EMBARQUE'!B:M,12,0),"")</f>
        <v/>
      </c>
      <c r="X957" s="14">
        <f>IFERROR(Tabela1[[#This Row],[QIANTIDADE EXPEDIDA]]*Tabela1[[#This Row],[PESO UNI]],"")</f>
        <v>0</v>
      </c>
      <c r="Y957" s="14">
        <f t="shared" si="192"/>
        <v>-1</v>
      </c>
      <c r="Z957" s="20">
        <f>Tabela1[[#This Row],[PESO TOTAL]]-Tabela1[[#This Row],[Peso Expedido]]</f>
        <v>177.93</v>
      </c>
      <c r="AA957" s="17">
        <v>1</v>
      </c>
      <c r="AB957" s="33"/>
      <c r="AC957" s="33">
        <v>1</v>
      </c>
      <c r="AD957" s="33">
        <v>0.7</v>
      </c>
      <c r="AE957" s="33">
        <v>0.7</v>
      </c>
      <c r="AF957" s="33">
        <v>0.4</v>
      </c>
      <c r="AG957" s="33">
        <v>0.35</v>
      </c>
      <c r="AH957" s="33"/>
      <c r="AI957" s="33"/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customHeight="1" x14ac:dyDescent="0.25">
      <c r="A958" s="1" t="s">
        <v>5148</v>
      </c>
      <c r="B958" s="21" t="s">
        <v>5149</v>
      </c>
      <c r="C958" s="1">
        <v>2</v>
      </c>
      <c r="D958" s="1" t="s">
        <v>5150</v>
      </c>
      <c r="E958" s="7">
        <v>4585</v>
      </c>
      <c r="F958" s="7">
        <v>58</v>
      </c>
      <c r="G958" s="1">
        <v>108.4</v>
      </c>
      <c r="H958" s="34">
        <f>Tabela1[[#This Row],[PESO UNI]]*Tabela1[[#This Row],[QTE]]</f>
        <v>216.8</v>
      </c>
      <c r="I958" s="7">
        <v>0</v>
      </c>
      <c r="J958" s="8" t="s">
        <v>3045</v>
      </c>
      <c r="K958" s="8" t="s">
        <v>4320</v>
      </c>
      <c r="L958" s="9" t="s">
        <v>2984</v>
      </c>
      <c r="M958" s="10">
        <v>46251</v>
      </c>
      <c r="N958" s="8" t="s">
        <v>5105</v>
      </c>
      <c r="O958" s="12"/>
      <c r="P958" s="13"/>
      <c r="Q958" s="14">
        <f>Tabela1[[#This Row],[QTDE/ Fabricação]]-Tabela1[[#This Row],[QTE]]</f>
        <v>-2</v>
      </c>
      <c r="R958" s="18">
        <f t="shared" si="189"/>
        <v>181.02799999999999</v>
      </c>
      <c r="S958" s="18">
        <f t="shared" si="190"/>
        <v>75.88</v>
      </c>
      <c r="T958" s="19">
        <f t="shared" si="191"/>
        <v>-140.92000000000002</v>
      </c>
      <c r="U958" s="16">
        <f>IFERROR(SUMIF('LISTA DE EMBARQUE'!B:B,MICRO!E:E,'LISTA DE EMBARQUE'!G:G),"")</f>
        <v>0</v>
      </c>
      <c r="V958" s="12" t="str">
        <f>IFERROR(VLOOKUP(Tabela1[[#This Row],[COD.MDE]],'LISTA DE EMBARQUE'!B:L,11,0),"")</f>
        <v/>
      </c>
      <c r="W958" s="13" t="str">
        <f>IFERROR(VLOOKUP(Tabela1[[#This Row],[COD.MDE]],'LISTA DE EMBARQUE'!B:M,12,0),"")</f>
        <v/>
      </c>
      <c r="X958" s="14">
        <f>IFERROR(Tabela1[[#This Row],[QIANTIDADE EXPEDIDA]]*Tabela1[[#This Row],[PESO UNI]],"")</f>
        <v>0</v>
      </c>
      <c r="Y958" s="14">
        <f t="shared" si="192"/>
        <v>-2</v>
      </c>
      <c r="Z958" s="20">
        <f>Tabela1[[#This Row],[PESO TOTAL]]-Tabela1[[#This Row],[Peso Expedido]]</f>
        <v>216.8</v>
      </c>
      <c r="AA958" s="17">
        <v>1</v>
      </c>
      <c r="AB958" s="33"/>
      <c r="AC958" s="33">
        <v>1</v>
      </c>
      <c r="AD958" s="33">
        <v>0.7</v>
      </c>
      <c r="AE958" s="33">
        <v>0.7</v>
      </c>
      <c r="AF958" s="33">
        <v>0.4</v>
      </c>
      <c r="AG958" s="33">
        <v>0.35</v>
      </c>
      <c r="AH958" s="33"/>
      <c r="AI958" s="33"/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customHeight="1" x14ac:dyDescent="0.25">
      <c r="A959" s="1" t="s">
        <v>5148</v>
      </c>
      <c r="B959" s="21" t="s">
        <v>5149</v>
      </c>
      <c r="C959" s="1">
        <v>2</v>
      </c>
      <c r="D959" s="1" t="s">
        <v>5151</v>
      </c>
      <c r="E959" s="7">
        <v>4586</v>
      </c>
      <c r="F959" s="7">
        <v>58</v>
      </c>
      <c r="G959" s="1">
        <v>111.41</v>
      </c>
      <c r="H959" s="34">
        <f>Tabela1[[#This Row],[PESO UNI]]*Tabela1[[#This Row],[QTE]]</f>
        <v>222.82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5105</v>
      </c>
      <c r="O959" s="12"/>
      <c r="P959" s="13"/>
      <c r="Q959" s="14">
        <f>Tabela1[[#This Row],[QTDE/ Fabricação]]-Tabela1[[#This Row],[QTE]]</f>
        <v>-2</v>
      </c>
      <c r="R959" s="18">
        <f t="shared" si="189"/>
        <v>186.0547</v>
      </c>
      <c r="S959" s="18">
        <f t="shared" si="190"/>
        <v>77.986999999999995</v>
      </c>
      <c r="T959" s="19">
        <f t="shared" si="191"/>
        <v>-144.833</v>
      </c>
      <c r="U959" s="16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IFERROR(VLOOKUP(Tabela1[[#This Row],[COD.MDE]],'LISTA DE EMBARQUE'!B:M,12,0),"")</f>
        <v/>
      </c>
      <c r="X959" s="14">
        <f>IFERROR(Tabela1[[#This Row],[QIANTIDADE EXPEDIDA]]*Tabela1[[#This Row],[PESO UNI]],"")</f>
        <v>0</v>
      </c>
      <c r="Y959" s="14">
        <f t="shared" si="192"/>
        <v>-2</v>
      </c>
      <c r="Z959" s="20">
        <f>Tabela1[[#This Row],[PESO TOTAL]]-Tabela1[[#This Row],[Peso Expedido]]</f>
        <v>222.82</v>
      </c>
      <c r="AA959" s="17">
        <v>1</v>
      </c>
      <c r="AB959" s="33"/>
      <c r="AC959" s="33">
        <v>1</v>
      </c>
      <c r="AD959" s="33">
        <v>0.7</v>
      </c>
      <c r="AE959" s="33">
        <v>0.7</v>
      </c>
      <c r="AF959" s="33">
        <v>0.4</v>
      </c>
      <c r="AG959" s="33">
        <v>0.35</v>
      </c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customHeight="1" x14ac:dyDescent="0.25">
      <c r="A960" s="1" t="s">
        <v>5148</v>
      </c>
      <c r="B960" s="21" t="s">
        <v>5149</v>
      </c>
      <c r="C960" s="1">
        <v>1</v>
      </c>
      <c r="D960" s="1" t="s">
        <v>5152</v>
      </c>
      <c r="E960" s="7">
        <v>4587</v>
      </c>
      <c r="F960" s="7">
        <v>58</v>
      </c>
      <c r="G960" s="1">
        <v>107.64</v>
      </c>
      <c r="H960" s="34">
        <f>Tabela1[[#This Row],[PESO UNI]]*Tabela1[[#This Row],[QTE]]</f>
        <v>107.64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5105</v>
      </c>
      <c r="O960" s="12"/>
      <c r="P960" s="13"/>
      <c r="Q960" s="14">
        <f>Tabela1[[#This Row],[QTDE/ Fabricação]]-Tabela1[[#This Row],[QTE]]</f>
        <v>-1</v>
      </c>
      <c r="R960" s="18">
        <f t="shared" si="189"/>
        <v>89.87939999999999</v>
      </c>
      <c r="S960" s="18">
        <f t="shared" si="190"/>
        <v>37.673999999999999</v>
      </c>
      <c r="T960" s="19">
        <f t="shared" si="191"/>
        <v>-69.966000000000008</v>
      </c>
      <c r="U960" s="16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IFERROR(VLOOKUP(Tabela1[[#This Row],[COD.MDE]],'LISTA DE EMBARQUE'!B:M,12,0),"")</f>
        <v/>
      </c>
      <c r="X960" s="14">
        <f>IFERROR(Tabela1[[#This Row],[QIANTIDADE EXPEDIDA]]*Tabela1[[#This Row],[PESO UNI]],"")</f>
        <v>0</v>
      </c>
      <c r="Y960" s="14">
        <f t="shared" si="192"/>
        <v>-1</v>
      </c>
      <c r="Z960" s="20">
        <f>Tabela1[[#This Row],[PESO TOTAL]]-Tabela1[[#This Row],[Peso Expedido]]</f>
        <v>107.64</v>
      </c>
      <c r="AA960" s="17">
        <v>1</v>
      </c>
      <c r="AB960" s="33"/>
      <c r="AC960" s="33">
        <v>1</v>
      </c>
      <c r="AD960" s="33">
        <v>0.7</v>
      </c>
      <c r="AE960" s="33">
        <v>0.7</v>
      </c>
      <c r="AF960" s="33">
        <v>0.4</v>
      </c>
      <c r="AG960" s="33">
        <v>0.35</v>
      </c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customHeight="1" x14ac:dyDescent="0.25">
      <c r="A961" s="1" t="s">
        <v>5148</v>
      </c>
      <c r="B961" s="21" t="s">
        <v>5149</v>
      </c>
      <c r="C961" s="1">
        <v>2</v>
      </c>
      <c r="D961" s="1" t="s">
        <v>5153</v>
      </c>
      <c r="E961" s="7">
        <v>4588</v>
      </c>
      <c r="F961" s="7">
        <v>58</v>
      </c>
      <c r="G961" s="1">
        <v>148.63999999999999</v>
      </c>
      <c r="H961" s="34">
        <f>Tabela1[[#This Row],[PESO UNI]]*Tabela1[[#This Row],[QTE]]</f>
        <v>297.27999999999997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5105</v>
      </c>
      <c r="O961" s="12"/>
      <c r="P961" s="13"/>
      <c r="Q961" s="14">
        <f>Tabela1[[#This Row],[QTDE/ Fabricação]]-Tabela1[[#This Row],[QTE]]</f>
        <v>-2</v>
      </c>
      <c r="R961" s="18">
        <f t="shared" ref="R961:R992" si="193">IFERROR(H961*((AA961*0.25)+(AC961*0.25)+(AD961*0.225)+(AE961*0.225)+(AF961*0.05)),"")</f>
        <v>248.22879999999998</v>
      </c>
      <c r="S961" s="18">
        <f t="shared" ref="S961:S992" si="194">IFERROR(H961*AG961,"")</f>
        <v>104.04799999999999</v>
      </c>
      <c r="T961" s="19">
        <f t="shared" ref="T961:T992" si="195">IFERROR(S961-H961,"")</f>
        <v>-193.23199999999997</v>
      </c>
      <c r="U961" s="16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IFERROR(VLOOKUP(Tabela1[[#This Row],[COD.MDE]],'LISTA DE EMBARQUE'!B:M,12,0),"")</f>
        <v/>
      </c>
      <c r="X961" s="14">
        <f>IFERROR(Tabela1[[#This Row],[QIANTIDADE EXPEDIDA]]*Tabela1[[#This Row],[PESO UNI]],"")</f>
        <v>0</v>
      </c>
      <c r="Y961" s="14">
        <f t="shared" ref="Y961:Y992" si="196">U961-C961</f>
        <v>-2</v>
      </c>
      <c r="Z961" s="20">
        <f>Tabela1[[#This Row],[PESO TOTAL]]-Tabela1[[#This Row],[Peso Expedido]]</f>
        <v>297.27999999999997</v>
      </c>
      <c r="AA961" s="17">
        <v>1</v>
      </c>
      <c r="AB961" s="33"/>
      <c r="AC961" s="33">
        <v>1</v>
      </c>
      <c r="AD961" s="33">
        <v>0.7</v>
      </c>
      <c r="AE961" s="33">
        <v>0.7</v>
      </c>
      <c r="AF961" s="33">
        <v>0.4</v>
      </c>
      <c r="AG961" s="33">
        <v>0.35</v>
      </c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customHeight="1" x14ac:dyDescent="0.25">
      <c r="A962" s="1" t="s">
        <v>5148</v>
      </c>
      <c r="B962" s="21" t="s">
        <v>5149</v>
      </c>
      <c r="C962" s="1">
        <v>1</v>
      </c>
      <c r="D962" s="1" t="s">
        <v>5154</v>
      </c>
      <c r="E962" s="7">
        <v>4589</v>
      </c>
      <c r="F962" s="7">
        <v>58</v>
      </c>
      <c r="G962" s="1">
        <v>26.04</v>
      </c>
      <c r="H962" s="34">
        <f>Tabela1[[#This Row],[PESO UNI]]*Tabela1[[#This Row],[QTE]]</f>
        <v>26.04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5105</v>
      </c>
      <c r="O962" s="12"/>
      <c r="P962" s="13"/>
      <c r="Q962" s="14">
        <f>Tabela1[[#This Row],[QTDE/ Fabricação]]-Tabela1[[#This Row],[QTE]]</f>
        <v>-1</v>
      </c>
      <c r="R962" s="18">
        <f t="shared" si="193"/>
        <v>21.743399999999998</v>
      </c>
      <c r="S962" s="18">
        <f t="shared" si="194"/>
        <v>9.113999999999999</v>
      </c>
      <c r="T962" s="19">
        <f t="shared" si="195"/>
        <v>-16.926000000000002</v>
      </c>
      <c r="U962" s="16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IFERROR(VLOOKUP(Tabela1[[#This Row],[COD.MDE]],'LISTA DE EMBARQUE'!B:M,12,0),"")</f>
        <v/>
      </c>
      <c r="X962" s="14">
        <f>IFERROR(Tabela1[[#This Row],[QIANTIDADE EXPEDIDA]]*Tabela1[[#This Row],[PESO UNI]],"")</f>
        <v>0</v>
      </c>
      <c r="Y962" s="14">
        <f t="shared" si="196"/>
        <v>-1</v>
      </c>
      <c r="Z962" s="20">
        <f>Tabela1[[#This Row],[PESO TOTAL]]-Tabela1[[#This Row],[Peso Expedido]]</f>
        <v>26.04</v>
      </c>
      <c r="AA962" s="17">
        <v>1</v>
      </c>
      <c r="AB962" s="33"/>
      <c r="AC962" s="33">
        <v>1</v>
      </c>
      <c r="AD962" s="33">
        <v>0.7</v>
      </c>
      <c r="AE962" s="33">
        <v>0.7</v>
      </c>
      <c r="AF962" s="33">
        <v>0.4</v>
      </c>
      <c r="AG962" s="33">
        <v>0.35</v>
      </c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customHeight="1" x14ac:dyDescent="0.25">
      <c r="A963" s="1" t="s">
        <v>5148</v>
      </c>
      <c r="B963" s="21" t="s">
        <v>5149</v>
      </c>
      <c r="C963" s="1">
        <v>1</v>
      </c>
      <c r="D963" s="1" t="s">
        <v>5155</v>
      </c>
      <c r="E963" s="7">
        <v>4590</v>
      </c>
      <c r="F963" s="7">
        <v>58</v>
      </c>
      <c r="G963" s="1">
        <v>26.04</v>
      </c>
      <c r="H963" s="34">
        <f>Tabela1[[#This Row],[PESO UNI]]*Tabela1[[#This Row],[QTE]]</f>
        <v>26.04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5105</v>
      </c>
      <c r="O963" s="12"/>
      <c r="P963" s="13"/>
      <c r="Q963" s="14">
        <f>Tabela1[[#This Row],[QTDE/ Fabricação]]-Tabela1[[#This Row],[QTE]]</f>
        <v>-1</v>
      </c>
      <c r="R963" s="18">
        <f t="shared" si="193"/>
        <v>21.743399999999998</v>
      </c>
      <c r="S963" s="18">
        <f t="shared" si="194"/>
        <v>9.113999999999999</v>
      </c>
      <c r="T963" s="19">
        <f t="shared" si="195"/>
        <v>-16.926000000000002</v>
      </c>
      <c r="U963" s="16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IFERROR(VLOOKUP(Tabela1[[#This Row],[COD.MDE]],'LISTA DE EMBARQUE'!B:M,12,0),"")</f>
        <v/>
      </c>
      <c r="X963" s="14">
        <f>IFERROR(Tabela1[[#This Row],[QIANTIDADE EXPEDIDA]]*Tabela1[[#This Row],[PESO UNI]],"")</f>
        <v>0</v>
      </c>
      <c r="Y963" s="14">
        <f t="shared" si="196"/>
        <v>-1</v>
      </c>
      <c r="Z963" s="20">
        <f>Tabela1[[#This Row],[PESO TOTAL]]-Tabela1[[#This Row],[Peso Expedido]]</f>
        <v>26.04</v>
      </c>
      <c r="AA963" s="17">
        <v>1</v>
      </c>
      <c r="AB963" s="33"/>
      <c r="AC963" s="33">
        <v>1</v>
      </c>
      <c r="AD963" s="33">
        <v>0.7</v>
      </c>
      <c r="AE963" s="33">
        <v>0.7</v>
      </c>
      <c r="AF963" s="33">
        <v>0.4</v>
      </c>
      <c r="AG963" s="33">
        <v>0.35</v>
      </c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customHeight="1" x14ac:dyDescent="0.25">
      <c r="A964" s="1" t="s">
        <v>5148</v>
      </c>
      <c r="B964" s="21" t="s">
        <v>5149</v>
      </c>
      <c r="C964" s="1">
        <v>1</v>
      </c>
      <c r="D964" s="1" t="s">
        <v>5156</v>
      </c>
      <c r="E964" s="7">
        <v>4591</v>
      </c>
      <c r="F964" s="7">
        <v>58</v>
      </c>
      <c r="G964" s="1">
        <v>26.04</v>
      </c>
      <c r="H964" s="34">
        <f>Tabela1[[#This Row],[PESO UNI]]*Tabela1[[#This Row],[QTE]]</f>
        <v>26.04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5105</v>
      </c>
      <c r="O964" s="12"/>
      <c r="P964" s="13"/>
      <c r="Q964" s="14">
        <f>Tabela1[[#This Row],[QTDE/ Fabricação]]-Tabela1[[#This Row],[QTE]]</f>
        <v>-1</v>
      </c>
      <c r="R964" s="18">
        <f t="shared" si="193"/>
        <v>21.743399999999998</v>
      </c>
      <c r="S964" s="18">
        <f t="shared" si="194"/>
        <v>9.113999999999999</v>
      </c>
      <c r="T964" s="19">
        <f t="shared" si="195"/>
        <v>-16.926000000000002</v>
      </c>
      <c r="U964" s="16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IFERROR(VLOOKUP(Tabela1[[#This Row],[COD.MDE]],'LISTA DE EMBARQUE'!B:M,12,0),"")</f>
        <v/>
      </c>
      <c r="X964" s="14">
        <f>IFERROR(Tabela1[[#This Row],[QIANTIDADE EXPEDIDA]]*Tabela1[[#This Row],[PESO UNI]],"")</f>
        <v>0</v>
      </c>
      <c r="Y964" s="14">
        <f t="shared" si="196"/>
        <v>-1</v>
      </c>
      <c r="Z964" s="20">
        <f>Tabela1[[#This Row],[PESO TOTAL]]-Tabela1[[#This Row],[Peso Expedido]]</f>
        <v>26.04</v>
      </c>
      <c r="AA964" s="17">
        <v>1</v>
      </c>
      <c r="AB964" s="33"/>
      <c r="AC964" s="33">
        <v>1</v>
      </c>
      <c r="AD964" s="33">
        <v>0.7</v>
      </c>
      <c r="AE964" s="33">
        <v>0.7</v>
      </c>
      <c r="AF964" s="33">
        <v>0.4</v>
      </c>
      <c r="AG964" s="33">
        <v>0.35</v>
      </c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customHeight="1" x14ac:dyDescent="0.25">
      <c r="A965" s="1" t="s">
        <v>5148</v>
      </c>
      <c r="B965" s="21" t="s">
        <v>5149</v>
      </c>
      <c r="C965" s="1">
        <v>1</v>
      </c>
      <c r="D965" s="1" t="s">
        <v>5157</v>
      </c>
      <c r="E965" s="7">
        <v>4592</v>
      </c>
      <c r="F965" s="7">
        <v>58</v>
      </c>
      <c r="G965" s="1">
        <v>26.04</v>
      </c>
      <c r="H965" s="34">
        <f>Tabela1[[#This Row],[PESO UNI]]*Tabela1[[#This Row],[QTE]]</f>
        <v>26.04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5105</v>
      </c>
      <c r="O965" s="12"/>
      <c r="P965" s="13"/>
      <c r="Q965" s="14">
        <f>Tabela1[[#This Row],[QTDE/ Fabricação]]-Tabela1[[#This Row],[QTE]]</f>
        <v>-1</v>
      </c>
      <c r="R965" s="18">
        <f t="shared" si="193"/>
        <v>21.743399999999998</v>
      </c>
      <c r="S965" s="18">
        <f t="shared" si="194"/>
        <v>9.113999999999999</v>
      </c>
      <c r="T965" s="19">
        <f t="shared" si="195"/>
        <v>-16.926000000000002</v>
      </c>
      <c r="U965" s="16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IFERROR(VLOOKUP(Tabela1[[#This Row],[COD.MDE]],'LISTA DE EMBARQUE'!B:M,12,0),"")</f>
        <v/>
      </c>
      <c r="X965" s="14">
        <f>IFERROR(Tabela1[[#This Row],[QIANTIDADE EXPEDIDA]]*Tabela1[[#This Row],[PESO UNI]],"")</f>
        <v>0</v>
      </c>
      <c r="Y965" s="14">
        <f t="shared" si="196"/>
        <v>-1</v>
      </c>
      <c r="Z965" s="20">
        <f>Tabela1[[#This Row],[PESO TOTAL]]-Tabela1[[#This Row],[Peso Expedido]]</f>
        <v>26.04</v>
      </c>
      <c r="AA965" s="17">
        <v>1</v>
      </c>
      <c r="AB965" s="33"/>
      <c r="AC965" s="33">
        <v>1</v>
      </c>
      <c r="AD965" s="33">
        <v>0.7</v>
      </c>
      <c r="AE965" s="33">
        <v>0.7</v>
      </c>
      <c r="AF965" s="33">
        <v>0.4</v>
      </c>
      <c r="AG965" s="33">
        <v>0.35</v>
      </c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customHeight="1" x14ac:dyDescent="0.25">
      <c r="A966" s="1" t="s">
        <v>5148</v>
      </c>
      <c r="B966" s="21" t="s">
        <v>5149</v>
      </c>
      <c r="C966" s="1">
        <v>12</v>
      </c>
      <c r="D966" s="1" t="s">
        <v>5158</v>
      </c>
      <c r="E966" s="7">
        <v>4593</v>
      </c>
      <c r="F966" s="7">
        <v>58</v>
      </c>
      <c r="G966" s="1">
        <v>7.89</v>
      </c>
      <c r="H966" s="34">
        <f>Tabela1[[#This Row],[PESO UNI]]*Tabela1[[#This Row],[QTE]]</f>
        <v>94.679999999999993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5105</v>
      </c>
      <c r="O966" s="12"/>
      <c r="P966" s="13"/>
      <c r="Q966" s="14">
        <f>Tabela1[[#This Row],[QTDE/ Fabricação]]-Tabela1[[#This Row],[QTE]]</f>
        <v>-12</v>
      </c>
      <c r="R966" s="18">
        <f t="shared" si="193"/>
        <v>79.057799999999986</v>
      </c>
      <c r="S966" s="18">
        <f t="shared" si="194"/>
        <v>33.137999999999998</v>
      </c>
      <c r="T966" s="19">
        <f t="shared" si="195"/>
        <v>-61.541999999999994</v>
      </c>
      <c r="U966" s="16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IFERROR(VLOOKUP(Tabela1[[#This Row],[COD.MDE]],'LISTA DE EMBARQUE'!B:M,12,0),"")</f>
        <v/>
      </c>
      <c r="X966" s="14">
        <f>IFERROR(Tabela1[[#This Row],[QIANTIDADE EXPEDIDA]]*Tabela1[[#This Row],[PESO UNI]],"")</f>
        <v>0</v>
      </c>
      <c r="Y966" s="14">
        <f t="shared" si="196"/>
        <v>-12</v>
      </c>
      <c r="Z966" s="20">
        <f>Tabela1[[#This Row],[PESO TOTAL]]-Tabela1[[#This Row],[Peso Expedido]]</f>
        <v>94.679999999999993</v>
      </c>
      <c r="AA966" s="17">
        <v>1</v>
      </c>
      <c r="AB966" s="33"/>
      <c r="AC966" s="33">
        <v>1</v>
      </c>
      <c r="AD966" s="33">
        <v>0.7</v>
      </c>
      <c r="AE966" s="33">
        <v>0.7</v>
      </c>
      <c r="AF966" s="33">
        <v>0.4</v>
      </c>
      <c r="AG966" s="33">
        <v>0.35</v>
      </c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customHeight="1" x14ac:dyDescent="0.25">
      <c r="A967" s="1" t="s">
        <v>5148</v>
      </c>
      <c r="B967" s="21" t="s">
        <v>5149</v>
      </c>
      <c r="C967" s="1">
        <v>3</v>
      </c>
      <c r="D967" s="1" t="s">
        <v>5159</v>
      </c>
      <c r="E967" s="7">
        <v>4594</v>
      </c>
      <c r="F967" s="7">
        <v>58</v>
      </c>
      <c r="G967" s="1">
        <v>10.33</v>
      </c>
      <c r="H967" s="34">
        <f>Tabela1[[#This Row],[PESO UNI]]*Tabela1[[#This Row],[QTE]]</f>
        <v>30.990000000000002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5105</v>
      </c>
      <c r="O967" s="12"/>
      <c r="P967" s="13"/>
      <c r="Q967" s="14">
        <f>Tabela1[[#This Row],[QTDE/ Fabricação]]-Tabela1[[#This Row],[QTE]]</f>
        <v>-3</v>
      </c>
      <c r="R967" s="18">
        <f t="shared" si="193"/>
        <v>25.876650000000001</v>
      </c>
      <c r="S967" s="18">
        <f t="shared" si="194"/>
        <v>10.846500000000001</v>
      </c>
      <c r="T967" s="19">
        <f t="shared" si="195"/>
        <v>-20.143500000000003</v>
      </c>
      <c r="U967" s="16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IFERROR(VLOOKUP(Tabela1[[#This Row],[COD.MDE]],'LISTA DE EMBARQUE'!B:M,12,0),"")</f>
        <v/>
      </c>
      <c r="X967" s="14">
        <f>IFERROR(Tabela1[[#This Row],[QIANTIDADE EXPEDIDA]]*Tabela1[[#This Row],[PESO UNI]],"")</f>
        <v>0</v>
      </c>
      <c r="Y967" s="14">
        <f t="shared" si="196"/>
        <v>-3</v>
      </c>
      <c r="Z967" s="20">
        <f>Tabela1[[#This Row],[PESO TOTAL]]-Tabela1[[#This Row],[Peso Expedido]]</f>
        <v>30.990000000000002</v>
      </c>
      <c r="AA967" s="17">
        <v>1</v>
      </c>
      <c r="AB967" s="33"/>
      <c r="AC967" s="33">
        <v>1</v>
      </c>
      <c r="AD967" s="33">
        <v>0.7</v>
      </c>
      <c r="AE967" s="33">
        <v>0.7</v>
      </c>
      <c r="AF967" s="33">
        <v>0.4</v>
      </c>
      <c r="AG967" s="33">
        <v>0.35</v>
      </c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customHeight="1" x14ac:dyDescent="0.25">
      <c r="A968" s="1" t="s">
        <v>5148</v>
      </c>
      <c r="B968" s="21" t="s">
        <v>5149</v>
      </c>
      <c r="C968" s="1">
        <v>6</v>
      </c>
      <c r="D968" s="1" t="s">
        <v>5160</v>
      </c>
      <c r="E968" s="7">
        <v>4595</v>
      </c>
      <c r="F968" s="7">
        <v>58</v>
      </c>
      <c r="G968" s="1">
        <v>6.61</v>
      </c>
      <c r="H968" s="34">
        <f>Tabela1[[#This Row],[PESO UNI]]*Tabela1[[#This Row],[QTE]]</f>
        <v>39.660000000000004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5105</v>
      </c>
      <c r="O968" s="12"/>
      <c r="P968" s="13"/>
      <c r="Q968" s="14">
        <f>Tabela1[[#This Row],[QTDE/ Fabricação]]-Tabela1[[#This Row],[QTE]]</f>
        <v>-6</v>
      </c>
      <c r="R968" s="18">
        <f t="shared" si="193"/>
        <v>33.116100000000003</v>
      </c>
      <c r="S968" s="18">
        <f t="shared" si="194"/>
        <v>13.881</v>
      </c>
      <c r="T968" s="19">
        <f t="shared" si="195"/>
        <v>-25.779000000000003</v>
      </c>
      <c r="U968" s="16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IFERROR(VLOOKUP(Tabela1[[#This Row],[COD.MDE]],'LISTA DE EMBARQUE'!B:M,12,0),"")</f>
        <v/>
      </c>
      <c r="X968" s="14">
        <f>IFERROR(Tabela1[[#This Row],[QIANTIDADE EXPEDIDA]]*Tabela1[[#This Row],[PESO UNI]],"")</f>
        <v>0</v>
      </c>
      <c r="Y968" s="14">
        <f t="shared" si="196"/>
        <v>-6</v>
      </c>
      <c r="Z968" s="20">
        <f>Tabela1[[#This Row],[PESO TOTAL]]-Tabela1[[#This Row],[Peso Expedido]]</f>
        <v>39.660000000000004</v>
      </c>
      <c r="AA968" s="17">
        <v>1</v>
      </c>
      <c r="AB968" s="33"/>
      <c r="AC968" s="33">
        <v>1</v>
      </c>
      <c r="AD968" s="33">
        <v>0.7</v>
      </c>
      <c r="AE968" s="33">
        <v>0.7</v>
      </c>
      <c r="AF968" s="33">
        <v>0.4</v>
      </c>
      <c r="AG968" s="33">
        <v>0.35</v>
      </c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customHeight="1" x14ac:dyDescent="0.25">
      <c r="A969" s="1" t="s">
        <v>5161</v>
      </c>
      <c r="B969" s="21" t="s">
        <v>5162</v>
      </c>
      <c r="C969" s="1">
        <v>2</v>
      </c>
      <c r="D969" s="1" t="s">
        <v>5163</v>
      </c>
      <c r="E969" s="7">
        <v>4596</v>
      </c>
      <c r="F969" s="7">
        <v>58</v>
      </c>
      <c r="G969" s="1">
        <v>96.54</v>
      </c>
      <c r="H969" s="34">
        <f>Tabela1[[#This Row],[PESO UNI]]*Tabela1[[#This Row],[QTE]]</f>
        <v>193.08</v>
      </c>
      <c r="I969" s="7">
        <v>0</v>
      </c>
      <c r="J969" s="8" t="s">
        <v>3045</v>
      </c>
      <c r="K969" s="8" t="s">
        <v>4320</v>
      </c>
      <c r="L969" s="9" t="s">
        <v>2984</v>
      </c>
      <c r="M969" s="10">
        <v>46251</v>
      </c>
      <c r="N969" s="8" t="s">
        <v>5105</v>
      </c>
      <c r="O969" s="12"/>
      <c r="P969" s="13"/>
      <c r="Q969" s="14">
        <f>Tabela1[[#This Row],[QTDE/ Fabricação]]-Tabela1[[#This Row],[QTE]]</f>
        <v>-2</v>
      </c>
      <c r="R969" s="18">
        <f t="shared" si="193"/>
        <v>161.2218</v>
      </c>
      <c r="S969" s="18">
        <f t="shared" si="194"/>
        <v>67.578000000000003</v>
      </c>
      <c r="T969" s="19">
        <f t="shared" si="195"/>
        <v>-125.50200000000001</v>
      </c>
      <c r="U969" s="16">
        <f>IFERROR(SUMIF('LISTA DE EMBARQUE'!B:B,MICRO!E:E,'LISTA DE EMBARQUE'!G:G),"")</f>
        <v>0</v>
      </c>
      <c r="V969" s="12" t="str">
        <f>IFERROR(VLOOKUP(Tabela1[[#This Row],[COD.MDE]],'LISTA DE EMBARQUE'!B:L,11,0),"")</f>
        <v/>
      </c>
      <c r="W969" s="13" t="str">
        <f>IFERROR(VLOOKUP(Tabela1[[#This Row],[COD.MDE]],'LISTA DE EMBARQUE'!B:M,12,0),"")</f>
        <v/>
      </c>
      <c r="X969" s="14">
        <f>IFERROR(Tabela1[[#This Row],[QIANTIDADE EXPEDIDA]]*Tabela1[[#This Row],[PESO UNI]],"")</f>
        <v>0</v>
      </c>
      <c r="Y969" s="14">
        <f t="shared" si="196"/>
        <v>-2</v>
      </c>
      <c r="Z969" s="20">
        <f>Tabela1[[#This Row],[PESO TOTAL]]-Tabela1[[#This Row],[Peso Expedido]]</f>
        <v>193.08</v>
      </c>
      <c r="AA969" s="17">
        <v>1</v>
      </c>
      <c r="AB969" s="33"/>
      <c r="AC969" s="33">
        <v>1</v>
      </c>
      <c r="AD969" s="33">
        <v>0.7</v>
      </c>
      <c r="AE969" s="33">
        <v>0.7</v>
      </c>
      <c r="AF969" s="33">
        <v>0.4</v>
      </c>
      <c r="AG969" s="33">
        <v>0.35</v>
      </c>
      <c r="AH969" s="33"/>
      <c r="AI969" s="33"/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customHeight="1" x14ac:dyDescent="0.25">
      <c r="A970" s="1" t="s">
        <v>5161</v>
      </c>
      <c r="B970" s="21" t="s">
        <v>5162</v>
      </c>
      <c r="C970" s="1">
        <v>2</v>
      </c>
      <c r="D970" s="1" t="s">
        <v>5164</v>
      </c>
      <c r="E970" s="7">
        <v>4597</v>
      </c>
      <c r="F970" s="7">
        <v>58</v>
      </c>
      <c r="G970" s="1">
        <v>112.63</v>
      </c>
      <c r="H970" s="34">
        <f>Tabela1[[#This Row],[PESO UNI]]*Tabela1[[#This Row],[QTE]]</f>
        <v>225.26</v>
      </c>
      <c r="I970" s="7">
        <v>0</v>
      </c>
      <c r="J970" s="8" t="s">
        <v>3045</v>
      </c>
      <c r="K970" s="8" t="s">
        <v>4320</v>
      </c>
      <c r="L970" s="9" t="s">
        <v>2984</v>
      </c>
      <c r="M970" s="10">
        <v>46251</v>
      </c>
      <c r="N970" s="8" t="s">
        <v>5105</v>
      </c>
      <c r="O970" s="12"/>
      <c r="P970" s="13"/>
      <c r="Q970" s="14">
        <f>Tabela1[[#This Row],[QTDE/ Fabricação]]-Tabela1[[#This Row],[QTE]]</f>
        <v>-2</v>
      </c>
      <c r="R970" s="18">
        <f t="shared" si="193"/>
        <v>188.09209999999999</v>
      </c>
      <c r="S970" s="18">
        <f t="shared" si="194"/>
        <v>78.840999999999994</v>
      </c>
      <c r="T970" s="19">
        <f t="shared" si="195"/>
        <v>-146.41899999999998</v>
      </c>
      <c r="U970" s="16">
        <f>IFERROR(SUMIF('LISTA DE EMBARQUE'!B:B,MICRO!E:E,'LISTA DE EMBARQUE'!G:G),"")</f>
        <v>0</v>
      </c>
      <c r="V970" s="12" t="str">
        <f>IFERROR(VLOOKUP(Tabela1[[#This Row],[COD.MDE]],'LISTA DE EMBARQUE'!B:L,11,0),"")</f>
        <v/>
      </c>
      <c r="W970" s="13" t="str">
        <f>IFERROR(VLOOKUP(Tabela1[[#This Row],[COD.MDE]],'LISTA DE EMBARQUE'!B:M,12,0),"")</f>
        <v/>
      </c>
      <c r="X970" s="14">
        <f>IFERROR(Tabela1[[#This Row],[QIANTIDADE EXPEDIDA]]*Tabela1[[#This Row],[PESO UNI]],"")</f>
        <v>0</v>
      </c>
      <c r="Y970" s="14">
        <f t="shared" si="196"/>
        <v>-2</v>
      </c>
      <c r="Z970" s="20">
        <f>Tabela1[[#This Row],[PESO TOTAL]]-Tabela1[[#This Row],[Peso Expedido]]</f>
        <v>225.26</v>
      </c>
      <c r="AA970" s="17">
        <v>1</v>
      </c>
      <c r="AB970" s="33"/>
      <c r="AC970" s="33">
        <v>1</v>
      </c>
      <c r="AD970" s="33">
        <v>0.7</v>
      </c>
      <c r="AE970" s="33">
        <v>0.7</v>
      </c>
      <c r="AF970" s="33">
        <v>0.4</v>
      </c>
      <c r="AG970" s="33">
        <v>0.35</v>
      </c>
      <c r="AH970" s="33"/>
      <c r="AI970" s="33"/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customHeight="1" x14ac:dyDescent="0.25">
      <c r="A971" s="1" t="s">
        <v>5161</v>
      </c>
      <c r="B971" s="21" t="s">
        <v>5162</v>
      </c>
      <c r="C971" s="1">
        <v>1</v>
      </c>
      <c r="D971" s="1" t="s">
        <v>5165</v>
      </c>
      <c r="E971" s="7">
        <v>4598</v>
      </c>
      <c r="F971" s="7">
        <v>58</v>
      </c>
      <c r="G971" s="1">
        <v>89.11</v>
      </c>
      <c r="H971" s="34">
        <f>Tabela1[[#This Row],[PESO UNI]]*Tabela1[[#This Row],[QTE]]</f>
        <v>89.11</v>
      </c>
      <c r="I971" s="7">
        <v>0</v>
      </c>
      <c r="J971" s="8" t="s">
        <v>3045</v>
      </c>
      <c r="K971" s="8" t="s">
        <v>4320</v>
      </c>
      <c r="L971" s="9" t="s">
        <v>2984</v>
      </c>
      <c r="M971" s="10">
        <v>46251</v>
      </c>
      <c r="N971" s="8" t="s">
        <v>5105</v>
      </c>
      <c r="O971" s="12"/>
      <c r="P971" s="13"/>
      <c r="Q971" s="14">
        <f>Tabela1[[#This Row],[QTDE/ Fabricação]]-Tabela1[[#This Row],[QTE]]</f>
        <v>-1</v>
      </c>
      <c r="R971" s="18">
        <f t="shared" si="193"/>
        <v>74.406849999999991</v>
      </c>
      <c r="S971" s="18">
        <f t="shared" si="194"/>
        <v>31.188499999999998</v>
      </c>
      <c r="T971" s="19">
        <f t="shared" si="195"/>
        <v>-57.921500000000002</v>
      </c>
      <c r="U971" s="16">
        <f>IFERROR(SUMIF('LISTA DE EMBARQUE'!B:B,MICRO!E:E,'LISTA DE EMBARQUE'!G:G),"")</f>
        <v>0</v>
      </c>
      <c r="V971" s="12" t="str">
        <f>IFERROR(VLOOKUP(Tabela1[[#This Row],[COD.MDE]],'LISTA DE EMBARQUE'!B:L,11,0),"")</f>
        <v/>
      </c>
      <c r="W971" s="13" t="str">
        <f>IFERROR(VLOOKUP(Tabela1[[#This Row],[COD.MDE]],'LISTA DE EMBARQUE'!B:M,12,0),"")</f>
        <v/>
      </c>
      <c r="X971" s="14">
        <f>IFERROR(Tabela1[[#This Row],[QIANTIDADE EXPEDIDA]]*Tabela1[[#This Row],[PESO UNI]],"")</f>
        <v>0</v>
      </c>
      <c r="Y971" s="14">
        <f t="shared" si="196"/>
        <v>-1</v>
      </c>
      <c r="Z971" s="20">
        <f>Tabela1[[#This Row],[PESO TOTAL]]-Tabela1[[#This Row],[Peso Expedido]]</f>
        <v>89.11</v>
      </c>
      <c r="AA971" s="17">
        <v>1</v>
      </c>
      <c r="AB971" s="33"/>
      <c r="AC971" s="33">
        <v>1</v>
      </c>
      <c r="AD971" s="33">
        <v>0.7</v>
      </c>
      <c r="AE971" s="33">
        <v>0.7</v>
      </c>
      <c r="AF971" s="33">
        <v>0.4</v>
      </c>
      <c r="AG971" s="33">
        <v>0.35</v>
      </c>
      <c r="AH971" s="33"/>
      <c r="AI971" s="33"/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customHeight="1" x14ac:dyDescent="0.25">
      <c r="A972" s="1" t="s">
        <v>5161</v>
      </c>
      <c r="B972" s="21" t="s">
        <v>5162</v>
      </c>
      <c r="C972" s="1">
        <v>1</v>
      </c>
      <c r="D972" s="1" t="s">
        <v>5166</v>
      </c>
      <c r="E972" s="7">
        <v>4599</v>
      </c>
      <c r="F972" s="7">
        <v>58</v>
      </c>
      <c r="G972" s="1">
        <v>88.34</v>
      </c>
      <c r="H972" s="34">
        <f>Tabela1[[#This Row],[PESO UNI]]*Tabela1[[#This Row],[QTE]]</f>
        <v>88.34</v>
      </c>
      <c r="I972" s="7">
        <v>0</v>
      </c>
      <c r="J972" s="8" t="s">
        <v>3045</v>
      </c>
      <c r="K972" s="8" t="s">
        <v>4320</v>
      </c>
      <c r="L972" s="9" t="s">
        <v>2984</v>
      </c>
      <c r="M972" s="10">
        <v>46251</v>
      </c>
      <c r="N972" s="8" t="s">
        <v>5105</v>
      </c>
      <c r="O972" s="12"/>
      <c r="P972" s="13"/>
      <c r="Q972" s="14">
        <f>Tabela1[[#This Row],[QTDE/ Fabricação]]-Tabela1[[#This Row],[QTE]]</f>
        <v>-1</v>
      </c>
      <c r="R972" s="18">
        <f t="shared" si="193"/>
        <v>73.763900000000007</v>
      </c>
      <c r="S972" s="18">
        <f t="shared" si="194"/>
        <v>30.919</v>
      </c>
      <c r="T972" s="19">
        <f t="shared" si="195"/>
        <v>-57.421000000000006</v>
      </c>
      <c r="U972" s="16">
        <f>IFERROR(SUMIF('LISTA DE EMBARQUE'!B:B,MICRO!E:E,'LISTA DE EMBARQUE'!G:G),"")</f>
        <v>0</v>
      </c>
      <c r="V972" s="12" t="str">
        <f>IFERROR(VLOOKUP(Tabela1[[#This Row],[COD.MDE]],'LISTA DE EMBARQUE'!B:L,11,0),"")</f>
        <v/>
      </c>
      <c r="W972" s="13" t="str">
        <f>IFERROR(VLOOKUP(Tabela1[[#This Row],[COD.MDE]],'LISTA DE EMBARQUE'!B:M,12,0),"")</f>
        <v/>
      </c>
      <c r="X972" s="14">
        <f>IFERROR(Tabela1[[#This Row],[QIANTIDADE EXPEDIDA]]*Tabela1[[#This Row],[PESO UNI]],"")</f>
        <v>0</v>
      </c>
      <c r="Y972" s="14">
        <f t="shared" si="196"/>
        <v>-1</v>
      </c>
      <c r="Z972" s="20">
        <f>Tabela1[[#This Row],[PESO TOTAL]]-Tabela1[[#This Row],[Peso Expedido]]</f>
        <v>88.34</v>
      </c>
      <c r="AA972" s="17">
        <v>1</v>
      </c>
      <c r="AB972" s="33"/>
      <c r="AC972" s="33">
        <v>1</v>
      </c>
      <c r="AD972" s="33">
        <v>0.7</v>
      </c>
      <c r="AE972" s="33">
        <v>0.7</v>
      </c>
      <c r="AF972" s="33">
        <v>0.4</v>
      </c>
      <c r="AG972" s="33">
        <v>0.35</v>
      </c>
      <c r="AH972" s="33"/>
      <c r="AI972" s="33"/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customHeight="1" x14ac:dyDescent="0.25">
      <c r="A973" s="1" t="s">
        <v>5161</v>
      </c>
      <c r="B973" s="21" t="s">
        <v>5162</v>
      </c>
      <c r="C973" s="1">
        <v>1</v>
      </c>
      <c r="D973" s="1" t="s">
        <v>5167</v>
      </c>
      <c r="E973" s="7">
        <v>4600</v>
      </c>
      <c r="F973" s="7">
        <v>58</v>
      </c>
      <c r="G973" s="1">
        <v>83.44</v>
      </c>
      <c r="H973" s="34">
        <f>Tabela1[[#This Row],[PESO UNI]]*Tabela1[[#This Row],[QTE]]</f>
        <v>83.44</v>
      </c>
      <c r="I973" s="7">
        <v>0</v>
      </c>
      <c r="J973" s="8" t="s">
        <v>3045</v>
      </c>
      <c r="K973" s="8" t="s">
        <v>4320</v>
      </c>
      <c r="L973" s="9" t="s">
        <v>2984</v>
      </c>
      <c r="M973" s="10">
        <v>46251</v>
      </c>
      <c r="N973" s="8" t="s">
        <v>5105</v>
      </c>
      <c r="O973" s="12"/>
      <c r="P973" s="13"/>
      <c r="Q973" s="14">
        <f>Tabela1[[#This Row],[QTDE/ Fabricação]]-Tabela1[[#This Row],[QTE]]</f>
        <v>-1</v>
      </c>
      <c r="R973" s="18">
        <f t="shared" si="193"/>
        <v>69.672399999999996</v>
      </c>
      <c r="S973" s="18">
        <f t="shared" si="194"/>
        <v>29.203999999999997</v>
      </c>
      <c r="T973" s="19">
        <f t="shared" si="195"/>
        <v>-54.236000000000004</v>
      </c>
      <c r="U973" s="16">
        <f>IFERROR(SUMIF('LISTA DE EMBARQUE'!B:B,MICRO!E:E,'LISTA DE EMBARQUE'!G:G),"")</f>
        <v>0</v>
      </c>
      <c r="V973" s="12" t="str">
        <f>IFERROR(VLOOKUP(Tabela1[[#This Row],[COD.MDE]],'LISTA DE EMBARQUE'!B:L,11,0),"")</f>
        <v/>
      </c>
      <c r="W973" s="13" t="str">
        <f>IFERROR(VLOOKUP(Tabela1[[#This Row],[COD.MDE]],'LISTA DE EMBARQUE'!B:M,12,0),"")</f>
        <v/>
      </c>
      <c r="X973" s="14">
        <f>IFERROR(Tabela1[[#This Row],[QIANTIDADE EXPEDIDA]]*Tabela1[[#This Row],[PESO UNI]],"")</f>
        <v>0</v>
      </c>
      <c r="Y973" s="14">
        <f t="shared" si="196"/>
        <v>-1</v>
      </c>
      <c r="Z973" s="20">
        <f>Tabela1[[#This Row],[PESO TOTAL]]-Tabela1[[#This Row],[Peso Expedido]]</f>
        <v>83.44</v>
      </c>
      <c r="AA973" s="17">
        <v>1</v>
      </c>
      <c r="AB973" s="33"/>
      <c r="AC973" s="33">
        <v>1</v>
      </c>
      <c r="AD973" s="33">
        <v>0.7</v>
      </c>
      <c r="AE973" s="33">
        <v>0.7</v>
      </c>
      <c r="AF973" s="33">
        <v>0.4</v>
      </c>
      <c r="AG973" s="33">
        <v>0.35</v>
      </c>
      <c r="AH973" s="33"/>
      <c r="AI973" s="33"/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customHeight="1" x14ac:dyDescent="0.25">
      <c r="A974" s="1" t="s">
        <v>5161</v>
      </c>
      <c r="B974" s="21" t="s">
        <v>5162</v>
      </c>
      <c r="C974" s="1">
        <v>1</v>
      </c>
      <c r="D974" s="1" t="s">
        <v>5168</v>
      </c>
      <c r="E974" s="7">
        <v>4601</v>
      </c>
      <c r="F974" s="7">
        <v>58</v>
      </c>
      <c r="G974" s="1">
        <v>105.14</v>
      </c>
      <c r="H974" s="34">
        <f>Tabela1[[#This Row],[PESO UNI]]*Tabela1[[#This Row],[QTE]]</f>
        <v>105.14</v>
      </c>
      <c r="I974" s="7">
        <v>0</v>
      </c>
      <c r="J974" s="8" t="s">
        <v>3045</v>
      </c>
      <c r="K974" s="8" t="s">
        <v>4320</v>
      </c>
      <c r="L974" s="9" t="s">
        <v>2984</v>
      </c>
      <c r="M974" s="10">
        <v>46251</v>
      </c>
      <c r="N974" s="8" t="s">
        <v>5105</v>
      </c>
      <c r="O974" s="12"/>
      <c r="P974" s="13"/>
      <c r="Q974" s="14">
        <f>Tabela1[[#This Row],[QTDE/ Fabricação]]-Tabela1[[#This Row],[QTE]]</f>
        <v>-1</v>
      </c>
      <c r="R974" s="18">
        <f t="shared" si="193"/>
        <v>87.791899999999998</v>
      </c>
      <c r="S974" s="18">
        <f t="shared" si="194"/>
        <v>36.798999999999999</v>
      </c>
      <c r="T974" s="19">
        <f t="shared" si="195"/>
        <v>-68.341000000000008</v>
      </c>
      <c r="U974" s="16">
        <f>IFERROR(SUMIF('LISTA DE EMBARQUE'!B:B,MICRO!E:E,'LISTA DE EMBARQUE'!G:G),"")</f>
        <v>0</v>
      </c>
      <c r="V974" s="12" t="str">
        <f>IFERROR(VLOOKUP(Tabela1[[#This Row],[COD.MDE]],'LISTA DE EMBARQUE'!B:L,11,0),"")</f>
        <v/>
      </c>
      <c r="W974" s="13" t="str">
        <f>IFERROR(VLOOKUP(Tabela1[[#This Row],[COD.MDE]],'LISTA DE EMBARQUE'!B:M,12,0),"")</f>
        <v/>
      </c>
      <c r="X974" s="14">
        <f>IFERROR(Tabela1[[#This Row],[QIANTIDADE EXPEDIDA]]*Tabela1[[#This Row],[PESO UNI]],"")</f>
        <v>0</v>
      </c>
      <c r="Y974" s="14">
        <f t="shared" si="196"/>
        <v>-1</v>
      </c>
      <c r="Z974" s="20">
        <f>Tabela1[[#This Row],[PESO TOTAL]]-Tabela1[[#This Row],[Peso Expedido]]</f>
        <v>105.14</v>
      </c>
      <c r="AA974" s="17">
        <v>1</v>
      </c>
      <c r="AB974" s="33"/>
      <c r="AC974" s="33">
        <v>1</v>
      </c>
      <c r="AD974" s="33">
        <v>0.7</v>
      </c>
      <c r="AE974" s="33">
        <v>0.7</v>
      </c>
      <c r="AF974" s="33">
        <v>0.4</v>
      </c>
      <c r="AG974" s="33">
        <v>0.35</v>
      </c>
      <c r="AH974" s="33"/>
      <c r="AI974" s="33"/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customHeight="1" x14ac:dyDescent="0.25">
      <c r="A975" s="1" t="s">
        <v>5161</v>
      </c>
      <c r="B975" s="21" t="s">
        <v>5162</v>
      </c>
      <c r="C975" s="1">
        <v>1</v>
      </c>
      <c r="D975" s="1" t="s">
        <v>5169</v>
      </c>
      <c r="E975" s="7">
        <v>4602</v>
      </c>
      <c r="F975" s="7">
        <v>58</v>
      </c>
      <c r="G975" s="1">
        <v>105.14</v>
      </c>
      <c r="H975" s="34">
        <f>Tabela1[[#This Row],[PESO UNI]]*Tabela1[[#This Row],[QTE]]</f>
        <v>105.14</v>
      </c>
      <c r="I975" s="7">
        <v>0</v>
      </c>
      <c r="J975" s="8" t="s">
        <v>3045</v>
      </c>
      <c r="K975" s="8" t="s">
        <v>4320</v>
      </c>
      <c r="L975" s="9" t="s">
        <v>2984</v>
      </c>
      <c r="M975" s="10">
        <v>46251</v>
      </c>
      <c r="N975" s="8" t="s">
        <v>5105</v>
      </c>
      <c r="O975" s="12"/>
      <c r="P975" s="13"/>
      <c r="Q975" s="14">
        <f>Tabela1[[#This Row],[QTDE/ Fabricação]]-Tabela1[[#This Row],[QTE]]</f>
        <v>-1</v>
      </c>
      <c r="R975" s="18">
        <f t="shared" si="193"/>
        <v>87.791899999999998</v>
      </c>
      <c r="S975" s="18">
        <f t="shared" si="194"/>
        <v>36.798999999999999</v>
      </c>
      <c r="T975" s="19">
        <f t="shared" si="195"/>
        <v>-68.341000000000008</v>
      </c>
      <c r="U975" s="16">
        <f>IFERROR(SUMIF('LISTA DE EMBARQUE'!B:B,MICRO!E:E,'LISTA DE EMBARQUE'!G:G),"")</f>
        <v>0</v>
      </c>
      <c r="V975" s="12" t="str">
        <f>IFERROR(VLOOKUP(Tabela1[[#This Row],[COD.MDE]],'LISTA DE EMBARQUE'!B:L,11,0),"")</f>
        <v/>
      </c>
      <c r="W975" s="13" t="str">
        <f>IFERROR(VLOOKUP(Tabela1[[#This Row],[COD.MDE]],'LISTA DE EMBARQUE'!B:M,12,0),"")</f>
        <v/>
      </c>
      <c r="X975" s="14">
        <f>IFERROR(Tabela1[[#This Row],[QIANTIDADE EXPEDIDA]]*Tabela1[[#This Row],[PESO UNI]],"")</f>
        <v>0</v>
      </c>
      <c r="Y975" s="14">
        <f t="shared" si="196"/>
        <v>-1</v>
      </c>
      <c r="Z975" s="20">
        <f>Tabela1[[#This Row],[PESO TOTAL]]-Tabela1[[#This Row],[Peso Expedido]]</f>
        <v>105.14</v>
      </c>
      <c r="AA975" s="17">
        <v>1</v>
      </c>
      <c r="AB975" s="33"/>
      <c r="AC975" s="33">
        <v>1</v>
      </c>
      <c r="AD975" s="33">
        <v>0.7</v>
      </c>
      <c r="AE975" s="33">
        <v>0.7</v>
      </c>
      <c r="AF975" s="33">
        <v>0.4</v>
      </c>
      <c r="AG975" s="33">
        <v>0.35</v>
      </c>
      <c r="AH975" s="33"/>
      <c r="AI975" s="33"/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customHeight="1" x14ac:dyDescent="0.25">
      <c r="A976" s="1" t="s">
        <v>5161</v>
      </c>
      <c r="B976" s="21" t="s">
        <v>5162</v>
      </c>
      <c r="C976" s="1">
        <v>1</v>
      </c>
      <c r="D976" s="1" t="s">
        <v>5170</v>
      </c>
      <c r="E976" s="7">
        <v>4603</v>
      </c>
      <c r="F976" s="7">
        <v>58</v>
      </c>
      <c r="G976" s="1">
        <v>107.64</v>
      </c>
      <c r="H976" s="34">
        <f>Tabela1[[#This Row],[PESO UNI]]*Tabela1[[#This Row],[QTE]]</f>
        <v>107.64</v>
      </c>
      <c r="I976" s="7">
        <v>0</v>
      </c>
      <c r="J976" s="8" t="s">
        <v>3045</v>
      </c>
      <c r="K976" s="8" t="s">
        <v>4320</v>
      </c>
      <c r="L976" s="9" t="s">
        <v>2984</v>
      </c>
      <c r="M976" s="10">
        <v>46251</v>
      </c>
      <c r="N976" s="8" t="s">
        <v>5105</v>
      </c>
      <c r="O976" s="12"/>
      <c r="P976" s="13"/>
      <c r="Q976" s="14">
        <f>Tabela1[[#This Row],[QTDE/ Fabricação]]-Tabela1[[#This Row],[QTE]]</f>
        <v>-1</v>
      </c>
      <c r="R976" s="18">
        <f t="shared" si="193"/>
        <v>89.87939999999999</v>
      </c>
      <c r="S976" s="18">
        <f t="shared" si="194"/>
        <v>37.673999999999999</v>
      </c>
      <c r="T976" s="19">
        <f t="shared" si="195"/>
        <v>-69.966000000000008</v>
      </c>
      <c r="U976" s="16">
        <f>IFERROR(SUMIF('LISTA DE EMBARQUE'!B:B,MICRO!E:E,'LISTA DE EMBARQUE'!G:G),"")</f>
        <v>0</v>
      </c>
      <c r="V976" s="12" t="str">
        <f>IFERROR(VLOOKUP(Tabela1[[#This Row],[COD.MDE]],'LISTA DE EMBARQUE'!B:L,11,0),"")</f>
        <v/>
      </c>
      <c r="W976" s="13" t="str">
        <f>IFERROR(VLOOKUP(Tabela1[[#This Row],[COD.MDE]],'LISTA DE EMBARQUE'!B:M,12,0),"")</f>
        <v/>
      </c>
      <c r="X976" s="14">
        <f>IFERROR(Tabela1[[#This Row],[QIANTIDADE EXPEDIDA]]*Tabela1[[#This Row],[PESO UNI]],"")</f>
        <v>0</v>
      </c>
      <c r="Y976" s="14">
        <f t="shared" si="196"/>
        <v>-1</v>
      </c>
      <c r="Z976" s="20">
        <f>Tabela1[[#This Row],[PESO TOTAL]]-Tabela1[[#This Row],[Peso Expedido]]</f>
        <v>107.64</v>
      </c>
      <c r="AA976" s="17">
        <v>1</v>
      </c>
      <c r="AB976" s="33"/>
      <c r="AC976" s="33">
        <v>1</v>
      </c>
      <c r="AD976" s="33">
        <v>0.7</v>
      </c>
      <c r="AE976" s="33">
        <v>0.7</v>
      </c>
      <c r="AF976" s="33">
        <v>0.4</v>
      </c>
      <c r="AG976" s="33">
        <v>0.35</v>
      </c>
      <c r="AH976" s="33"/>
      <c r="AI976" s="33"/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customHeight="1" x14ac:dyDescent="0.25">
      <c r="A977" s="1" t="s">
        <v>5173</v>
      </c>
      <c r="B977" s="21" t="s">
        <v>5171</v>
      </c>
      <c r="C977" s="1">
        <v>1</v>
      </c>
      <c r="D977" s="1" t="s">
        <v>5172</v>
      </c>
      <c r="E977" s="7">
        <v>4604</v>
      </c>
      <c r="F977" s="7">
        <v>58</v>
      </c>
      <c r="G977" s="1">
        <v>513.87</v>
      </c>
      <c r="H977" s="34">
        <f>Tabela1[[#This Row],[PESO UNI]]*Tabela1[[#This Row],[QTE]]</f>
        <v>513.87</v>
      </c>
      <c r="I977" s="7">
        <v>0</v>
      </c>
      <c r="J977" s="8" t="s">
        <v>3045</v>
      </c>
      <c r="K977" s="8" t="s">
        <v>4320</v>
      </c>
      <c r="L977" s="9" t="s">
        <v>2984</v>
      </c>
      <c r="M977" s="10">
        <v>46251</v>
      </c>
      <c r="N977" s="8" t="s">
        <v>5105</v>
      </c>
      <c r="O977" s="12"/>
      <c r="P977" s="13"/>
      <c r="Q977" s="14">
        <f>Tabela1[[#This Row],[QTDE/ Fabricação]]-Tabela1[[#This Row],[QTE]]</f>
        <v>-1</v>
      </c>
      <c r="R977" s="18">
        <f t="shared" si="193"/>
        <v>429.08144999999996</v>
      </c>
      <c r="S977" s="18">
        <f t="shared" si="194"/>
        <v>179.8545</v>
      </c>
      <c r="T977" s="19">
        <f t="shared" si="195"/>
        <v>-334.01549999999997</v>
      </c>
      <c r="U977" s="16">
        <f>IFERROR(SUMIF('LISTA DE EMBARQUE'!B:B,MICRO!E:E,'LISTA DE EMBARQUE'!G:G),"")</f>
        <v>0</v>
      </c>
      <c r="V977" s="12" t="str">
        <f>IFERROR(VLOOKUP(Tabela1[[#This Row],[COD.MDE]],'LISTA DE EMBARQUE'!B:L,11,0),"")</f>
        <v/>
      </c>
      <c r="W977" s="13" t="str">
        <f>IFERROR(VLOOKUP(Tabela1[[#This Row],[COD.MDE]],'LISTA DE EMBARQUE'!B:M,12,0),"")</f>
        <v/>
      </c>
      <c r="X977" s="14">
        <f>IFERROR(Tabela1[[#This Row],[QIANTIDADE EXPEDIDA]]*Tabela1[[#This Row],[PESO UNI]],"")</f>
        <v>0</v>
      </c>
      <c r="Y977" s="14">
        <f t="shared" si="196"/>
        <v>-1</v>
      </c>
      <c r="Z977" s="20">
        <f>Tabela1[[#This Row],[PESO TOTAL]]-Tabela1[[#This Row],[Peso Expedido]]</f>
        <v>513.87</v>
      </c>
      <c r="AA977" s="17">
        <v>1</v>
      </c>
      <c r="AB977" s="33"/>
      <c r="AC977" s="33">
        <v>1</v>
      </c>
      <c r="AD977" s="33">
        <v>0.7</v>
      </c>
      <c r="AE977" s="33">
        <v>0.7</v>
      </c>
      <c r="AF977" s="33">
        <v>0.4</v>
      </c>
      <c r="AG977" s="33">
        <v>0.35</v>
      </c>
      <c r="AH977" s="33"/>
      <c r="AI977" s="33"/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customHeight="1" x14ac:dyDescent="0.25">
      <c r="A978" s="1" t="s">
        <v>5174</v>
      </c>
      <c r="B978" s="21" t="s">
        <v>5175</v>
      </c>
      <c r="C978" s="1">
        <v>1</v>
      </c>
      <c r="D978" s="1" t="s">
        <v>5176</v>
      </c>
      <c r="E978" s="7">
        <v>4605</v>
      </c>
      <c r="F978" s="7">
        <v>58</v>
      </c>
      <c r="G978" s="1">
        <v>483.47</v>
      </c>
      <c r="H978" s="34">
        <f>Tabela1[[#This Row],[PESO UNI]]*Tabela1[[#This Row],[QTE]]</f>
        <v>483.47</v>
      </c>
      <c r="I978" s="7">
        <v>0</v>
      </c>
      <c r="J978" s="8" t="s">
        <v>3045</v>
      </c>
      <c r="K978" s="8" t="s">
        <v>4320</v>
      </c>
      <c r="L978" s="9" t="s">
        <v>2984</v>
      </c>
      <c r="M978" s="10">
        <v>46251</v>
      </c>
      <c r="N978" s="8" t="s">
        <v>5105</v>
      </c>
      <c r="O978" s="12"/>
      <c r="P978" s="13"/>
      <c r="Q978" s="14">
        <f>Tabela1[[#This Row],[QTDE/ Fabricação]]-Tabela1[[#This Row],[QTE]]</f>
        <v>-1</v>
      </c>
      <c r="R978" s="18">
        <f t="shared" si="193"/>
        <v>403.69745</v>
      </c>
      <c r="S978" s="18">
        <f t="shared" si="194"/>
        <v>169.21449999999999</v>
      </c>
      <c r="T978" s="19">
        <f t="shared" si="195"/>
        <v>-314.25550000000004</v>
      </c>
      <c r="U978" s="16">
        <f>IFERROR(SUMIF('LISTA DE EMBARQUE'!B:B,MICRO!E:E,'LISTA DE EMBARQUE'!G:G),"")</f>
        <v>0</v>
      </c>
      <c r="V978" s="12" t="str">
        <f>IFERROR(VLOOKUP(Tabela1[[#This Row],[COD.MDE]],'LISTA DE EMBARQUE'!B:L,11,0),"")</f>
        <v/>
      </c>
      <c r="W978" s="13" t="str">
        <f>IFERROR(VLOOKUP(Tabela1[[#This Row],[COD.MDE]],'LISTA DE EMBARQUE'!B:M,12,0),"")</f>
        <v/>
      </c>
      <c r="X978" s="14">
        <f>IFERROR(Tabela1[[#This Row],[QIANTIDADE EXPEDIDA]]*Tabela1[[#This Row],[PESO UNI]],"")</f>
        <v>0</v>
      </c>
      <c r="Y978" s="14">
        <f t="shared" si="196"/>
        <v>-1</v>
      </c>
      <c r="Z978" s="20">
        <f>Tabela1[[#This Row],[PESO TOTAL]]-Tabela1[[#This Row],[Peso Expedido]]</f>
        <v>483.47</v>
      </c>
      <c r="AA978" s="17">
        <v>1</v>
      </c>
      <c r="AB978" s="33"/>
      <c r="AC978" s="33">
        <v>1</v>
      </c>
      <c r="AD978" s="33">
        <v>0.7</v>
      </c>
      <c r="AE978" s="33">
        <v>0.7</v>
      </c>
      <c r="AF978" s="33">
        <v>0.4</v>
      </c>
      <c r="AG978" s="33">
        <v>0.35</v>
      </c>
      <c r="AH978" s="33"/>
      <c r="AI978" s="33"/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customHeight="1" x14ac:dyDescent="0.25">
      <c r="A979" s="1" t="s">
        <v>5177</v>
      </c>
      <c r="B979" s="21" t="s">
        <v>5178</v>
      </c>
      <c r="C979" s="1">
        <v>1</v>
      </c>
      <c r="D979" s="1" t="s">
        <v>5179</v>
      </c>
      <c r="E979" s="7">
        <v>4606</v>
      </c>
      <c r="F979" s="7">
        <v>58</v>
      </c>
      <c r="G979" s="1">
        <v>477.68</v>
      </c>
      <c r="H979" s="34">
        <f>Tabela1[[#This Row],[PESO UNI]]*Tabela1[[#This Row],[QTE]]</f>
        <v>477.68</v>
      </c>
      <c r="I979" s="7">
        <v>0</v>
      </c>
      <c r="J979" s="8" t="s">
        <v>3045</v>
      </c>
      <c r="K979" s="8" t="s">
        <v>4320</v>
      </c>
      <c r="L979" s="9" t="s">
        <v>2984</v>
      </c>
      <c r="M979" s="10">
        <v>46251</v>
      </c>
      <c r="N979" s="8" t="s">
        <v>5105</v>
      </c>
      <c r="O979" s="12"/>
      <c r="P979" s="13"/>
      <c r="Q979" s="14">
        <f>Tabela1[[#This Row],[QTDE/ Fabricação]]-Tabela1[[#This Row],[QTE]]</f>
        <v>-1</v>
      </c>
      <c r="R979" s="18">
        <f t="shared" si="193"/>
        <v>398.86279999999999</v>
      </c>
      <c r="S979" s="18">
        <f t="shared" si="194"/>
        <v>167.18799999999999</v>
      </c>
      <c r="T979" s="19">
        <f t="shared" si="195"/>
        <v>-310.49200000000002</v>
      </c>
      <c r="U979" s="16">
        <f>IFERROR(SUMIF('LISTA DE EMBARQUE'!B:B,MICRO!E:E,'LISTA DE EMBARQUE'!G:G),"")</f>
        <v>0</v>
      </c>
      <c r="V979" s="12" t="str">
        <f>IFERROR(VLOOKUP(Tabela1[[#This Row],[COD.MDE]],'LISTA DE EMBARQUE'!B:L,11,0),"")</f>
        <v/>
      </c>
      <c r="W979" s="13" t="str">
        <f>IFERROR(VLOOKUP(Tabela1[[#This Row],[COD.MDE]],'LISTA DE EMBARQUE'!B:M,12,0),"")</f>
        <v/>
      </c>
      <c r="X979" s="14">
        <f>IFERROR(Tabela1[[#This Row],[QIANTIDADE EXPEDIDA]]*Tabela1[[#This Row],[PESO UNI]],"")</f>
        <v>0</v>
      </c>
      <c r="Y979" s="14">
        <f t="shared" si="196"/>
        <v>-1</v>
      </c>
      <c r="Z979" s="20">
        <f>Tabela1[[#This Row],[PESO TOTAL]]-Tabela1[[#This Row],[Peso Expedido]]</f>
        <v>477.68</v>
      </c>
      <c r="AA979" s="17">
        <v>1</v>
      </c>
      <c r="AB979" s="33"/>
      <c r="AC979" s="33">
        <v>1</v>
      </c>
      <c r="AD979" s="33">
        <v>0.7</v>
      </c>
      <c r="AE979" s="33">
        <v>0.7</v>
      </c>
      <c r="AF979" s="33">
        <v>0.4</v>
      </c>
      <c r="AG979" s="33">
        <v>0.35</v>
      </c>
      <c r="AH979" s="33"/>
      <c r="AI979" s="33"/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customHeight="1" x14ac:dyDescent="0.25">
      <c r="A980" s="1" t="s">
        <v>5180</v>
      </c>
      <c r="B980" s="21" t="s">
        <v>5181</v>
      </c>
      <c r="C980" s="1">
        <v>1</v>
      </c>
      <c r="D980" s="1" t="s">
        <v>5182</v>
      </c>
      <c r="E980" s="7">
        <v>4607</v>
      </c>
      <c r="F980" s="7">
        <v>58</v>
      </c>
      <c r="G980" s="1">
        <v>499.5</v>
      </c>
      <c r="H980" s="34">
        <f>Tabela1[[#This Row],[PESO UNI]]*Tabela1[[#This Row],[QTE]]</f>
        <v>499.5</v>
      </c>
      <c r="I980" s="7">
        <v>0</v>
      </c>
      <c r="J980" s="8" t="s">
        <v>3045</v>
      </c>
      <c r="K980" s="8" t="s">
        <v>4320</v>
      </c>
      <c r="L980" s="9" t="s">
        <v>2984</v>
      </c>
      <c r="M980" s="10">
        <v>46251</v>
      </c>
      <c r="N980" s="8" t="s">
        <v>5105</v>
      </c>
      <c r="O980" s="12"/>
      <c r="P980" s="13"/>
      <c r="Q980" s="14">
        <f>Tabela1[[#This Row],[QTDE/ Fabricação]]-Tabela1[[#This Row],[QTE]]</f>
        <v>-1</v>
      </c>
      <c r="R980" s="18">
        <f t="shared" si="193"/>
        <v>417.08249999999998</v>
      </c>
      <c r="S980" s="18">
        <f t="shared" si="194"/>
        <v>174.82499999999999</v>
      </c>
      <c r="T980" s="19">
        <f t="shared" si="195"/>
        <v>-324.67500000000001</v>
      </c>
      <c r="U980" s="16">
        <f>IFERROR(SUMIF('LISTA DE EMBARQUE'!B:B,MICRO!E:E,'LISTA DE EMBARQUE'!G:G),"")</f>
        <v>0</v>
      </c>
      <c r="V980" s="12" t="str">
        <f>IFERROR(VLOOKUP(Tabela1[[#This Row],[COD.MDE]],'LISTA DE EMBARQUE'!B:L,11,0),"")</f>
        <v/>
      </c>
      <c r="W980" s="13" t="str">
        <f>IFERROR(VLOOKUP(Tabela1[[#This Row],[COD.MDE]],'LISTA DE EMBARQUE'!B:M,12,0),"")</f>
        <v/>
      </c>
      <c r="X980" s="14">
        <f>IFERROR(Tabela1[[#This Row],[QIANTIDADE EXPEDIDA]]*Tabela1[[#This Row],[PESO UNI]],"")</f>
        <v>0</v>
      </c>
      <c r="Y980" s="14">
        <f t="shared" si="196"/>
        <v>-1</v>
      </c>
      <c r="Z980" s="20">
        <f>Tabela1[[#This Row],[PESO TOTAL]]-Tabela1[[#This Row],[Peso Expedido]]</f>
        <v>499.5</v>
      </c>
      <c r="AA980" s="17">
        <v>1</v>
      </c>
      <c r="AB980" s="33"/>
      <c r="AC980" s="33">
        <v>1</v>
      </c>
      <c r="AD980" s="33">
        <v>0.7</v>
      </c>
      <c r="AE980" s="33">
        <v>0.7</v>
      </c>
      <c r="AF980" s="33">
        <v>0.4</v>
      </c>
      <c r="AG980" s="33">
        <v>0.35</v>
      </c>
      <c r="AH980" s="33"/>
      <c r="AI980" s="33"/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customHeight="1" x14ac:dyDescent="0.25">
      <c r="A981" s="1" t="s">
        <v>5183</v>
      </c>
      <c r="B981" s="21" t="s">
        <v>5184</v>
      </c>
      <c r="C981" s="1">
        <v>3</v>
      </c>
      <c r="D981" s="1" t="s">
        <v>5185</v>
      </c>
      <c r="E981" s="7">
        <v>4608</v>
      </c>
      <c r="F981" s="7">
        <v>59</v>
      </c>
      <c r="G981" s="1">
        <v>92.03</v>
      </c>
      <c r="H981" s="34">
        <f>Tabela1[[#This Row],[PESO UNI]]*Tabela1[[#This Row],[QTE]]</f>
        <v>276.09000000000003</v>
      </c>
      <c r="I981" s="7">
        <v>0</v>
      </c>
      <c r="J981" s="8" t="s">
        <v>3045</v>
      </c>
      <c r="K981" s="8" t="s">
        <v>4320</v>
      </c>
      <c r="L981" s="9" t="s">
        <v>2984</v>
      </c>
      <c r="M981" s="10">
        <v>46251</v>
      </c>
      <c r="N981" s="8" t="s">
        <v>5105</v>
      </c>
      <c r="O981" s="12"/>
      <c r="P981" s="13"/>
      <c r="Q981" s="14">
        <f>Tabela1[[#This Row],[QTDE/ Fabricação]]-Tabela1[[#This Row],[QTE]]</f>
        <v>-3</v>
      </c>
      <c r="R981" s="18">
        <f t="shared" si="193"/>
        <v>230.53515000000002</v>
      </c>
      <c r="S981" s="18">
        <f t="shared" si="194"/>
        <v>96.631500000000003</v>
      </c>
      <c r="T981" s="19">
        <f t="shared" si="195"/>
        <v>-179.45850000000002</v>
      </c>
      <c r="U981" s="16">
        <f>IFERROR(SUMIF('LISTA DE EMBARQUE'!B:B,MICRO!E:E,'LISTA DE EMBARQUE'!G:G),"")</f>
        <v>0</v>
      </c>
      <c r="V981" s="12" t="str">
        <f>IFERROR(VLOOKUP(Tabela1[[#This Row],[COD.MDE]],'LISTA DE EMBARQUE'!B:L,11,0),"")</f>
        <v/>
      </c>
      <c r="W981" s="13" t="str">
        <f>IFERROR(VLOOKUP(Tabela1[[#This Row],[COD.MDE]],'LISTA DE EMBARQUE'!B:M,12,0),"")</f>
        <v/>
      </c>
      <c r="X981" s="14">
        <f>IFERROR(Tabela1[[#This Row],[QIANTIDADE EXPEDIDA]]*Tabela1[[#This Row],[PESO UNI]],"")</f>
        <v>0</v>
      </c>
      <c r="Y981" s="14">
        <f t="shared" si="196"/>
        <v>-3</v>
      </c>
      <c r="Z981" s="20">
        <f>Tabela1[[#This Row],[PESO TOTAL]]-Tabela1[[#This Row],[Peso Expedido]]</f>
        <v>276.09000000000003</v>
      </c>
      <c r="AA981" s="17">
        <v>1</v>
      </c>
      <c r="AB981" s="33"/>
      <c r="AC981" s="33">
        <v>1</v>
      </c>
      <c r="AD981" s="33">
        <v>0.7</v>
      </c>
      <c r="AE981" s="33">
        <v>0.7</v>
      </c>
      <c r="AF981" s="33">
        <v>0.4</v>
      </c>
      <c r="AG981" s="33">
        <v>0.35</v>
      </c>
      <c r="AH981" s="33"/>
      <c r="AI981" s="33"/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customHeight="1" x14ac:dyDescent="0.25">
      <c r="A982" s="1" t="s">
        <v>5183</v>
      </c>
      <c r="B982" s="21" t="s">
        <v>5184</v>
      </c>
      <c r="C982" s="1">
        <v>1</v>
      </c>
      <c r="D982" s="1" t="s">
        <v>5186</v>
      </c>
      <c r="E982" s="7">
        <v>4609</v>
      </c>
      <c r="F982" s="7">
        <v>59</v>
      </c>
      <c r="G982" s="1">
        <v>114.46</v>
      </c>
      <c r="H982" s="34">
        <f>Tabela1[[#This Row],[PESO UNI]]*Tabela1[[#This Row],[QTE]]</f>
        <v>114.46</v>
      </c>
      <c r="I982" s="7">
        <v>0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5105</v>
      </c>
      <c r="O982" s="12"/>
      <c r="P982" s="13"/>
      <c r="Q982" s="14">
        <f>Tabela1[[#This Row],[QTDE/ Fabricação]]-Tabela1[[#This Row],[QTE]]</f>
        <v>-1</v>
      </c>
      <c r="R982" s="18">
        <f t="shared" si="193"/>
        <v>95.574099999999987</v>
      </c>
      <c r="S982" s="18">
        <f t="shared" si="194"/>
        <v>40.060999999999993</v>
      </c>
      <c r="T982" s="19">
        <f t="shared" si="195"/>
        <v>-74.399000000000001</v>
      </c>
      <c r="U982" s="16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IFERROR(VLOOKUP(Tabela1[[#This Row],[COD.MDE]],'LISTA DE EMBARQUE'!B:M,12,0),"")</f>
        <v/>
      </c>
      <c r="X982" s="14">
        <f>IFERROR(Tabela1[[#This Row],[QIANTIDADE EXPEDIDA]]*Tabela1[[#This Row],[PESO UNI]],"")</f>
        <v>0</v>
      </c>
      <c r="Y982" s="14">
        <f t="shared" si="196"/>
        <v>-1</v>
      </c>
      <c r="Z982" s="20">
        <f>Tabela1[[#This Row],[PESO TOTAL]]-Tabela1[[#This Row],[Peso Expedido]]</f>
        <v>114.46</v>
      </c>
      <c r="AA982" s="17">
        <v>1</v>
      </c>
      <c r="AB982" s="33"/>
      <c r="AC982" s="33">
        <v>1</v>
      </c>
      <c r="AD982" s="33">
        <v>0.7</v>
      </c>
      <c r="AE982" s="33">
        <v>0.7</v>
      </c>
      <c r="AF982" s="33">
        <v>0.4</v>
      </c>
      <c r="AG982" s="33">
        <v>0.35</v>
      </c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customHeight="1" x14ac:dyDescent="0.25">
      <c r="A983" s="1" t="s">
        <v>5183</v>
      </c>
      <c r="B983" s="21" t="s">
        <v>5184</v>
      </c>
      <c r="C983" s="1">
        <v>1</v>
      </c>
      <c r="D983" s="1" t="s">
        <v>5187</v>
      </c>
      <c r="E983" s="7">
        <v>4610</v>
      </c>
      <c r="F983" s="7">
        <v>59</v>
      </c>
      <c r="G983" s="1">
        <v>80.17</v>
      </c>
      <c r="H983" s="34">
        <f>Tabela1[[#This Row],[PESO UNI]]*Tabela1[[#This Row],[QTE]]</f>
        <v>80.17</v>
      </c>
      <c r="I983" s="7">
        <v>0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5105</v>
      </c>
      <c r="O983" s="12"/>
      <c r="P983" s="13"/>
      <c r="Q983" s="14">
        <f>Tabela1[[#This Row],[QTDE/ Fabricação]]-Tabela1[[#This Row],[QTE]]</f>
        <v>-1</v>
      </c>
      <c r="R983" s="18">
        <f t="shared" si="193"/>
        <v>66.941950000000006</v>
      </c>
      <c r="S983" s="18">
        <f t="shared" si="194"/>
        <v>28.0595</v>
      </c>
      <c r="T983" s="19">
        <f t="shared" si="195"/>
        <v>-52.110500000000002</v>
      </c>
      <c r="U983" s="16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IFERROR(VLOOKUP(Tabela1[[#This Row],[COD.MDE]],'LISTA DE EMBARQUE'!B:M,12,0),"")</f>
        <v/>
      </c>
      <c r="X983" s="14">
        <f>IFERROR(Tabela1[[#This Row],[QIANTIDADE EXPEDIDA]]*Tabela1[[#This Row],[PESO UNI]],"")</f>
        <v>0</v>
      </c>
      <c r="Y983" s="14">
        <f t="shared" si="196"/>
        <v>-1</v>
      </c>
      <c r="Z983" s="20">
        <f>Tabela1[[#This Row],[PESO TOTAL]]-Tabela1[[#This Row],[Peso Expedido]]</f>
        <v>80.17</v>
      </c>
      <c r="AA983" s="17">
        <v>1</v>
      </c>
      <c r="AB983" s="33"/>
      <c r="AC983" s="33">
        <v>1</v>
      </c>
      <c r="AD983" s="33">
        <v>0.7</v>
      </c>
      <c r="AE983" s="33">
        <v>0.7</v>
      </c>
      <c r="AF983" s="33">
        <v>0.4</v>
      </c>
      <c r="AG983" s="33">
        <v>0.35</v>
      </c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customHeight="1" x14ac:dyDescent="0.25">
      <c r="A984" s="1" t="s">
        <v>5183</v>
      </c>
      <c r="B984" s="21" t="s">
        <v>5184</v>
      </c>
      <c r="C984" s="1">
        <v>1</v>
      </c>
      <c r="D984" s="1" t="s">
        <v>5188</v>
      </c>
      <c r="E984" s="7">
        <v>4611</v>
      </c>
      <c r="F984" s="7">
        <v>59</v>
      </c>
      <c r="G984" s="1">
        <v>113.7</v>
      </c>
      <c r="H984" s="34">
        <f>Tabela1[[#This Row],[PESO UNI]]*Tabela1[[#This Row],[QTE]]</f>
        <v>113.7</v>
      </c>
      <c r="I984" s="7">
        <v>0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5105</v>
      </c>
      <c r="O984" s="12"/>
      <c r="P984" s="13"/>
      <c r="Q984" s="14">
        <f>Tabela1[[#This Row],[QTDE/ Fabricação]]-Tabela1[[#This Row],[QTE]]</f>
        <v>-1</v>
      </c>
      <c r="R984" s="18">
        <f t="shared" si="193"/>
        <v>94.939499999999995</v>
      </c>
      <c r="S984" s="18">
        <f t="shared" si="194"/>
        <v>39.795000000000002</v>
      </c>
      <c r="T984" s="19">
        <f t="shared" si="195"/>
        <v>-73.905000000000001</v>
      </c>
      <c r="U984" s="16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IFERROR(VLOOKUP(Tabela1[[#This Row],[COD.MDE]],'LISTA DE EMBARQUE'!B:M,12,0),"")</f>
        <v/>
      </c>
      <c r="X984" s="14">
        <f>IFERROR(Tabela1[[#This Row],[QIANTIDADE EXPEDIDA]]*Tabela1[[#This Row],[PESO UNI]],"")</f>
        <v>0</v>
      </c>
      <c r="Y984" s="14">
        <f t="shared" si="196"/>
        <v>-1</v>
      </c>
      <c r="Z984" s="20">
        <f>Tabela1[[#This Row],[PESO TOTAL]]-Tabela1[[#This Row],[Peso Expedido]]</f>
        <v>113.7</v>
      </c>
      <c r="AA984" s="17">
        <v>1</v>
      </c>
      <c r="AB984" s="33"/>
      <c r="AC984" s="33">
        <v>1</v>
      </c>
      <c r="AD984" s="33">
        <v>0.7</v>
      </c>
      <c r="AE984" s="33">
        <v>0.7</v>
      </c>
      <c r="AF984" s="33">
        <v>0.4</v>
      </c>
      <c r="AG984" s="33">
        <v>0.35</v>
      </c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customHeight="1" x14ac:dyDescent="0.25">
      <c r="A985" s="1" t="s">
        <v>5183</v>
      </c>
      <c r="B985" s="21" t="s">
        <v>5184</v>
      </c>
      <c r="C985" s="1">
        <v>3</v>
      </c>
      <c r="D985" s="1" t="s">
        <v>5189</v>
      </c>
      <c r="E985" s="7">
        <v>4612</v>
      </c>
      <c r="F985" s="7">
        <v>59</v>
      </c>
      <c r="G985" s="1">
        <v>46.8</v>
      </c>
      <c r="H985" s="34">
        <f>Tabela1[[#This Row],[PESO UNI]]*Tabela1[[#This Row],[QTE]]</f>
        <v>140.39999999999998</v>
      </c>
      <c r="I985" s="7">
        <v>0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5105</v>
      </c>
      <c r="O985" s="12"/>
      <c r="P985" s="13"/>
      <c r="Q985" s="14">
        <f>Tabela1[[#This Row],[QTDE/ Fabricação]]-Tabela1[[#This Row],[QTE]]</f>
        <v>-3</v>
      </c>
      <c r="R985" s="18">
        <f t="shared" si="193"/>
        <v>117.23399999999998</v>
      </c>
      <c r="S985" s="18">
        <f t="shared" si="194"/>
        <v>49.139999999999986</v>
      </c>
      <c r="T985" s="19">
        <f t="shared" si="195"/>
        <v>-91.259999999999991</v>
      </c>
      <c r="U985" s="16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IFERROR(VLOOKUP(Tabela1[[#This Row],[COD.MDE]],'LISTA DE EMBARQUE'!B:M,12,0),"")</f>
        <v/>
      </c>
      <c r="X985" s="14">
        <f>IFERROR(Tabela1[[#This Row],[QIANTIDADE EXPEDIDA]]*Tabela1[[#This Row],[PESO UNI]],"")</f>
        <v>0</v>
      </c>
      <c r="Y985" s="14">
        <f t="shared" si="196"/>
        <v>-3</v>
      </c>
      <c r="Z985" s="20">
        <f>Tabela1[[#This Row],[PESO TOTAL]]-Tabela1[[#This Row],[Peso Expedido]]</f>
        <v>140.39999999999998</v>
      </c>
      <c r="AA985" s="17">
        <v>1</v>
      </c>
      <c r="AB985" s="33"/>
      <c r="AC985" s="33">
        <v>1</v>
      </c>
      <c r="AD985" s="33">
        <v>0.7</v>
      </c>
      <c r="AE985" s="33">
        <v>0.7</v>
      </c>
      <c r="AF985" s="33">
        <v>0.4</v>
      </c>
      <c r="AG985" s="33">
        <v>0.35</v>
      </c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customHeight="1" x14ac:dyDescent="0.25">
      <c r="A986" s="1" t="s">
        <v>5190</v>
      </c>
      <c r="B986" s="21" t="s">
        <v>5191</v>
      </c>
      <c r="C986" s="1">
        <v>1</v>
      </c>
      <c r="D986" s="1" t="s">
        <v>5194</v>
      </c>
      <c r="E986" s="7">
        <v>4613</v>
      </c>
      <c r="F986" s="7">
        <v>59</v>
      </c>
      <c r="G986" s="1">
        <v>134.07</v>
      </c>
      <c r="H986" s="34">
        <f>Tabela1[[#This Row],[PESO UNI]]*Tabela1[[#This Row],[QTE]]</f>
        <v>134.07</v>
      </c>
      <c r="I986" s="7">
        <v>0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5105</v>
      </c>
      <c r="O986" s="12"/>
      <c r="P986" s="13"/>
      <c r="Q986" s="14">
        <f>Tabela1[[#This Row],[QTDE/ Fabricação]]-Tabela1[[#This Row],[QTE]]</f>
        <v>-1</v>
      </c>
      <c r="R986" s="18">
        <f t="shared" si="193"/>
        <v>111.94844999999999</v>
      </c>
      <c r="S986" s="18">
        <f t="shared" si="194"/>
        <v>46.924499999999995</v>
      </c>
      <c r="T986" s="19">
        <f t="shared" si="195"/>
        <v>-87.145499999999998</v>
      </c>
      <c r="U986" s="16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IFERROR(VLOOKUP(Tabela1[[#This Row],[COD.MDE]],'LISTA DE EMBARQUE'!B:M,12,0),"")</f>
        <v/>
      </c>
      <c r="X986" s="14">
        <f>IFERROR(Tabela1[[#This Row],[QIANTIDADE EXPEDIDA]]*Tabela1[[#This Row],[PESO UNI]],"")</f>
        <v>0</v>
      </c>
      <c r="Y986" s="14">
        <f t="shared" si="196"/>
        <v>-1</v>
      </c>
      <c r="Z986" s="20">
        <f>Tabela1[[#This Row],[PESO TOTAL]]-Tabela1[[#This Row],[Peso Expedido]]</f>
        <v>134.07</v>
      </c>
      <c r="AA986" s="17">
        <v>1</v>
      </c>
      <c r="AB986" s="33"/>
      <c r="AC986" s="33">
        <v>1</v>
      </c>
      <c r="AD986" s="33">
        <v>0.7</v>
      </c>
      <c r="AE986" s="33">
        <v>0.7</v>
      </c>
      <c r="AF986" s="33">
        <v>0.4</v>
      </c>
      <c r="AG986" s="33">
        <v>0.35</v>
      </c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customHeight="1" x14ac:dyDescent="0.25">
      <c r="A987" s="1" t="s">
        <v>5192</v>
      </c>
      <c r="B987" s="21" t="s">
        <v>5193</v>
      </c>
      <c r="C987" s="1">
        <v>1</v>
      </c>
      <c r="D987" s="1" t="s">
        <v>5195</v>
      </c>
      <c r="E987" s="7">
        <v>4614</v>
      </c>
      <c r="F987" s="7">
        <v>59</v>
      </c>
      <c r="G987" s="1">
        <v>149.56</v>
      </c>
      <c r="H987" s="34">
        <f>Tabela1[[#This Row],[PESO UNI]]*Tabela1[[#This Row],[QTE]]</f>
        <v>149.56</v>
      </c>
      <c r="I987" s="7">
        <v>0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5105</v>
      </c>
      <c r="O987" s="12"/>
      <c r="P987" s="13"/>
      <c r="Q987" s="14">
        <f>Tabela1[[#This Row],[QTDE/ Fabricação]]-Tabela1[[#This Row],[QTE]]</f>
        <v>-1</v>
      </c>
      <c r="R987" s="18">
        <f>IFERROR(H987*((AA987*0.25)+(AC988*0.25)+(AD988*0.225)+(AE988*0.225)+(AF988*0.05)),"")</f>
        <v>124.8826</v>
      </c>
      <c r="S987" s="18">
        <f>IFERROR(H987*AG988,"")</f>
        <v>52.345999999999997</v>
      </c>
      <c r="T987" s="19">
        <f t="shared" si="195"/>
        <v>-97.213999999999999</v>
      </c>
      <c r="U987" s="16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IFERROR(VLOOKUP(Tabela1[[#This Row],[COD.MDE]],'LISTA DE EMBARQUE'!B:M,12,0),"")</f>
        <v/>
      </c>
      <c r="X987" s="14">
        <f>IFERROR(Tabela1[[#This Row],[QIANTIDADE EXPEDIDA]]*Tabela1[[#This Row],[PESO UNI]],"")</f>
        <v>0</v>
      </c>
      <c r="Y987" s="14">
        <f t="shared" si="196"/>
        <v>-1</v>
      </c>
      <c r="Z987" s="20">
        <f>Tabela1[[#This Row],[PESO TOTAL]]-Tabela1[[#This Row],[Peso Expedido]]</f>
        <v>149.56</v>
      </c>
      <c r="AA987" s="17">
        <v>1</v>
      </c>
      <c r="AB987" s="33"/>
      <c r="AC987" s="33">
        <v>1</v>
      </c>
      <c r="AD987" s="33">
        <v>0.7</v>
      </c>
      <c r="AE987" s="33">
        <v>0.7</v>
      </c>
      <c r="AF987" s="33">
        <v>0.4</v>
      </c>
      <c r="AG987" s="33">
        <v>0.35</v>
      </c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customHeight="1" x14ac:dyDescent="0.25">
      <c r="A988" s="1" t="s">
        <v>5196</v>
      </c>
      <c r="B988" s="21" t="s">
        <v>5197</v>
      </c>
      <c r="C988" s="1">
        <v>1</v>
      </c>
      <c r="D988" s="1" t="s">
        <v>5198</v>
      </c>
      <c r="E988" s="7">
        <v>4615</v>
      </c>
      <c r="F988" s="7">
        <v>59</v>
      </c>
      <c r="G988" s="1">
        <v>151.88</v>
      </c>
      <c r="H988" s="34">
        <f>Tabela1[[#This Row],[PESO UNI]]*Tabela1[[#This Row],[QTE]]</f>
        <v>151.88</v>
      </c>
      <c r="I988" s="7">
        <v>0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5105</v>
      </c>
      <c r="O988" s="12"/>
      <c r="P988" s="13"/>
      <c r="Q988" s="14">
        <f>Tabela1[[#This Row],[QTDE/ Fabricação]]-Tabela1[[#This Row],[QTE]]</f>
        <v>-1</v>
      </c>
      <c r="R988" s="18" t="str">
        <f>IFERROR(H988*((AA988*0.25)+(#REF!*0.25)+(#REF!*0.225)+(#REF!*0.225)+(#REF!*0.05)),"")</f>
        <v/>
      </c>
      <c r="S988" s="18" t="str">
        <f>IFERROR(H988*#REF!,"")</f>
        <v/>
      </c>
      <c r="T988" s="19" t="str">
        <f t="shared" si="195"/>
        <v/>
      </c>
      <c r="U988" s="16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IFERROR(VLOOKUP(Tabela1[[#This Row],[COD.MDE]],'LISTA DE EMBARQUE'!B:M,12,0),"")</f>
        <v/>
      </c>
      <c r="X988" s="14">
        <f>IFERROR(Tabela1[[#This Row],[QIANTIDADE EXPEDIDA]]*Tabela1[[#This Row],[PESO UNI]],"")</f>
        <v>0</v>
      </c>
      <c r="Y988" s="14">
        <f t="shared" si="196"/>
        <v>-1</v>
      </c>
      <c r="Z988" s="20">
        <f>Tabela1[[#This Row],[PESO TOTAL]]-Tabela1[[#This Row],[Peso Expedido]]</f>
        <v>151.88</v>
      </c>
      <c r="AA988" s="17">
        <v>1</v>
      </c>
      <c r="AB988" s="33"/>
      <c r="AC988" s="33">
        <v>1</v>
      </c>
      <c r="AD988" s="33">
        <v>0.7</v>
      </c>
      <c r="AE988" s="33">
        <v>0.7</v>
      </c>
      <c r="AF988" s="33">
        <v>0.4</v>
      </c>
      <c r="AG988" s="33">
        <v>0.35</v>
      </c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customHeight="1" x14ac:dyDescent="0.25">
      <c r="A989" s="1" t="s">
        <v>5199</v>
      </c>
      <c r="B989" s="21" t="s">
        <v>5200</v>
      </c>
      <c r="C989" s="1">
        <v>2</v>
      </c>
      <c r="D989" s="1" t="s">
        <v>5201</v>
      </c>
      <c r="E989" s="7">
        <v>4616</v>
      </c>
      <c r="F989" s="7">
        <v>59</v>
      </c>
      <c r="G989" s="1">
        <v>190.64</v>
      </c>
      <c r="H989" s="34">
        <f>Tabela1[[#This Row],[PESO UNI]]*Tabela1[[#This Row],[QTE]]</f>
        <v>381.28</v>
      </c>
      <c r="I989" s="7">
        <v>0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5105</v>
      </c>
      <c r="O989" s="12"/>
      <c r="P989" s="13"/>
      <c r="Q989" s="14">
        <f>Tabela1[[#This Row],[QTDE/ Fabricação]]-Tabela1[[#This Row],[QTE]]</f>
        <v>-2</v>
      </c>
      <c r="R989" s="18">
        <f t="shared" si="193"/>
        <v>318.36879999999996</v>
      </c>
      <c r="S989" s="18">
        <f t="shared" si="194"/>
        <v>133.44799999999998</v>
      </c>
      <c r="T989" s="19">
        <f t="shared" si="195"/>
        <v>-247.83199999999999</v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 t="shared" si="196"/>
        <v>-2</v>
      </c>
      <c r="Z989" s="20">
        <f>Tabela1[[#This Row],[PESO TOTAL]]-Tabela1[[#This Row],[Peso Expedido]]</f>
        <v>381.28</v>
      </c>
      <c r="AA989" s="17">
        <v>1</v>
      </c>
      <c r="AB989" s="33"/>
      <c r="AC989" s="33">
        <v>1</v>
      </c>
      <c r="AD989" s="33">
        <v>0.7</v>
      </c>
      <c r="AE989" s="33">
        <v>0.7</v>
      </c>
      <c r="AF989" s="33">
        <v>0.4</v>
      </c>
      <c r="AG989" s="33">
        <v>0.35</v>
      </c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customHeight="1" x14ac:dyDescent="0.25">
      <c r="A990" s="1" t="s">
        <v>5202</v>
      </c>
      <c r="B990" s="21" t="s">
        <v>5203</v>
      </c>
      <c r="C990" s="1">
        <v>2</v>
      </c>
      <c r="D990" s="1" t="s">
        <v>5204</v>
      </c>
      <c r="E990" s="7">
        <v>4617</v>
      </c>
      <c r="F990" s="7">
        <v>59</v>
      </c>
      <c r="G990" s="1">
        <v>110.01</v>
      </c>
      <c r="H990" s="34">
        <f>Tabela1[[#This Row],[PESO UNI]]*Tabela1[[#This Row],[QTE]]</f>
        <v>220.02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5105</v>
      </c>
      <c r="O990" s="12"/>
      <c r="P990" s="13"/>
      <c r="Q990" s="14">
        <f>Tabela1[[#This Row],[QTDE/ Fabricação]]-Tabela1[[#This Row],[QTE]]</f>
        <v>-2</v>
      </c>
      <c r="R990" s="18">
        <f t="shared" si="193"/>
        <v>183.7167</v>
      </c>
      <c r="S990" s="18">
        <f t="shared" si="194"/>
        <v>77.007000000000005</v>
      </c>
      <c r="T990" s="19">
        <f t="shared" si="195"/>
        <v>-143.01300000000001</v>
      </c>
      <c r="U990" s="16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IFERROR(VLOOKUP(Tabela1[[#This Row],[COD.MDE]],'LISTA DE EMBARQUE'!B:M,12,0),"")</f>
        <v/>
      </c>
      <c r="X990" s="14">
        <f>IFERROR(Tabela1[[#This Row],[QIANTIDADE EXPEDIDA]]*Tabela1[[#This Row],[PESO UNI]],"")</f>
        <v>0</v>
      </c>
      <c r="Y990" s="14">
        <f t="shared" si="196"/>
        <v>-2</v>
      </c>
      <c r="Z990" s="20">
        <f>Tabela1[[#This Row],[PESO TOTAL]]-Tabela1[[#This Row],[Peso Expedido]]</f>
        <v>220.02</v>
      </c>
      <c r="AA990" s="17">
        <v>1</v>
      </c>
      <c r="AB990" s="33"/>
      <c r="AC990" s="33">
        <v>1</v>
      </c>
      <c r="AD990" s="33">
        <v>0.7</v>
      </c>
      <c r="AE990" s="33">
        <v>0.7</v>
      </c>
      <c r="AF990" s="33">
        <v>0.4</v>
      </c>
      <c r="AG990" s="33">
        <v>0.35</v>
      </c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customHeight="1" x14ac:dyDescent="0.25">
      <c r="A991" s="1" t="s">
        <v>5202</v>
      </c>
      <c r="B991" s="21" t="s">
        <v>5203</v>
      </c>
      <c r="C991" s="1">
        <v>1</v>
      </c>
      <c r="D991" s="1" t="s">
        <v>5205</v>
      </c>
      <c r="E991" s="7">
        <v>4618</v>
      </c>
      <c r="F991" s="7">
        <v>59</v>
      </c>
      <c r="G991" s="1">
        <v>109.4</v>
      </c>
      <c r="H991" s="34">
        <f>Tabela1[[#This Row],[PESO UNI]]*Tabela1[[#This Row],[QTE]]</f>
        <v>109.4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5105</v>
      </c>
      <c r="O991" s="12"/>
      <c r="P991" s="13"/>
      <c r="Q991" s="14">
        <f>Tabela1[[#This Row],[QTDE/ Fabricação]]-Tabela1[[#This Row],[QTE]]</f>
        <v>-1</v>
      </c>
      <c r="R991" s="18">
        <f t="shared" si="193"/>
        <v>91.349000000000004</v>
      </c>
      <c r="S991" s="18">
        <f t="shared" si="194"/>
        <v>38.29</v>
      </c>
      <c r="T991" s="19">
        <f t="shared" si="195"/>
        <v>-71.110000000000014</v>
      </c>
      <c r="U991" s="16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IFERROR(VLOOKUP(Tabela1[[#This Row],[COD.MDE]],'LISTA DE EMBARQUE'!B:M,12,0),"")</f>
        <v/>
      </c>
      <c r="X991" s="14">
        <f>IFERROR(Tabela1[[#This Row],[QIANTIDADE EXPEDIDA]]*Tabela1[[#This Row],[PESO UNI]],"")</f>
        <v>0</v>
      </c>
      <c r="Y991" s="14">
        <f t="shared" si="196"/>
        <v>-1</v>
      </c>
      <c r="Z991" s="20">
        <f>Tabela1[[#This Row],[PESO TOTAL]]-Tabela1[[#This Row],[Peso Expedido]]</f>
        <v>109.4</v>
      </c>
      <c r="AA991" s="17">
        <v>1</v>
      </c>
      <c r="AB991" s="33"/>
      <c r="AC991" s="33">
        <v>1</v>
      </c>
      <c r="AD991" s="33">
        <v>0.7</v>
      </c>
      <c r="AE991" s="33">
        <v>0.7</v>
      </c>
      <c r="AF991" s="33">
        <v>0.4</v>
      </c>
      <c r="AG991" s="33">
        <v>0.35</v>
      </c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customHeight="1" x14ac:dyDescent="0.25">
      <c r="A992" s="1" t="s">
        <v>5206</v>
      </c>
      <c r="B992" s="21" t="s">
        <v>5207</v>
      </c>
      <c r="C992" s="1">
        <v>1</v>
      </c>
      <c r="D992" s="1" t="s">
        <v>5208</v>
      </c>
      <c r="E992" s="7">
        <v>4619</v>
      </c>
      <c r="F992" s="7">
        <v>59</v>
      </c>
      <c r="G992" s="1">
        <v>186.84</v>
      </c>
      <c r="H992" s="34">
        <f>Tabela1[[#This Row],[PESO UNI]]*Tabela1[[#This Row],[QTE]]</f>
        <v>186.84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5105</v>
      </c>
      <c r="O992" s="12"/>
      <c r="P992" s="13"/>
      <c r="Q992" s="14">
        <f>Tabela1[[#This Row],[QTDE/ Fabricação]]-Tabela1[[#This Row],[QTE]]</f>
        <v>-1</v>
      </c>
      <c r="R992" s="18">
        <f t="shared" si="193"/>
        <v>156.01140000000001</v>
      </c>
      <c r="S992" s="18">
        <f t="shared" si="194"/>
        <v>65.393999999999991</v>
      </c>
      <c r="T992" s="19">
        <f t="shared" si="195"/>
        <v>-121.44600000000001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 t="shared" si="196"/>
        <v>-1</v>
      </c>
      <c r="Z992" s="20">
        <f>Tabela1[[#This Row],[PESO TOTAL]]-Tabela1[[#This Row],[Peso Expedido]]</f>
        <v>186.84</v>
      </c>
      <c r="AA992" s="17">
        <v>1</v>
      </c>
      <c r="AB992" s="33"/>
      <c r="AC992" s="33">
        <v>1</v>
      </c>
      <c r="AD992" s="33">
        <v>0.7</v>
      </c>
      <c r="AE992" s="33">
        <v>0.7</v>
      </c>
      <c r="AF992" s="33">
        <v>0.4</v>
      </c>
      <c r="AG992" s="33">
        <v>0.35</v>
      </c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customHeight="1" x14ac:dyDescent="0.25">
      <c r="A993" s="1" t="s">
        <v>5209</v>
      </c>
      <c r="B993" s="21" t="s">
        <v>5210</v>
      </c>
      <c r="C993" s="1">
        <v>1</v>
      </c>
      <c r="D993" s="1" t="s">
        <v>5211</v>
      </c>
      <c r="E993" s="7">
        <v>4620</v>
      </c>
      <c r="F993" s="7">
        <v>59</v>
      </c>
      <c r="G993" s="1">
        <v>145.27000000000001</v>
      </c>
      <c r="H993" s="34">
        <f>Tabela1[[#This Row],[PESO UNI]]*Tabela1[[#This Row],[QTE]]</f>
        <v>145.27000000000001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5105</v>
      </c>
      <c r="O993" s="12"/>
      <c r="P993" s="13"/>
      <c r="Q993" s="14">
        <f>Tabela1[[#This Row],[QTDE/ Fabricação]]-Tabela1[[#This Row],[QTE]]</f>
        <v>-1</v>
      </c>
      <c r="R993" s="18">
        <f t="shared" ref="R993:R1025" si="197">IFERROR(H993*((AA993*0.25)+(AC993*0.25)+(AD993*0.225)+(AE993*0.225)+(AF993*0.05)),"")</f>
        <v>121.30045</v>
      </c>
      <c r="S993" s="18">
        <f t="shared" ref="S993:S1025" si="198">IFERROR(H993*AG993,"")</f>
        <v>50.844500000000004</v>
      </c>
      <c r="T993" s="19">
        <f t="shared" ref="T993:T1025" si="199">IFERROR(S993-H993,"")</f>
        <v>-94.4255</v>
      </c>
      <c r="U993" s="16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IFERROR(VLOOKUP(Tabela1[[#This Row],[COD.MDE]],'LISTA DE EMBARQUE'!B:M,12,0),"")</f>
        <v/>
      </c>
      <c r="X993" s="14">
        <f>IFERROR(Tabela1[[#This Row],[QIANTIDADE EXPEDIDA]]*Tabela1[[#This Row],[PESO UNI]],"")</f>
        <v>0</v>
      </c>
      <c r="Y993" s="14">
        <f t="shared" ref="Y993:Y1025" si="200">U993-C993</f>
        <v>-1</v>
      </c>
      <c r="Z993" s="20">
        <f>Tabela1[[#This Row],[PESO TOTAL]]-Tabela1[[#This Row],[Peso Expedido]]</f>
        <v>145.27000000000001</v>
      </c>
      <c r="AA993" s="17">
        <v>1</v>
      </c>
      <c r="AB993" s="33"/>
      <c r="AC993" s="33">
        <v>1</v>
      </c>
      <c r="AD993" s="33">
        <v>0.7</v>
      </c>
      <c r="AE993" s="33">
        <v>0.7</v>
      </c>
      <c r="AF993" s="33">
        <v>0.4</v>
      </c>
      <c r="AG993" s="33">
        <v>0.35</v>
      </c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customHeight="1" x14ac:dyDescent="0.25">
      <c r="A994" s="1" t="s">
        <v>5209</v>
      </c>
      <c r="B994" s="21" t="s">
        <v>5210</v>
      </c>
      <c r="C994" s="1">
        <v>4</v>
      </c>
      <c r="D994" s="1" t="s">
        <v>5212</v>
      </c>
      <c r="E994" s="7">
        <v>4621</v>
      </c>
      <c r="F994" s="7">
        <v>59</v>
      </c>
      <c r="G994" s="1">
        <v>1.53</v>
      </c>
      <c r="H994" s="34">
        <f>Tabela1[[#This Row],[PESO UNI]]*Tabela1[[#This Row],[QTE]]</f>
        <v>6.12</v>
      </c>
      <c r="I994" s="7">
        <v>0</v>
      </c>
      <c r="J994" s="8" t="s">
        <v>3045</v>
      </c>
      <c r="K994" s="8" t="s">
        <v>4320</v>
      </c>
      <c r="L994" s="9" t="s">
        <v>2984</v>
      </c>
      <c r="M994" s="10">
        <v>46251</v>
      </c>
      <c r="N994" s="8" t="s">
        <v>5105</v>
      </c>
      <c r="O994" s="12"/>
      <c r="P994" s="13"/>
      <c r="Q994" s="14">
        <f>Tabela1[[#This Row],[QTDE/ Fabricação]]-Tabela1[[#This Row],[QTE]]</f>
        <v>-4</v>
      </c>
      <c r="R994" s="18">
        <f t="shared" si="197"/>
        <v>5.1101999999999999</v>
      </c>
      <c r="S994" s="18">
        <f t="shared" si="198"/>
        <v>2.1419999999999999</v>
      </c>
      <c r="T994" s="19">
        <f t="shared" si="199"/>
        <v>-3.9780000000000002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 t="shared" si="200"/>
        <v>-4</v>
      </c>
      <c r="Z994" s="20">
        <f>Tabela1[[#This Row],[PESO TOTAL]]-Tabela1[[#This Row],[Peso Expedido]]</f>
        <v>6.12</v>
      </c>
      <c r="AA994" s="17">
        <v>1</v>
      </c>
      <c r="AB994" s="33"/>
      <c r="AC994" s="33">
        <v>1</v>
      </c>
      <c r="AD994" s="33">
        <v>0.7</v>
      </c>
      <c r="AE994" s="33">
        <v>0.7</v>
      </c>
      <c r="AF994" s="33">
        <v>0.4</v>
      </c>
      <c r="AG994" s="33">
        <v>0.35</v>
      </c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customHeight="1" x14ac:dyDescent="0.25">
      <c r="A995" s="1" t="s">
        <v>5209</v>
      </c>
      <c r="B995" s="21" t="s">
        <v>5210</v>
      </c>
      <c r="C995" s="1">
        <v>2</v>
      </c>
      <c r="D995" s="1" t="s">
        <v>5213</v>
      </c>
      <c r="E995" s="7">
        <v>4622</v>
      </c>
      <c r="F995" s="7">
        <v>59</v>
      </c>
      <c r="G995" s="1">
        <v>1.56</v>
      </c>
      <c r="H995" s="34">
        <f>Tabela1[[#This Row],[PESO UNI]]*Tabela1[[#This Row],[QTE]]</f>
        <v>3.12</v>
      </c>
      <c r="I995" s="7">
        <v>0</v>
      </c>
      <c r="J995" s="8" t="s">
        <v>3045</v>
      </c>
      <c r="K995" s="8" t="s">
        <v>4320</v>
      </c>
      <c r="L995" s="9" t="s">
        <v>2984</v>
      </c>
      <c r="M995" s="10">
        <v>46251</v>
      </c>
      <c r="N995" s="8" t="s">
        <v>5105</v>
      </c>
      <c r="O995" s="12"/>
      <c r="P995" s="13"/>
      <c r="Q995" s="14">
        <f>Tabela1[[#This Row],[QTDE/ Fabricação]]-Tabela1[[#This Row],[QTE]]</f>
        <v>-2</v>
      </c>
      <c r="R995" s="18">
        <f t="shared" si="197"/>
        <v>2.6052</v>
      </c>
      <c r="S995" s="18">
        <f t="shared" si="198"/>
        <v>1.0919999999999999</v>
      </c>
      <c r="T995" s="19">
        <f t="shared" si="199"/>
        <v>-2.0280000000000005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 t="shared" si="200"/>
        <v>-2</v>
      </c>
      <c r="Z995" s="20">
        <f>Tabela1[[#This Row],[PESO TOTAL]]-Tabela1[[#This Row],[Peso Expedido]]</f>
        <v>3.12</v>
      </c>
      <c r="AA995" s="17">
        <v>1</v>
      </c>
      <c r="AB995" s="33"/>
      <c r="AC995" s="33">
        <v>1</v>
      </c>
      <c r="AD995" s="33">
        <v>0.7</v>
      </c>
      <c r="AE995" s="33">
        <v>0.7</v>
      </c>
      <c r="AF995" s="33">
        <v>0.4</v>
      </c>
      <c r="AG995" s="33">
        <v>0.35</v>
      </c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customHeight="1" x14ac:dyDescent="0.25">
      <c r="A996" s="1" t="s">
        <v>5214</v>
      </c>
      <c r="B996" s="21" t="s">
        <v>5215</v>
      </c>
      <c r="C996" s="1">
        <v>2</v>
      </c>
      <c r="D996" s="1" t="s">
        <v>5216</v>
      </c>
      <c r="E996" s="7">
        <v>4623</v>
      </c>
      <c r="F996" s="7">
        <v>59</v>
      </c>
      <c r="G996" s="1">
        <v>150.6</v>
      </c>
      <c r="H996" s="34">
        <f>Tabela1[[#This Row],[PESO UNI]]*Tabela1[[#This Row],[QTE]]</f>
        <v>301.2</v>
      </c>
      <c r="I996" s="7">
        <v>0</v>
      </c>
      <c r="J996" s="8" t="s">
        <v>3045</v>
      </c>
      <c r="K996" s="8" t="s">
        <v>4320</v>
      </c>
      <c r="L996" s="9" t="s">
        <v>2984</v>
      </c>
      <c r="M996" s="10">
        <v>46251</v>
      </c>
      <c r="N996" s="8" t="s">
        <v>5105</v>
      </c>
      <c r="O996" s="12"/>
      <c r="P996" s="13"/>
      <c r="Q996" s="14">
        <f>Tabela1[[#This Row],[QTDE/ Fabricação]]-Tabela1[[#This Row],[QTE]]</f>
        <v>-2</v>
      </c>
      <c r="R996" s="18" t="str">
        <f>IFERROR(H996*((AA996*0.25)+(#REF!*0.25)+(#REF!*0.225)+(#REF!*0.225)+(#REF!*0.05)),"")</f>
        <v/>
      </c>
      <c r="S996" s="18" t="str">
        <f>IFERROR(H996*#REF!,"")</f>
        <v/>
      </c>
      <c r="T996" s="19" t="str">
        <f t="shared" si="199"/>
        <v/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 t="shared" si="200"/>
        <v>-2</v>
      </c>
      <c r="Z996" s="20">
        <f>Tabela1[[#This Row],[PESO TOTAL]]-Tabela1[[#This Row],[Peso Expedido]]</f>
        <v>301.2</v>
      </c>
      <c r="AA996" s="17">
        <v>1</v>
      </c>
      <c r="AB996" s="33"/>
      <c r="AC996" s="33">
        <v>1</v>
      </c>
      <c r="AD996" s="33">
        <v>0.7</v>
      </c>
      <c r="AE996" s="33">
        <v>0.7</v>
      </c>
      <c r="AF996" s="33">
        <v>0.4</v>
      </c>
      <c r="AG996" s="33">
        <v>0.35</v>
      </c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customHeight="1" x14ac:dyDescent="0.25">
      <c r="A997" s="1" t="s">
        <v>5214</v>
      </c>
      <c r="B997" s="21" t="s">
        <v>5215</v>
      </c>
      <c r="C997" s="1">
        <v>3</v>
      </c>
      <c r="D997" s="1" t="s">
        <v>5217</v>
      </c>
      <c r="E997" s="7">
        <v>4624</v>
      </c>
      <c r="F997" s="7">
        <v>59</v>
      </c>
      <c r="G997" s="1">
        <v>50.54</v>
      </c>
      <c r="H997" s="34">
        <f>Tabela1[[#This Row],[PESO UNI]]*Tabela1[[#This Row],[QTE]]</f>
        <v>151.62</v>
      </c>
      <c r="I997" s="7">
        <v>0</v>
      </c>
      <c r="J997" s="8" t="s">
        <v>3045</v>
      </c>
      <c r="K997" s="8" t="s">
        <v>4320</v>
      </c>
      <c r="L997" s="9" t="s">
        <v>2984</v>
      </c>
      <c r="M997" s="10">
        <v>46251</v>
      </c>
      <c r="N997" s="8" t="s">
        <v>5105</v>
      </c>
      <c r="O997" s="12"/>
      <c r="P997" s="13"/>
      <c r="Q997" s="14">
        <f>Tabela1[[#This Row],[QTDE/ Fabricação]]-Tabela1[[#This Row],[QTE]]</f>
        <v>-3</v>
      </c>
      <c r="R997" s="18">
        <f>IFERROR(H997*((AA997*0.25)+(AC996*0.25)+(AD996*0.225)+(AE996*0.225)+(AF996*0.05)),"")</f>
        <v>126.6027</v>
      </c>
      <c r="S997" s="18">
        <f>IFERROR(H997*AG996,"")</f>
        <v>53.067</v>
      </c>
      <c r="T997" s="19">
        <f t="shared" si="199"/>
        <v>-98.552999999999997</v>
      </c>
      <c r="U997" s="16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IFERROR(VLOOKUP(Tabela1[[#This Row],[COD.MDE]],'LISTA DE EMBARQUE'!B:M,12,0),"")</f>
        <v/>
      </c>
      <c r="X997" s="14">
        <f>IFERROR(Tabela1[[#This Row],[QIANTIDADE EXPEDIDA]]*Tabela1[[#This Row],[PESO UNI]],"")</f>
        <v>0</v>
      </c>
      <c r="Y997" s="14">
        <f t="shared" si="200"/>
        <v>-3</v>
      </c>
      <c r="Z997" s="20">
        <f>Tabela1[[#This Row],[PESO TOTAL]]-Tabela1[[#This Row],[Peso Expedido]]</f>
        <v>151.62</v>
      </c>
      <c r="AA997" s="17">
        <v>1</v>
      </c>
      <c r="AB997" s="33"/>
      <c r="AC997" s="33">
        <v>1</v>
      </c>
      <c r="AD997" s="33">
        <v>0.7</v>
      </c>
      <c r="AE997" s="33">
        <v>0.7</v>
      </c>
      <c r="AF997" s="33">
        <v>0.4</v>
      </c>
      <c r="AG997" s="33">
        <v>0.35</v>
      </c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customHeight="1" x14ac:dyDescent="0.25">
      <c r="A998" s="1" t="s">
        <v>5214</v>
      </c>
      <c r="B998" s="21" t="s">
        <v>5215</v>
      </c>
      <c r="C998" s="1">
        <v>1</v>
      </c>
      <c r="D998" s="1" t="s">
        <v>5218</v>
      </c>
      <c r="E998" s="7">
        <v>4625</v>
      </c>
      <c r="F998" s="7">
        <v>59</v>
      </c>
      <c r="G998" s="1">
        <v>116.11</v>
      </c>
      <c r="H998" s="34">
        <f>Tabela1[[#This Row],[PESO UNI]]*Tabela1[[#This Row],[QTE]]</f>
        <v>116.11</v>
      </c>
      <c r="I998" s="7">
        <v>0</v>
      </c>
      <c r="J998" s="8" t="s">
        <v>3045</v>
      </c>
      <c r="K998" s="8" t="s">
        <v>4320</v>
      </c>
      <c r="L998" s="9" t="s">
        <v>2984</v>
      </c>
      <c r="M998" s="10">
        <v>46251</v>
      </c>
      <c r="N998" s="8" t="s">
        <v>5105</v>
      </c>
      <c r="O998" s="12"/>
      <c r="P998" s="13"/>
      <c r="Q998" s="14">
        <f>Tabela1[[#This Row],[QTDE/ Fabricação]]-Tabela1[[#This Row],[QTE]]</f>
        <v>-1</v>
      </c>
      <c r="R998" s="18">
        <f t="shared" si="197"/>
        <v>96.951849999999993</v>
      </c>
      <c r="S998" s="18">
        <f t="shared" si="198"/>
        <v>40.638500000000001</v>
      </c>
      <c r="T998" s="19">
        <f t="shared" si="199"/>
        <v>-75.471499999999992</v>
      </c>
      <c r="U998" s="16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IFERROR(VLOOKUP(Tabela1[[#This Row],[COD.MDE]],'LISTA DE EMBARQUE'!B:M,12,0),"")</f>
        <v/>
      </c>
      <c r="X998" s="14">
        <f>IFERROR(Tabela1[[#This Row],[QIANTIDADE EXPEDIDA]]*Tabela1[[#This Row],[PESO UNI]],"")</f>
        <v>0</v>
      </c>
      <c r="Y998" s="14">
        <f t="shared" si="200"/>
        <v>-1</v>
      </c>
      <c r="Z998" s="20">
        <f>Tabela1[[#This Row],[PESO TOTAL]]-Tabela1[[#This Row],[Peso Expedido]]</f>
        <v>116.11</v>
      </c>
      <c r="AA998" s="17">
        <v>1</v>
      </c>
      <c r="AB998" s="33"/>
      <c r="AC998" s="33">
        <v>1</v>
      </c>
      <c r="AD998" s="33">
        <v>0.7</v>
      </c>
      <c r="AE998" s="33">
        <v>0.7</v>
      </c>
      <c r="AF998" s="33">
        <v>0.4</v>
      </c>
      <c r="AG998" s="33">
        <v>0.35</v>
      </c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customHeight="1" x14ac:dyDescent="0.25">
      <c r="A999" s="1" t="s">
        <v>5214</v>
      </c>
      <c r="B999" s="21" t="s">
        <v>5215</v>
      </c>
      <c r="C999" s="1">
        <v>1</v>
      </c>
      <c r="D999" s="1" t="s">
        <v>5219</v>
      </c>
      <c r="E999" s="7">
        <v>4626</v>
      </c>
      <c r="F999" s="7">
        <v>59</v>
      </c>
      <c r="G999" s="1">
        <v>112.71</v>
      </c>
      <c r="H999" s="34">
        <f>Tabela1[[#This Row],[PESO UNI]]*Tabela1[[#This Row],[QTE]]</f>
        <v>112.71</v>
      </c>
      <c r="I999" s="7">
        <v>0</v>
      </c>
      <c r="J999" s="8" t="s">
        <v>3045</v>
      </c>
      <c r="K999" s="8" t="s">
        <v>4320</v>
      </c>
      <c r="L999" s="9" t="s">
        <v>2984</v>
      </c>
      <c r="M999" s="10">
        <v>46251</v>
      </c>
      <c r="N999" s="8" t="s">
        <v>5105</v>
      </c>
      <c r="O999" s="12"/>
      <c r="P999" s="13"/>
      <c r="Q999" s="14">
        <f>Tabela1[[#This Row],[QTDE/ Fabricação]]-Tabela1[[#This Row],[QTE]]</f>
        <v>-1</v>
      </c>
      <c r="R999" s="18">
        <f t="shared" si="197"/>
        <v>94.112849999999995</v>
      </c>
      <c r="S999" s="18">
        <f t="shared" si="198"/>
        <v>39.448499999999996</v>
      </c>
      <c r="T999" s="19">
        <f t="shared" si="199"/>
        <v>-73.261499999999998</v>
      </c>
      <c r="U999" s="16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IFERROR(VLOOKUP(Tabela1[[#This Row],[COD.MDE]],'LISTA DE EMBARQUE'!B:M,12,0),"")</f>
        <v/>
      </c>
      <c r="X999" s="14">
        <f>IFERROR(Tabela1[[#This Row],[QIANTIDADE EXPEDIDA]]*Tabela1[[#This Row],[PESO UNI]],"")</f>
        <v>0</v>
      </c>
      <c r="Y999" s="14">
        <f t="shared" si="200"/>
        <v>-1</v>
      </c>
      <c r="Z999" s="20">
        <f>Tabela1[[#This Row],[PESO TOTAL]]-Tabela1[[#This Row],[Peso Expedido]]</f>
        <v>112.71</v>
      </c>
      <c r="AA999" s="17">
        <v>1</v>
      </c>
      <c r="AB999" s="33"/>
      <c r="AC999" s="33">
        <v>1</v>
      </c>
      <c r="AD999" s="33">
        <v>0.7</v>
      </c>
      <c r="AE999" s="33">
        <v>0.7</v>
      </c>
      <c r="AF999" s="33">
        <v>0.4</v>
      </c>
      <c r="AG999" s="33">
        <v>0.35</v>
      </c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customHeight="1" x14ac:dyDescent="0.25">
      <c r="A1000" s="1" t="s">
        <v>5220</v>
      </c>
      <c r="B1000" s="21" t="s">
        <v>5221</v>
      </c>
      <c r="C1000" s="1">
        <v>1</v>
      </c>
      <c r="D1000" s="1" t="s">
        <v>5222</v>
      </c>
      <c r="E1000" s="7">
        <v>4627</v>
      </c>
      <c r="F1000" s="7">
        <v>61</v>
      </c>
      <c r="G1000" s="1">
        <v>372</v>
      </c>
      <c r="H1000" s="34">
        <f>Tabela1[[#This Row],[PESO UNI]]*Tabela1[[#This Row],[QTE]]</f>
        <v>372</v>
      </c>
      <c r="I1000" s="7" t="s">
        <v>5280</v>
      </c>
      <c r="J1000" s="8" t="s">
        <v>3045</v>
      </c>
      <c r="K1000" s="8" t="s">
        <v>4320</v>
      </c>
      <c r="L1000" s="9" t="s">
        <v>2984</v>
      </c>
      <c r="M1000" s="10">
        <v>46251</v>
      </c>
      <c r="N1000" s="8" t="s">
        <v>5105</v>
      </c>
      <c r="O1000" s="12"/>
      <c r="P1000" s="13"/>
      <c r="Q1000" s="14">
        <f>Tabela1[[#This Row],[QTDE/ Fabricação]]-Tabela1[[#This Row],[QTE]]</f>
        <v>-1</v>
      </c>
      <c r="R1000" s="18">
        <f t="shared" si="197"/>
        <v>372</v>
      </c>
      <c r="S1000" s="18">
        <f t="shared" si="198"/>
        <v>372</v>
      </c>
      <c r="T1000" s="19">
        <f t="shared" si="199"/>
        <v>0</v>
      </c>
      <c r="U1000" s="16">
        <f>IFERROR(SUMIF('LISTA DE EMBARQUE'!B:B,MICRO!E:E,'LISTA DE EMBARQUE'!G:G),"")</f>
        <v>1</v>
      </c>
      <c r="V1000" s="12">
        <f>IFERROR(VLOOKUP(Tabela1[[#This Row],[COD.MDE]],'LISTA DE EMBARQUE'!B:L,11,0),"")</f>
        <v>8</v>
      </c>
      <c r="W1000" s="13">
        <f>IFERROR(VLOOKUP(Tabela1[[#This Row],[COD.MDE]],'LISTA DE EMBARQUE'!B:M,12,0),"")</f>
        <v>46280</v>
      </c>
      <c r="X1000" s="14">
        <f>IFERROR(Tabela1[[#This Row],[QIANTIDADE EXPEDIDA]]*Tabela1[[#This Row],[PESO UNI]],"")</f>
        <v>372</v>
      </c>
      <c r="Y1000" s="14">
        <f t="shared" si="200"/>
        <v>0</v>
      </c>
      <c r="Z1000" s="20">
        <f>Tabela1[[#This Row],[PESO TOTAL]]-Tabela1[[#This Row],[Peso Expedido]]</f>
        <v>0</v>
      </c>
      <c r="AA1000" s="17">
        <v>1</v>
      </c>
      <c r="AB1000" s="33"/>
      <c r="AC1000" s="33">
        <v>1</v>
      </c>
      <c r="AD1000" s="33">
        <v>1</v>
      </c>
      <c r="AE1000" s="33">
        <v>1</v>
      </c>
      <c r="AF1000" s="33">
        <v>1</v>
      </c>
      <c r="AG1000" s="33">
        <v>1</v>
      </c>
      <c r="AH1000" s="33"/>
      <c r="AI1000" s="33"/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customHeight="1" x14ac:dyDescent="0.25">
      <c r="A1001" s="1" t="s">
        <v>5220</v>
      </c>
      <c r="B1001" s="21" t="s">
        <v>5221</v>
      </c>
      <c r="C1001" s="1">
        <v>4</v>
      </c>
      <c r="D1001" s="1" t="s">
        <v>5223</v>
      </c>
      <c r="E1001" s="7">
        <v>4628</v>
      </c>
      <c r="F1001" s="7">
        <v>61</v>
      </c>
      <c r="G1001" s="1">
        <v>6.5</v>
      </c>
      <c r="H1001" s="34">
        <f>Tabela1[[#This Row],[PESO UNI]]*Tabela1[[#This Row],[QTE]]</f>
        <v>26</v>
      </c>
      <c r="I1001" s="7" t="s">
        <v>5280</v>
      </c>
      <c r="J1001" s="8" t="s">
        <v>3045</v>
      </c>
      <c r="K1001" s="8" t="s">
        <v>4320</v>
      </c>
      <c r="L1001" s="9" t="s">
        <v>2984</v>
      </c>
      <c r="M1001" s="10">
        <v>46251</v>
      </c>
      <c r="N1001" s="8" t="s">
        <v>5105</v>
      </c>
      <c r="O1001" s="12"/>
      <c r="P1001" s="13"/>
      <c r="Q1001" s="14">
        <f>Tabela1[[#This Row],[QTDE/ Fabricação]]-Tabela1[[#This Row],[QTE]]</f>
        <v>-4</v>
      </c>
      <c r="R1001" s="18">
        <f t="shared" si="197"/>
        <v>21.71</v>
      </c>
      <c r="S1001" s="18">
        <f t="shared" si="198"/>
        <v>9.1</v>
      </c>
      <c r="T1001" s="19">
        <f t="shared" si="199"/>
        <v>-16.899999999999999</v>
      </c>
      <c r="U1001" s="16">
        <f>IFERROR(SUMIF('LISTA DE EMBARQUE'!B:B,MICRO!E:E,'LISTA DE EMBARQUE'!G:G),"")</f>
        <v>0</v>
      </c>
      <c r="V1001" s="12" t="str">
        <f>IFERROR(VLOOKUP(Tabela1[[#This Row],[COD.MDE]],'LISTA DE EMBARQUE'!B:L,11,0),"")</f>
        <v/>
      </c>
      <c r="W1001" s="13" t="str">
        <f>IFERROR(VLOOKUP(Tabela1[[#This Row],[COD.MDE]],'LISTA DE EMBARQUE'!B:M,12,0),"")</f>
        <v/>
      </c>
      <c r="X1001" s="14">
        <f>IFERROR(Tabela1[[#This Row],[QIANTIDADE EXPEDIDA]]*Tabela1[[#This Row],[PESO UNI]],"")</f>
        <v>0</v>
      </c>
      <c r="Y1001" s="14">
        <f t="shared" si="200"/>
        <v>-4</v>
      </c>
      <c r="Z1001" s="20">
        <f>Tabela1[[#This Row],[PESO TOTAL]]-Tabela1[[#This Row],[Peso Expedido]]</f>
        <v>26</v>
      </c>
      <c r="AA1001" s="17">
        <v>1</v>
      </c>
      <c r="AB1001" s="33"/>
      <c r="AC1001" s="33">
        <v>1</v>
      </c>
      <c r="AD1001" s="33">
        <v>0.7</v>
      </c>
      <c r="AE1001" s="33">
        <v>0.7</v>
      </c>
      <c r="AF1001" s="33">
        <v>0.4</v>
      </c>
      <c r="AG1001" s="33">
        <v>0.35</v>
      </c>
      <c r="AH1001" s="33"/>
      <c r="AI1001" s="33"/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customHeight="1" x14ac:dyDescent="0.25">
      <c r="A1002" s="1" t="s">
        <v>5220</v>
      </c>
      <c r="B1002" s="21" t="s">
        <v>5221</v>
      </c>
      <c r="C1002" s="1">
        <v>8</v>
      </c>
      <c r="D1002" s="1" t="s">
        <v>5224</v>
      </c>
      <c r="E1002" s="7">
        <v>4629</v>
      </c>
      <c r="F1002" s="7">
        <v>61</v>
      </c>
      <c r="G1002" s="1">
        <v>2.1</v>
      </c>
      <c r="H1002" s="34">
        <f>Tabela1[[#This Row],[PESO UNI]]*Tabela1[[#This Row],[QTE]]</f>
        <v>16.8</v>
      </c>
      <c r="I1002" s="7" t="s">
        <v>5280</v>
      </c>
      <c r="J1002" s="8" t="s">
        <v>3045</v>
      </c>
      <c r="K1002" s="8" t="s">
        <v>4320</v>
      </c>
      <c r="L1002" s="9" t="s">
        <v>2984</v>
      </c>
      <c r="M1002" s="10">
        <v>46251</v>
      </c>
      <c r="N1002" s="8" t="s">
        <v>5105</v>
      </c>
      <c r="O1002" s="12"/>
      <c r="P1002" s="13"/>
      <c r="Q1002" s="14">
        <f>Tabela1[[#This Row],[QTDE/ Fabricação]]-Tabela1[[#This Row],[QTE]]</f>
        <v>-8</v>
      </c>
      <c r="R1002" s="18">
        <f t="shared" si="197"/>
        <v>16.8</v>
      </c>
      <c r="S1002" s="18">
        <f t="shared" si="198"/>
        <v>16.8</v>
      </c>
      <c r="T1002" s="19">
        <f t="shared" si="199"/>
        <v>0</v>
      </c>
      <c r="U1002" s="16">
        <f>IFERROR(SUMIF('LISTA DE EMBARQUE'!B:B,MICRO!E:E,'LISTA DE EMBARQUE'!G:G),"")</f>
        <v>8</v>
      </c>
      <c r="V1002" s="12">
        <f>IFERROR(VLOOKUP(Tabela1[[#This Row],[COD.MDE]],'LISTA DE EMBARQUE'!B:L,11,0),"")</f>
        <v>8</v>
      </c>
      <c r="W1002" s="13">
        <f>IFERROR(VLOOKUP(Tabela1[[#This Row],[COD.MDE]],'LISTA DE EMBARQUE'!B:M,12,0),"")</f>
        <v>46280</v>
      </c>
      <c r="X1002" s="14">
        <f>IFERROR(Tabela1[[#This Row],[QIANTIDADE EXPEDIDA]]*Tabela1[[#This Row],[PESO UNI]],"")</f>
        <v>16.8</v>
      </c>
      <c r="Y1002" s="14">
        <f t="shared" si="200"/>
        <v>0</v>
      </c>
      <c r="Z1002" s="20">
        <f>Tabela1[[#This Row],[PESO TOTAL]]-Tabela1[[#This Row],[Peso Expedido]]</f>
        <v>0</v>
      </c>
      <c r="AA1002" s="17">
        <v>1</v>
      </c>
      <c r="AB1002" s="33"/>
      <c r="AC1002" s="33">
        <v>1</v>
      </c>
      <c r="AD1002" s="33">
        <v>1</v>
      </c>
      <c r="AE1002" s="33">
        <v>1</v>
      </c>
      <c r="AF1002" s="33">
        <v>1</v>
      </c>
      <c r="AG1002" s="33">
        <v>1</v>
      </c>
      <c r="AH1002" s="33"/>
      <c r="AI1002" s="33"/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customHeight="1" x14ac:dyDescent="0.25">
      <c r="A1003" s="1" t="s">
        <v>5220</v>
      </c>
      <c r="B1003" s="21" t="s">
        <v>5221</v>
      </c>
      <c r="C1003" s="1">
        <v>2</v>
      </c>
      <c r="D1003" s="1" t="s">
        <v>5225</v>
      </c>
      <c r="E1003" s="7">
        <v>4630</v>
      </c>
      <c r="F1003" s="7">
        <v>61</v>
      </c>
      <c r="G1003" s="1">
        <v>1.6</v>
      </c>
      <c r="H1003" s="34">
        <f>Tabela1[[#This Row],[PESO UNI]]*Tabela1[[#This Row],[QTE]]</f>
        <v>3.2</v>
      </c>
      <c r="I1003" s="7" t="s">
        <v>5280</v>
      </c>
      <c r="J1003" s="8" t="s">
        <v>3045</v>
      </c>
      <c r="K1003" s="8" t="s">
        <v>4320</v>
      </c>
      <c r="L1003" s="9" t="s">
        <v>2984</v>
      </c>
      <c r="M1003" s="10">
        <v>46251</v>
      </c>
      <c r="N1003" s="8" t="s">
        <v>5105</v>
      </c>
      <c r="O1003" s="12"/>
      <c r="P1003" s="13"/>
      <c r="Q1003" s="14">
        <f>Tabela1[[#This Row],[QTDE/ Fabricação]]-Tabela1[[#This Row],[QTE]]</f>
        <v>-2</v>
      </c>
      <c r="R1003" s="18">
        <f t="shared" si="197"/>
        <v>3.2</v>
      </c>
      <c r="S1003" s="18">
        <f t="shared" si="198"/>
        <v>3.2</v>
      </c>
      <c r="T1003" s="19">
        <f t="shared" si="199"/>
        <v>0</v>
      </c>
      <c r="U1003" s="16">
        <f>IFERROR(SUMIF('LISTA DE EMBARQUE'!B:B,MICRO!E:E,'LISTA DE EMBARQUE'!G:G),"")</f>
        <v>2</v>
      </c>
      <c r="V1003" s="12">
        <f>IFERROR(VLOOKUP(Tabela1[[#This Row],[COD.MDE]],'LISTA DE EMBARQUE'!B:L,11,0),"")</f>
        <v>8</v>
      </c>
      <c r="W1003" s="13">
        <f>IFERROR(VLOOKUP(Tabela1[[#This Row],[COD.MDE]],'LISTA DE EMBARQUE'!B:M,12,0),"")</f>
        <v>46280</v>
      </c>
      <c r="X1003" s="14">
        <f>IFERROR(Tabela1[[#This Row],[QIANTIDADE EXPEDIDA]]*Tabela1[[#This Row],[PESO UNI]],"")</f>
        <v>3.2</v>
      </c>
      <c r="Y1003" s="14">
        <f t="shared" si="200"/>
        <v>0</v>
      </c>
      <c r="Z1003" s="20">
        <f>Tabela1[[#This Row],[PESO TOTAL]]-Tabela1[[#This Row],[Peso Expedido]]</f>
        <v>0</v>
      </c>
      <c r="AA1003" s="17">
        <v>1</v>
      </c>
      <c r="AB1003" s="33"/>
      <c r="AC1003" s="33">
        <v>1</v>
      </c>
      <c r="AD1003" s="33">
        <v>1</v>
      </c>
      <c r="AE1003" s="33">
        <v>1</v>
      </c>
      <c r="AF1003" s="33">
        <v>1</v>
      </c>
      <c r="AG1003" s="33">
        <v>1</v>
      </c>
      <c r="AH1003" s="33"/>
      <c r="AI1003" s="33"/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customHeight="1" x14ac:dyDescent="0.25">
      <c r="A1004" s="1" t="s">
        <v>5220</v>
      </c>
      <c r="B1004" s="21" t="s">
        <v>5221</v>
      </c>
      <c r="C1004" s="1">
        <v>4</v>
      </c>
      <c r="D1004" s="1" t="s">
        <v>5226</v>
      </c>
      <c r="E1004" s="7">
        <v>4631</v>
      </c>
      <c r="F1004" s="7">
        <v>61</v>
      </c>
      <c r="G1004" s="1">
        <v>0.3</v>
      </c>
      <c r="H1004" s="34">
        <f>Tabela1[[#This Row],[PESO UNI]]*Tabela1[[#This Row],[QTE]]</f>
        <v>1.2</v>
      </c>
      <c r="I1004" s="7" t="s">
        <v>5280</v>
      </c>
      <c r="J1004" s="8" t="s">
        <v>3045</v>
      </c>
      <c r="K1004" s="8" t="s">
        <v>4320</v>
      </c>
      <c r="L1004" s="9" t="s">
        <v>2984</v>
      </c>
      <c r="M1004" s="10">
        <v>46251</v>
      </c>
      <c r="N1004" s="8" t="s">
        <v>5105</v>
      </c>
      <c r="O1004" s="12"/>
      <c r="P1004" s="13"/>
      <c r="Q1004" s="14">
        <f>Tabela1[[#This Row],[QTDE/ Fabricação]]-Tabela1[[#This Row],[QTE]]</f>
        <v>-4</v>
      </c>
      <c r="R1004" s="18">
        <f t="shared" si="197"/>
        <v>1.2</v>
      </c>
      <c r="S1004" s="18">
        <f t="shared" si="198"/>
        <v>1.2</v>
      </c>
      <c r="T1004" s="19">
        <f t="shared" si="199"/>
        <v>0</v>
      </c>
      <c r="U1004" s="16">
        <f>IFERROR(SUMIF('LISTA DE EMBARQUE'!B:B,MICRO!E:E,'LISTA DE EMBARQUE'!G:G),"")</f>
        <v>4</v>
      </c>
      <c r="V1004" s="12">
        <f>IFERROR(VLOOKUP(Tabela1[[#This Row],[COD.MDE]],'LISTA DE EMBARQUE'!B:L,11,0),"")</f>
        <v>8</v>
      </c>
      <c r="W1004" s="13">
        <f>IFERROR(VLOOKUP(Tabela1[[#This Row],[COD.MDE]],'LISTA DE EMBARQUE'!B:M,12,0),"")</f>
        <v>46280</v>
      </c>
      <c r="X1004" s="14">
        <f>IFERROR(Tabela1[[#This Row],[QIANTIDADE EXPEDIDA]]*Tabela1[[#This Row],[PESO UNI]],"")</f>
        <v>1.2</v>
      </c>
      <c r="Y1004" s="14">
        <f t="shared" si="200"/>
        <v>0</v>
      </c>
      <c r="Z1004" s="20">
        <f>Tabela1[[#This Row],[PESO TOTAL]]-Tabela1[[#This Row],[Peso Expedido]]</f>
        <v>0</v>
      </c>
      <c r="AA1004" s="17">
        <v>1</v>
      </c>
      <c r="AB1004" s="33"/>
      <c r="AC1004" s="33">
        <v>1</v>
      </c>
      <c r="AD1004" s="33">
        <v>1</v>
      </c>
      <c r="AE1004" s="33">
        <v>1</v>
      </c>
      <c r="AF1004" s="33">
        <v>1</v>
      </c>
      <c r="AG1004" s="33">
        <v>1</v>
      </c>
      <c r="AH1004" s="33"/>
      <c r="AI1004" s="33"/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  <row r="1005" spans="1:49" ht="15.75" customHeight="1" x14ac:dyDescent="0.25">
      <c r="A1005" s="1" t="s">
        <v>5220</v>
      </c>
      <c r="B1005" s="21" t="s">
        <v>5221</v>
      </c>
      <c r="C1005" s="1">
        <v>2</v>
      </c>
      <c r="D1005" s="1" t="s">
        <v>5227</v>
      </c>
      <c r="E1005" s="7">
        <v>4632</v>
      </c>
      <c r="F1005" s="7">
        <v>61</v>
      </c>
      <c r="G1005" s="1">
        <v>14.4</v>
      </c>
      <c r="H1005" s="34">
        <f>Tabela1[[#This Row],[PESO UNI]]*Tabela1[[#This Row],[QTE]]</f>
        <v>28.8</v>
      </c>
      <c r="I1005" s="7" t="s">
        <v>5280</v>
      </c>
      <c r="J1005" s="8" t="s">
        <v>3045</v>
      </c>
      <c r="K1005" s="8" t="s">
        <v>4320</v>
      </c>
      <c r="L1005" s="9" t="s">
        <v>2984</v>
      </c>
      <c r="M1005" s="10">
        <v>46251</v>
      </c>
      <c r="N1005" s="8" t="s">
        <v>5105</v>
      </c>
      <c r="O1005" s="12"/>
      <c r="P1005" s="13"/>
      <c r="Q1005" s="14">
        <f>Tabela1[[#This Row],[QTDE/ Fabricação]]-Tabela1[[#This Row],[QTE]]</f>
        <v>-2</v>
      </c>
      <c r="R1005" s="18">
        <f t="shared" si="197"/>
        <v>28.8</v>
      </c>
      <c r="S1005" s="18">
        <f t="shared" si="198"/>
        <v>28.8</v>
      </c>
      <c r="T1005" s="19">
        <f t="shared" si="199"/>
        <v>0</v>
      </c>
      <c r="U1005" s="16">
        <f>IFERROR(SUMIF('LISTA DE EMBARQUE'!B:B,MICRO!E:E,'LISTA DE EMBARQUE'!G:G),"")</f>
        <v>2</v>
      </c>
      <c r="V1005" s="12">
        <f>IFERROR(VLOOKUP(Tabela1[[#This Row],[COD.MDE]],'LISTA DE EMBARQUE'!B:L,11,0),"")</f>
        <v>8</v>
      </c>
      <c r="W1005" s="13">
        <f>IFERROR(VLOOKUP(Tabela1[[#This Row],[COD.MDE]],'LISTA DE EMBARQUE'!B:M,12,0),"")</f>
        <v>46280</v>
      </c>
      <c r="X1005" s="14">
        <f>IFERROR(Tabela1[[#This Row],[QIANTIDADE EXPEDIDA]]*Tabela1[[#This Row],[PESO UNI]],"")</f>
        <v>28.8</v>
      </c>
      <c r="Y1005" s="14">
        <f t="shared" si="200"/>
        <v>0</v>
      </c>
      <c r="Z1005" s="20">
        <f>Tabela1[[#This Row],[PESO TOTAL]]-Tabela1[[#This Row],[Peso Expedido]]</f>
        <v>0</v>
      </c>
      <c r="AA1005" s="17">
        <v>1</v>
      </c>
      <c r="AB1005" s="33"/>
      <c r="AC1005" s="33">
        <v>1</v>
      </c>
      <c r="AD1005" s="33">
        <v>1</v>
      </c>
      <c r="AE1005" s="33">
        <v>1</v>
      </c>
      <c r="AF1005" s="33">
        <v>1</v>
      </c>
      <c r="AG1005" s="33">
        <v>1</v>
      </c>
      <c r="AH1005" s="33"/>
      <c r="AI1005" s="33"/>
      <c r="AJ1005"/>
      <c r="AK1005"/>
      <c r="AL1005"/>
      <c r="AM1005"/>
      <c r="AN1005"/>
      <c r="AO1005"/>
      <c r="AP1005"/>
      <c r="AQ1005" s="22"/>
      <c r="AR1005" s="24"/>
      <c r="AS1005" s="37"/>
      <c r="AT1005" s="37"/>
      <c r="AU1005" s="37"/>
      <c r="AV1005" s="37"/>
      <c r="AW1005" s="37"/>
    </row>
    <row r="1006" spans="1:49" ht="15.75" customHeight="1" x14ac:dyDescent="0.25">
      <c r="A1006" s="1" t="s">
        <v>5415</v>
      </c>
      <c r="B1006" s="21" t="s">
        <v>5229</v>
      </c>
      <c r="C1006" s="1">
        <v>1</v>
      </c>
      <c r="D1006" s="1" t="s">
        <v>5230</v>
      </c>
      <c r="E1006" s="7">
        <v>4633</v>
      </c>
      <c r="F1006" s="7">
        <v>61</v>
      </c>
      <c r="G1006" s="1">
        <v>408.6</v>
      </c>
      <c r="H1006" s="34">
        <f>Tabela1[[#This Row],[PESO UNI]]*Tabela1[[#This Row],[QTE]]</f>
        <v>408.6</v>
      </c>
      <c r="I1006" s="7" t="s">
        <v>5280</v>
      </c>
      <c r="J1006" s="8" t="s">
        <v>3045</v>
      </c>
      <c r="K1006" s="8" t="s">
        <v>4320</v>
      </c>
      <c r="L1006" s="9" t="s">
        <v>2984</v>
      </c>
      <c r="M1006" s="10">
        <v>46251</v>
      </c>
      <c r="N1006" s="8" t="s">
        <v>5105</v>
      </c>
      <c r="O1006" s="12"/>
      <c r="P1006" s="13"/>
      <c r="Q1006" s="14">
        <f>Tabela1[[#This Row],[QTDE/ Fabricação]]-Tabela1[[#This Row],[QTE]]</f>
        <v>-1</v>
      </c>
      <c r="R1006" s="18">
        <f t="shared" si="197"/>
        <v>408.6</v>
      </c>
      <c r="S1006" s="18">
        <f t="shared" si="198"/>
        <v>408.6</v>
      </c>
      <c r="T1006" s="19">
        <f t="shared" si="199"/>
        <v>0</v>
      </c>
      <c r="U1006" s="16">
        <f>IFERROR(SUMIF('LISTA DE EMBARQUE'!B:B,MICRO!E:E,'LISTA DE EMBARQUE'!G:G),"")</f>
        <v>1</v>
      </c>
      <c r="V1006" s="12">
        <f>IFERROR(VLOOKUP(Tabela1[[#This Row],[COD.MDE]],'LISTA DE EMBARQUE'!B:L,11,0),"")</f>
        <v>8</v>
      </c>
      <c r="W1006" s="13">
        <f>IFERROR(VLOOKUP(Tabela1[[#This Row],[COD.MDE]],'LISTA DE EMBARQUE'!B:M,12,0),"")</f>
        <v>46280</v>
      </c>
      <c r="X1006" s="14">
        <f>IFERROR(Tabela1[[#This Row],[QIANTIDADE EXPEDIDA]]*Tabela1[[#This Row],[PESO UNI]],"")</f>
        <v>408.6</v>
      </c>
      <c r="Y1006" s="14">
        <f t="shared" si="200"/>
        <v>0</v>
      </c>
      <c r="Z1006" s="20">
        <f>Tabela1[[#This Row],[PESO TOTAL]]-Tabela1[[#This Row],[Peso Expedido]]</f>
        <v>0</v>
      </c>
      <c r="AA1006" s="17">
        <v>1</v>
      </c>
      <c r="AB1006" s="33"/>
      <c r="AC1006" s="33">
        <v>1</v>
      </c>
      <c r="AD1006" s="33">
        <v>1</v>
      </c>
      <c r="AE1006" s="33">
        <v>1</v>
      </c>
      <c r="AF1006" s="33">
        <v>1</v>
      </c>
      <c r="AG1006" s="33">
        <v>1</v>
      </c>
      <c r="AH1006" s="33"/>
      <c r="AI1006" s="33"/>
      <c r="AJ1006"/>
      <c r="AK1006"/>
      <c r="AL1006"/>
      <c r="AM1006"/>
      <c r="AN1006"/>
      <c r="AO1006"/>
      <c r="AP1006"/>
      <c r="AQ1006" s="22"/>
      <c r="AR1006" s="24"/>
      <c r="AS1006" s="37"/>
      <c r="AT1006" s="37"/>
      <c r="AU1006" s="37"/>
      <c r="AV1006" s="37"/>
      <c r="AW1006" s="37"/>
    </row>
    <row r="1007" spans="1:49" ht="15.75" customHeight="1" x14ac:dyDescent="0.25">
      <c r="A1007" s="1" t="s">
        <v>5282</v>
      </c>
      <c r="B1007" s="21" t="s">
        <v>5231</v>
      </c>
      <c r="C1007" s="1">
        <v>2</v>
      </c>
      <c r="D1007" s="1" t="s">
        <v>5232</v>
      </c>
      <c r="E1007" s="7">
        <v>4634</v>
      </c>
      <c r="F1007" s="7">
        <v>61</v>
      </c>
      <c r="G1007" s="1">
        <v>31.3</v>
      </c>
      <c r="H1007" s="34">
        <f>Tabela1[[#This Row],[PESO UNI]]*Tabela1[[#This Row],[QTE]]</f>
        <v>62.6</v>
      </c>
      <c r="I1007" s="7" t="s">
        <v>5280</v>
      </c>
      <c r="J1007" s="8" t="s">
        <v>3045</v>
      </c>
      <c r="K1007" s="8" t="s">
        <v>4320</v>
      </c>
      <c r="L1007" s="9" t="s">
        <v>2984</v>
      </c>
      <c r="M1007" s="10">
        <v>46251</v>
      </c>
      <c r="N1007" s="8" t="s">
        <v>5105</v>
      </c>
      <c r="O1007" s="12"/>
      <c r="P1007" s="13"/>
      <c r="Q1007" s="14">
        <f>Tabela1[[#This Row],[QTDE/ Fabricação]]-Tabela1[[#This Row],[QTE]]</f>
        <v>-2</v>
      </c>
      <c r="R1007" s="18">
        <f t="shared" si="197"/>
        <v>52.271000000000001</v>
      </c>
      <c r="S1007" s="18">
        <f t="shared" si="198"/>
        <v>21.91</v>
      </c>
      <c r="T1007" s="19">
        <f t="shared" si="199"/>
        <v>-40.69</v>
      </c>
      <c r="U1007" s="16">
        <f>IFERROR(SUMIF('LISTA DE EMBARQUE'!B:B,MICRO!E:E,'LISTA DE EMBARQUE'!G:G),"")</f>
        <v>0</v>
      </c>
      <c r="V1007" s="12" t="str">
        <f>IFERROR(VLOOKUP(Tabela1[[#This Row],[COD.MDE]],'LISTA DE EMBARQUE'!B:L,11,0),"")</f>
        <v/>
      </c>
      <c r="W1007" s="13" t="str">
        <f>IFERROR(VLOOKUP(Tabela1[[#This Row],[COD.MDE]],'LISTA DE EMBARQUE'!B:M,12,0),"")</f>
        <v/>
      </c>
      <c r="X1007" s="14">
        <f>IFERROR(Tabela1[[#This Row],[QIANTIDADE EXPEDIDA]]*Tabela1[[#This Row],[PESO UNI]],"")</f>
        <v>0</v>
      </c>
      <c r="Y1007" s="14">
        <f t="shared" si="200"/>
        <v>-2</v>
      </c>
      <c r="Z1007" s="20">
        <f>Tabela1[[#This Row],[PESO TOTAL]]-Tabela1[[#This Row],[Peso Expedido]]</f>
        <v>62.6</v>
      </c>
      <c r="AA1007" s="17">
        <v>1</v>
      </c>
      <c r="AB1007" s="33"/>
      <c r="AC1007" s="33">
        <v>1</v>
      </c>
      <c r="AD1007" s="33">
        <v>0.7</v>
      </c>
      <c r="AE1007" s="33">
        <v>0.7</v>
      </c>
      <c r="AF1007" s="33">
        <v>0.4</v>
      </c>
      <c r="AG1007" s="33">
        <v>0.35</v>
      </c>
      <c r="AH1007" s="33"/>
      <c r="AI1007" s="33"/>
      <c r="AJ1007"/>
      <c r="AK1007"/>
      <c r="AL1007"/>
      <c r="AM1007"/>
      <c r="AN1007"/>
      <c r="AO1007"/>
      <c r="AP1007"/>
      <c r="AQ1007" s="22"/>
      <c r="AR1007" s="24"/>
      <c r="AS1007" s="37"/>
      <c r="AT1007" s="37"/>
      <c r="AU1007" s="37"/>
      <c r="AV1007" s="37"/>
      <c r="AW1007" s="37"/>
    </row>
    <row r="1008" spans="1:49" ht="15.75" customHeight="1" x14ac:dyDescent="0.25">
      <c r="A1008" s="1" t="s">
        <v>5282</v>
      </c>
      <c r="B1008" s="21" t="s">
        <v>5231</v>
      </c>
      <c r="C1008" s="1">
        <v>1</v>
      </c>
      <c r="D1008" s="1" t="s">
        <v>5233</v>
      </c>
      <c r="E1008" s="7">
        <v>4635</v>
      </c>
      <c r="F1008" s="7">
        <v>61</v>
      </c>
      <c r="G1008" s="1">
        <v>37.200000000000003</v>
      </c>
      <c r="H1008" s="34">
        <f>Tabela1[[#This Row],[PESO UNI]]*Tabela1[[#This Row],[QTE]]</f>
        <v>37.200000000000003</v>
      </c>
      <c r="I1008" s="7" t="s">
        <v>5280</v>
      </c>
      <c r="J1008" s="8" t="s">
        <v>3045</v>
      </c>
      <c r="K1008" s="8" t="s">
        <v>4320</v>
      </c>
      <c r="L1008" s="9" t="s">
        <v>2984</v>
      </c>
      <c r="M1008" s="10">
        <v>46251</v>
      </c>
      <c r="N1008" s="8" t="s">
        <v>5105</v>
      </c>
      <c r="O1008" s="12"/>
      <c r="P1008" s="13"/>
      <c r="Q1008" s="14">
        <f>Tabela1[[#This Row],[QTDE/ Fabricação]]-Tabela1[[#This Row],[QTE]]</f>
        <v>-1</v>
      </c>
      <c r="R1008" s="18">
        <f t="shared" si="197"/>
        <v>31.062000000000001</v>
      </c>
      <c r="S1008" s="18">
        <f t="shared" si="198"/>
        <v>13.02</v>
      </c>
      <c r="T1008" s="19">
        <f t="shared" si="199"/>
        <v>-24.180000000000003</v>
      </c>
      <c r="U1008" s="16">
        <f>IFERROR(SUMIF('LISTA DE EMBARQUE'!B:B,MICRO!E:E,'LISTA DE EMBARQUE'!G:G),"")</f>
        <v>0</v>
      </c>
      <c r="V1008" s="12" t="str">
        <f>IFERROR(VLOOKUP(Tabela1[[#This Row],[COD.MDE]],'LISTA DE EMBARQUE'!B:L,11,0),"")</f>
        <v/>
      </c>
      <c r="W1008" s="13" t="str">
        <f>IFERROR(VLOOKUP(Tabela1[[#This Row],[COD.MDE]],'LISTA DE EMBARQUE'!B:M,12,0),"")</f>
        <v/>
      </c>
      <c r="X1008" s="14">
        <f>IFERROR(Tabela1[[#This Row],[QIANTIDADE EXPEDIDA]]*Tabela1[[#This Row],[PESO UNI]],"")</f>
        <v>0</v>
      </c>
      <c r="Y1008" s="14">
        <f t="shared" si="200"/>
        <v>-1</v>
      </c>
      <c r="Z1008" s="20">
        <f>Tabela1[[#This Row],[PESO TOTAL]]-Tabela1[[#This Row],[Peso Expedido]]</f>
        <v>37.200000000000003</v>
      </c>
      <c r="AA1008" s="17">
        <v>1</v>
      </c>
      <c r="AB1008" s="33"/>
      <c r="AC1008" s="33">
        <v>1</v>
      </c>
      <c r="AD1008" s="33">
        <v>0.7</v>
      </c>
      <c r="AE1008" s="33">
        <v>0.7</v>
      </c>
      <c r="AF1008" s="33">
        <v>0.4</v>
      </c>
      <c r="AG1008" s="33">
        <v>0.35</v>
      </c>
      <c r="AH1008" s="33"/>
      <c r="AI1008" s="33"/>
      <c r="AJ1008"/>
      <c r="AK1008"/>
      <c r="AL1008"/>
      <c r="AM1008"/>
      <c r="AN1008"/>
      <c r="AO1008"/>
      <c r="AP1008"/>
      <c r="AQ1008" s="22"/>
      <c r="AR1008" s="24"/>
      <c r="AS1008" s="37"/>
      <c r="AT1008" s="37"/>
      <c r="AU1008" s="37"/>
      <c r="AV1008" s="37"/>
      <c r="AW1008" s="37"/>
    </row>
    <row r="1009" spans="1:49" ht="15.75" customHeight="1" x14ac:dyDescent="0.25">
      <c r="A1009" s="1" t="s">
        <v>5282</v>
      </c>
      <c r="B1009" s="21" t="s">
        <v>5231</v>
      </c>
      <c r="C1009" s="1">
        <v>2</v>
      </c>
      <c r="D1009" s="1" t="s">
        <v>5234</v>
      </c>
      <c r="E1009" s="7">
        <v>4636</v>
      </c>
      <c r="F1009" s="7">
        <v>61</v>
      </c>
      <c r="G1009" s="1">
        <v>235.4</v>
      </c>
      <c r="H1009" s="34">
        <f>Tabela1[[#This Row],[PESO UNI]]*Tabela1[[#This Row],[QTE]]</f>
        <v>470.8</v>
      </c>
      <c r="I1009" s="7" t="s">
        <v>5280</v>
      </c>
      <c r="J1009" s="8" t="s">
        <v>3045</v>
      </c>
      <c r="K1009" s="8" t="s">
        <v>4320</v>
      </c>
      <c r="L1009" s="9" t="s">
        <v>2984</v>
      </c>
      <c r="M1009" s="10">
        <v>46251</v>
      </c>
      <c r="N1009" s="8" t="s">
        <v>5105</v>
      </c>
      <c r="O1009" s="12"/>
      <c r="P1009" s="13"/>
      <c r="Q1009" s="14">
        <f>Tabela1[[#This Row],[QTDE/ Fabricação]]-Tabela1[[#This Row],[QTE]]</f>
        <v>-2</v>
      </c>
      <c r="R1009" s="18">
        <f t="shared" si="197"/>
        <v>393.11799999999999</v>
      </c>
      <c r="S1009" s="18">
        <f t="shared" si="198"/>
        <v>164.78</v>
      </c>
      <c r="T1009" s="19">
        <f t="shared" si="199"/>
        <v>-306.02</v>
      </c>
      <c r="U1009" s="16">
        <f>IFERROR(SUMIF('LISTA DE EMBARQUE'!B:B,MICRO!E:E,'LISTA DE EMBARQUE'!G:G),"")</f>
        <v>0</v>
      </c>
      <c r="V1009" s="12" t="str">
        <f>IFERROR(VLOOKUP(Tabela1[[#This Row],[COD.MDE]],'LISTA DE EMBARQUE'!B:L,11,0),"")</f>
        <v/>
      </c>
      <c r="W1009" s="13" t="str">
        <f>IFERROR(VLOOKUP(Tabela1[[#This Row],[COD.MDE]],'LISTA DE EMBARQUE'!B:M,12,0),"")</f>
        <v/>
      </c>
      <c r="X1009" s="14">
        <f>IFERROR(Tabela1[[#This Row],[QIANTIDADE EXPEDIDA]]*Tabela1[[#This Row],[PESO UNI]],"")</f>
        <v>0</v>
      </c>
      <c r="Y1009" s="14">
        <f t="shared" si="200"/>
        <v>-2</v>
      </c>
      <c r="Z1009" s="20">
        <f>Tabela1[[#This Row],[PESO TOTAL]]-Tabela1[[#This Row],[Peso Expedido]]</f>
        <v>470.8</v>
      </c>
      <c r="AA1009" s="17">
        <v>1</v>
      </c>
      <c r="AB1009" s="33"/>
      <c r="AC1009" s="33">
        <v>1</v>
      </c>
      <c r="AD1009" s="33">
        <v>0.7</v>
      </c>
      <c r="AE1009" s="33">
        <v>0.7</v>
      </c>
      <c r="AF1009" s="33">
        <v>0.4</v>
      </c>
      <c r="AG1009" s="33">
        <v>0.35</v>
      </c>
      <c r="AH1009" s="33"/>
      <c r="AI1009" s="33"/>
      <c r="AJ1009"/>
      <c r="AK1009"/>
      <c r="AL1009"/>
      <c r="AM1009"/>
      <c r="AN1009"/>
      <c r="AO1009"/>
      <c r="AP1009"/>
      <c r="AQ1009" s="22"/>
      <c r="AR1009" s="24"/>
      <c r="AS1009" s="37"/>
      <c r="AT1009" s="37"/>
      <c r="AU1009" s="37"/>
      <c r="AV1009" s="37"/>
      <c r="AW1009" s="37"/>
    </row>
    <row r="1010" spans="1:49" ht="15.75" customHeight="1" x14ac:dyDescent="0.25">
      <c r="A1010" s="1" t="s">
        <v>5282</v>
      </c>
      <c r="B1010" s="21" t="s">
        <v>5231</v>
      </c>
      <c r="C1010" s="1">
        <v>2</v>
      </c>
      <c r="D1010" s="1" t="s">
        <v>5235</v>
      </c>
      <c r="E1010" s="7">
        <v>4637</v>
      </c>
      <c r="F1010" s="7">
        <v>61</v>
      </c>
      <c r="G1010" s="1">
        <v>8.9</v>
      </c>
      <c r="H1010" s="34">
        <f>Tabela1[[#This Row],[PESO UNI]]*Tabela1[[#This Row],[QTE]]</f>
        <v>17.8</v>
      </c>
      <c r="I1010" s="7" t="s">
        <v>5280</v>
      </c>
      <c r="J1010" s="8" t="s">
        <v>3045</v>
      </c>
      <c r="K1010" s="8" t="s">
        <v>4320</v>
      </c>
      <c r="L1010" s="9" t="s">
        <v>2984</v>
      </c>
      <c r="M1010" s="10">
        <v>46251</v>
      </c>
      <c r="N1010" s="8" t="s">
        <v>5105</v>
      </c>
      <c r="O1010" s="12"/>
      <c r="P1010" s="13"/>
      <c r="Q1010" s="14">
        <f>Tabela1[[#This Row],[QTDE/ Fabricação]]-Tabela1[[#This Row],[QTE]]</f>
        <v>-2</v>
      </c>
      <c r="R1010" s="18">
        <f t="shared" si="197"/>
        <v>14.863</v>
      </c>
      <c r="S1010" s="18">
        <f t="shared" si="198"/>
        <v>6.2299999999999995</v>
      </c>
      <c r="T1010" s="19">
        <f t="shared" si="199"/>
        <v>-11.57</v>
      </c>
      <c r="U1010" s="16">
        <f>IFERROR(SUMIF('LISTA DE EMBARQUE'!B:B,MICRO!E:E,'LISTA DE EMBARQUE'!G:G),"")</f>
        <v>0</v>
      </c>
      <c r="V1010" s="12" t="str">
        <f>IFERROR(VLOOKUP(Tabela1[[#This Row],[COD.MDE]],'LISTA DE EMBARQUE'!B:L,11,0),"")</f>
        <v/>
      </c>
      <c r="W1010" s="13" t="str">
        <f>IFERROR(VLOOKUP(Tabela1[[#This Row],[COD.MDE]],'LISTA DE EMBARQUE'!B:M,12,0),"")</f>
        <v/>
      </c>
      <c r="X1010" s="14">
        <f>IFERROR(Tabela1[[#This Row],[QIANTIDADE EXPEDIDA]]*Tabela1[[#This Row],[PESO UNI]],"")</f>
        <v>0</v>
      </c>
      <c r="Y1010" s="14">
        <f t="shared" si="200"/>
        <v>-2</v>
      </c>
      <c r="Z1010" s="20">
        <f>Tabela1[[#This Row],[PESO TOTAL]]-Tabela1[[#This Row],[Peso Expedido]]</f>
        <v>17.8</v>
      </c>
      <c r="AA1010" s="17">
        <v>1</v>
      </c>
      <c r="AB1010" s="33"/>
      <c r="AC1010" s="33">
        <v>1</v>
      </c>
      <c r="AD1010" s="33">
        <v>0.7</v>
      </c>
      <c r="AE1010" s="33">
        <v>0.7</v>
      </c>
      <c r="AF1010" s="33">
        <v>0.4</v>
      </c>
      <c r="AG1010" s="33">
        <v>0.35</v>
      </c>
      <c r="AH1010" s="33"/>
      <c r="AI1010" s="33"/>
      <c r="AJ1010"/>
      <c r="AK1010"/>
      <c r="AL1010"/>
      <c r="AM1010"/>
      <c r="AN1010"/>
      <c r="AO1010"/>
      <c r="AP1010"/>
      <c r="AQ1010" s="22"/>
      <c r="AR1010" s="24"/>
      <c r="AS1010" s="37"/>
      <c r="AT1010" s="37"/>
      <c r="AU1010" s="37"/>
      <c r="AV1010" s="37"/>
      <c r="AW1010" s="37"/>
    </row>
    <row r="1011" spans="1:49" ht="15.75" customHeight="1" x14ac:dyDescent="0.25">
      <c r="A1011" s="1" t="s">
        <v>5282</v>
      </c>
      <c r="B1011" s="21" t="s">
        <v>5231</v>
      </c>
      <c r="C1011" s="1">
        <v>2</v>
      </c>
      <c r="D1011" s="1" t="s">
        <v>5236</v>
      </c>
      <c r="E1011" s="7">
        <v>4638</v>
      </c>
      <c r="F1011" s="7">
        <v>61</v>
      </c>
      <c r="G1011" s="1">
        <v>1.6</v>
      </c>
      <c r="H1011" s="34">
        <f>Tabela1[[#This Row],[PESO UNI]]*Tabela1[[#This Row],[QTE]]</f>
        <v>3.2</v>
      </c>
      <c r="I1011" s="7" t="s">
        <v>5280</v>
      </c>
      <c r="J1011" s="8" t="s">
        <v>3045</v>
      </c>
      <c r="K1011" s="8" t="s">
        <v>4320</v>
      </c>
      <c r="L1011" s="9" t="s">
        <v>2984</v>
      </c>
      <c r="M1011" s="10">
        <v>46251</v>
      </c>
      <c r="N1011" s="8" t="s">
        <v>5105</v>
      </c>
      <c r="O1011" s="12"/>
      <c r="P1011" s="13"/>
      <c r="Q1011" s="14">
        <f>Tabela1[[#This Row],[QTDE/ Fabricação]]-Tabela1[[#This Row],[QTE]]</f>
        <v>-2</v>
      </c>
      <c r="R1011" s="18">
        <f t="shared" si="197"/>
        <v>2.6720000000000002</v>
      </c>
      <c r="S1011" s="18">
        <f t="shared" si="198"/>
        <v>1.1199999999999999</v>
      </c>
      <c r="T1011" s="19">
        <f t="shared" si="199"/>
        <v>-2.08</v>
      </c>
      <c r="U1011" s="16">
        <f>IFERROR(SUMIF('LISTA DE EMBARQUE'!B:B,MICRO!E:E,'LISTA DE EMBARQUE'!G:G),"")</f>
        <v>0</v>
      </c>
      <c r="V1011" s="12" t="str">
        <f>IFERROR(VLOOKUP(Tabela1[[#This Row],[COD.MDE]],'LISTA DE EMBARQUE'!B:L,11,0),"")</f>
        <v/>
      </c>
      <c r="W1011" s="13" t="str">
        <f>IFERROR(VLOOKUP(Tabela1[[#This Row],[COD.MDE]],'LISTA DE EMBARQUE'!B:M,12,0),"")</f>
        <v/>
      </c>
      <c r="X1011" s="14">
        <f>IFERROR(Tabela1[[#This Row],[QIANTIDADE EXPEDIDA]]*Tabela1[[#This Row],[PESO UNI]],"")</f>
        <v>0</v>
      </c>
      <c r="Y1011" s="14">
        <f t="shared" si="200"/>
        <v>-2</v>
      </c>
      <c r="Z1011" s="20">
        <f>Tabela1[[#This Row],[PESO TOTAL]]-Tabela1[[#This Row],[Peso Expedido]]</f>
        <v>3.2</v>
      </c>
      <c r="AA1011" s="17">
        <v>1</v>
      </c>
      <c r="AB1011" s="33"/>
      <c r="AC1011" s="33">
        <v>1</v>
      </c>
      <c r="AD1011" s="33">
        <v>0.7</v>
      </c>
      <c r="AE1011" s="33">
        <v>0.7</v>
      </c>
      <c r="AF1011" s="33">
        <v>0.4</v>
      </c>
      <c r="AG1011" s="33">
        <v>0.35</v>
      </c>
      <c r="AH1011" s="33"/>
      <c r="AI1011" s="33"/>
      <c r="AJ1011"/>
      <c r="AK1011"/>
      <c r="AL1011"/>
      <c r="AM1011"/>
      <c r="AN1011"/>
      <c r="AO1011"/>
      <c r="AP1011"/>
      <c r="AQ1011" s="22"/>
      <c r="AR1011" s="24"/>
      <c r="AS1011" s="37"/>
      <c r="AT1011" s="37"/>
      <c r="AU1011" s="37"/>
      <c r="AV1011" s="37"/>
      <c r="AW1011" s="37"/>
    </row>
    <row r="1012" spans="1:49" ht="15.75" customHeight="1" x14ac:dyDescent="0.25">
      <c r="A1012" s="1" t="s">
        <v>5282</v>
      </c>
      <c r="B1012" s="21" t="s">
        <v>5231</v>
      </c>
      <c r="C1012" s="1">
        <v>4</v>
      </c>
      <c r="D1012" s="1" t="s">
        <v>5237</v>
      </c>
      <c r="E1012" s="7">
        <v>4639</v>
      </c>
      <c r="F1012" s="7">
        <v>61</v>
      </c>
      <c r="G1012" s="1">
        <v>0.3</v>
      </c>
      <c r="H1012" s="34">
        <f>Tabela1[[#This Row],[PESO UNI]]*Tabela1[[#This Row],[QTE]]</f>
        <v>1.2</v>
      </c>
      <c r="I1012" s="7" t="s">
        <v>5280</v>
      </c>
      <c r="J1012" s="8" t="s">
        <v>3045</v>
      </c>
      <c r="K1012" s="8" t="s">
        <v>4320</v>
      </c>
      <c r="L1012" s="9" t="s">
        <v>2984</v>
      </c>
      <c r="M1012" s="10">
        <v>46251</v>
      </c>
      <c r="N1012" s="8" t="s">
        <v>5105</v>
      </c>
      <c r="O1012" s="12"/>
      <c r="P1012" s="13"/>
      <c r="Q1012" s="14">
        <f>Tabela1[[#This Row],[QTDE/ Fabricação]]-Tabela1[[#This Row],[QTE]]</f>
        <v>-4</v>
      </c>
      <c r="R1012" s="18">
        <f t="shared" si="197"/>
        <v>1.002</v>
      </c>
      <c r="S1012" s="18">
        <f t="shared" si="198"/>
        <v>0.42</v>
      </c>
      <c r="T1012" s="19">
        <f t="shared" si="199"/>
        <v>-0.78</v>
      </c>
      <c r="U1012" s="16">
        <f>IFERROR(SUMIF('LISTA DE EMBARQUE'!B:B,MICRO!E:E,'LISTA DE EMBARQUE'!G:G),"")</f>
        <v>0</v>
      </c>
      <c r="V1012" s="12" t="str">
        <f>IFERROR(VLOOKUP(Tabela1[[#This Row],[COD.MDE]],'LISTA DE EMBARQUE'!B:L,11,0),"")</f>
        <v/>
      </c>
      <c r="W1012" s="13" t="str">
        <f>IFERROR(VLOOKUP(Tabela1[[#This Row],[COD.MDE]],'LISTA DE EMBARQUE'!B:M,12,0),"")</f>
        <v/>
      </c>
      <c r="X1012" s="14">
        <f>IFERROR(Tabela1[[#This Row],[QIANTIDADE EXPEDIDA]]*Tabela1[[#This Row],[PESO UNI]],"")</f>
        <v>0</v>
      </c>
      <c r="Y1012" s="14">
        <f t="shared" si="200"/>
        <v>-4</v>
      </c>
      <c r="Z1012" s="20">
        <f>Tabela1[[#This Row],[PESO TOTAL]]-Tabela1[[#This Row],[Peso Expedido]]</f>
        <v>1.2</v>
      </c>
      <c r="AA1012" s="17">
        <v>1</v>
      </c>
      <c r="AB1012" s="33"/>
      <c r="AC1012" s="33">
        <v>1</v>
      </c>
      <c r="AD1012" s="33">
        <v>0.7</v>
      </c>
      <c r="AE1012" s="33">
        <v>0.7</v>
      </c>
      <c r="AF1012" s="33">
        <v>0.4</v>
      </c>
      <c r="AG1012" s="33">
        <v>0.35</v>
      </c>
      <c r="AH1012" s="33"/>
      <c r="AI1012" s="33"/>
      <c r="AJ1012"/>
      <c r="AK1012"/>
      <c r="AL1012"/>
      <c r="AM1012"/>
      <c r="AN1012"/>
      <c r="AO1012"/>
      <c r="AP1012"/>
      <c r="AQ1012" s="22"/>
      <c r="AR1012" s="24"/>
      <c r="AS1012" s="37"/>
      <c r="AT1012" s="37"/>
      <c r="AU1012" s="37"/>
      <c r="AV1012" s="37"/>
      <c r="AW1012" s="37"/>
    </row>
    <row r="1013" spans="1:49" ht="15.75" customHeight="1" x14ac:dyDescent="0.25">
      <c r="A1013" s="1" t="s">
        <v>5281</v>
      </c>
      <c r="B1013" s="21" t="s">
        <v>5238</v>
      </c>
      <c r="C1013" s="1">
        <v>1</v>
      </c>
      <c r="D1013" s="1" t="s">
        <v>5239</v>
      </c>
      <c r="E1013" s="7">
        <v>4640</v>
      </c>
      <c r="F1013" s="7">
        <v>61</v>
      </c>
      <c r="G1013" s="1">
        <v>204.2</v>
      </c>
      <c r="H1013" s="34">
        <f>Tabela1[[#This Row],[PESO UNI]]*Tabela1[[#This Row],[QTE]]</f>
        <v>204.2</v>
      </c>
      <c r="I1013" s="7" t="s">
        <v>5280</v>
      </c>
      <c r="J1013" s="8" t="s">
        <v>3045</v>
      </c>
      <c r="K1013" s="8" t="s">
        <v>4320</v>
      </c>
      <c r="L1013" s="9" t="s">
        <v>2984</v>
      </c>
      <c r="M1013" s="10">
        <v>46251</v>
      </c>
      <c r="N1013" s="8" t="s">
        <v>5105</v>
      </c>
      <c r="O1013" s="12"/>
      <c r="P1013" s="13"/>
      <c r="Q1013" s="14">
        <f>Tabela1[[#This Row],[QTDE/ Fabricação]]-Tabela1[[#This Row],[QTE]]</f>
        <v>-1</v>
      </c>
      <c r="R1013" s="18">
        <f t="shared" si="197"/>
        <v>204.2</v>
      </c>
      <c r="S1013" s="18">
        <f t="shared" si="198"/>
        <v>204.2</v>
      </c>
      <c r="T1013" s="19">
        <f t="shared" si="199"/>
        <v>0</v>
      </c>
      <c r="U1013" s="16">
        <f>IFERROR(SUMIF('LISTA DE EMBARQUE'!B:B,MICRO!E:E,'LISTA DE EMBARQUE'!G:G),"")</f>
        <v>1</v>
      </c>
      <c r="V1013" s="12">
        <f>IFERROR(VLOOKUP(Tabela1[[#This Row],[COD.MDE]],'LISTA DE EMBARQUE'!B:L,11,0),"")</f>
        <v>8</v>
      </c>
      <c r="W1013" s="13">
        <f>IFERROR(VLOOKUP(Tabela1[[#This Row],[COD.MDE]],'LISTA DE EMBARQUE'!B:M,12,0),"")</f>
        <v>46280</v>
      </c>
      <c r="X1013" s="14">
        <f>IFERROR(Tabela1[[#This Row],[QIANTIDADE EXPEDIDA]]*Tabela1[[#This Row],[PESO UNI]],"")</f>
        <v>204.2</v>
      </c>
      <c r="Y1013" s="14">
        <f t="shared" si="200"/>
        <v>0</v>
      </c>
      <c r="Z1013" s="20">
        <f>Tabela1[[#This Row],[PESO TOTAL]]-Tabela1[[#This Row],[Peso Expedido]]</f>
        <v>0</v>
      </c>
      <c r="AA1013" s="17">
        <v>1</v>
      </c>
      <c r="AB1013" s="33"/>
      <c r="AC1013" s="33">
        <v>1</v>
      </c>
      <c r="AD1013" s="33">
        <v>1</v>
      </c>
      <c r="AE1013" s="33">
        <v>1</v>
      </c>
      <c r="AF1013" s="33">
        <v>1</v>
      </c>
      <c r="AG1013" s="33">
        <v>1</v>
      </c>
      <c r="AH1013" s="33"/>
      <c r="AI1013" s="33"/>
      <c r="AJ1013"/>
      <c r="AK1013"/>
      <c r="AL1013"/>
      <c r="AM1013"/>
      <c r="AN1013"/>
      <c r="AO1013"/>
      <c r="AP1013"/>
      <c r="AQ1013" s="22"/>
      <c r="AR1013" s="24"/>
      <c r="AS1013" s="37"/>
      <c r="AT1013" s="37"/>
      <c r="AU1013" s="37"/>
      <c r="AV1013" s="37"/>
      <c r="AW1013" s="37"/>
    </row>
    <row r="1014" spans="1:49" ht="15.75" customHeight="1" x14ac:dyDescent="0.25">
      <c r="A1014" s="1" t="s">
        <v>5281</v>
      </c>
      <c r="B1014" s="21" t="s">
        <v>5238</v>
      </c>
      <c r="C1014" s="1">
        <v>1</v>
      </c>
      <c r="D1014" s="1" t="s">
        <v>5240</v>
      </c>
      <c r="E1014" s="7">
        <v>4661</v>
      </c>
      <c r="F1014" s="7">
        <v>61</v>
      </c>
      <c r="G1014" s="1">
        <v>168.6</v>
      </c>
      <c r="H1014" s="34">
        <f>Tabela1[[#This Row],[PESO UNI]]*Tabela1[[#This Row],[QTE]]</f>
        <v>168.6</v>
      </c>
      <c r="I1014" s="7" t="s">
        <v>5280</v>
      </c>
      <c r="J1014" s="8" t="s">
        <v>3045</v>
      </c>
      <c r="K1014" s="8" t="s">
        <v>4320</v>
      </c>
      <c r="L1014" s="9" t="s">
        <v>2984</v>
      </c>
      <c r="M1014" s="10">
        <v>46251</v>
      </c>
      <c r="N1014" s="8" t="s">
        <v>5105</v>
      </c>
      <c r="O1014" s="12"/>
      <c r="P1014" s="13"/>
      <c r="Q1014" s="14">
        <f>Tabela1[[#This Row],[QTDE/ Fabricação]]-Tabela1[[#This Row],[QTE]]</f>
        <v>-1</v>
      </c>
      <c r="R1014" s="18">
        <f>IFERROR(H1014*((AA1014*0.25)+(AC1014*0.25)+(AD1014*0.225)+(AE1014*0.225)+(AF1014*0.05)),"")</f>
        <v>168.6</v>
      </c>
      <c r="S1014" s="18">
        <f>IFERROR(H1014*AG1014,"")</f>
        <v>168.6</v>
      </c>
      <c r="T1014" s="19">
        <f>IFERROR(S1014-H1014,"")</f>
        <v>0</v>
      </c>
      <c r="U1014" s="16">
        <f>IFERROR(SUMIF('LISTA DE EMBARQUE'!B:B,MICRO!E:E,'LISTA DE EMBARQUE'!G:G),"")</f>
        <v>1</v>
      </c>
      <c r="V1014" s="12">
        <f>IFERROR(VLOOKUP(Tabela1[[#This Row],[COD.MDE]],'LISTA DE EMBARQUE'!B:L,11,0),"")</f>
        <v>8</v>
      </c>
      <c r="W1014" s="13">
        <f>IFERROR(VLOOKUP(Tabela1[[#This Row],[COD.MDE]],'LISTA DE EMBARQUE'!B:M,12,0),"")</f>
        <v>46280</v>
      </c>
      <c r="X1014" s="14">
        <f>IFERROR(Tabela1[[#This Row],[QIANTIDADE EXPEDIDA]]*Tabela1[[#This Row],[PESO UNI]],"")</f>
        <v>168.6</v>
      </c>
      <c r="Y1014" s="14">
        <f>U1014-C1014</f>
        <v>0</v>
      </c>
      <c r="Z1014" s="20">
        <f>Tabela1[[#This Row],[PESO TOTAL]]-Tabela1[[#This Row],[Peso Expedido]]</f>
        <v>0</v>
      </c>
      <c r="AA1014" s="17">
        <v>1</v>
      </c>
      <c r="AB1014" s="33"/>
      <c r="AC1014" s="33">
        <v>1</v>
      </c>
      <c r="AD1014" s="33">
        <v>1</v>
      </c>
      <c r="AE1014" s="33">
        <v>1</v>
      </c>
      <c r="AF1014" s="33">
        <v>1</v>
      </c>
      <c r="AG1014" s="33">
        <v>1</v>
      </c>
      <c r="AH1014" s="33"/>
      <c r="AI1014" s="33"/>
      <c r="AJ1014"/>
      <c r="AK1014"/>
      <c r="AL1014"/>
      <c r="AM1014"/>
      <c r="AN1014"/>
      <c r="AO1014"/>
      <c r="AP1014"/>
      <c r="AQ1014" s="22"/>
      <c r="AR1014" s="24"/>
      <c r="AS1014" s="37"/>
      <c r="AT1014" s="37"/>
      <c r="AU1014" s="37"/>
      <c r="AV1014" s="37"/>
      <c r="AW1014" s="37"/>
    </row>
    <row r="1015" spans="1:49" ht="15.75" customHeight="1" x14ac:dyDescent="0.25">
      <c r="A1015" s="1" t="s">
        <v>5281</v>
      </c>
      <c r="B1015" s="21" t="s">
        <v>5238</v>
      </c>
      <c r="C1015" s="1">
        <v>1</v>
      </c>
      <c r="D1015" s="1" t="s">
        <v>5416</v>
      </c>
      <c r="E1015" s="7">
        <v>4750</v>
      </c>
      <c r="F1015" s="7">
        <v>61</v>
      </c>
      <c r="G1015" s="1">
        <v>36.4</v>
      </c>
      <c r="H1015" s="34">
        <f>Tabela1[[#This Row],[PESO UNI]]*Tabela1[[#This Row],[QTE]]</f>
        <v>36.4</v>
      </c>
      <c r="I1015" s="7" t="s">
        <v>5280</v>
      </c>
      <c r="J1015" s="8" t="s">
        <v>3045</v>
      </c>
      <c r="K1015" s="8" t="s">
        <v>4320</v>
      </c>
      <c r="L1015" s="9" t="s">
        <v>2984</v>
      </c>
      <c r="M1015" s="10">
        <v>46251</v>
      </c>
      <c r="N1015" s="8" t="s">
        <v>5105</v>
      </c>
      <c r="O1015" s="12"/>
      <c r="P1015" s="13"/>
      <c r="Q1015" s="14">
        <f>Tabela1[[#This Row],[QTDE/ Fabricação]]-Tabela1[[#This Row],[QTE]]</f>
        <v>-1</v>
      </c>
      <c r="R1015" s="18">
        <f>IFERROR(H1015*((AA1015*0.25)+(AC1015*0.25)+(AD1015*0.225)+(AE1015*0.225)+(AF1015*0.05)),"")</f>
        <v>36.4</v>
      </c>
      <c r="S1015" s="18">
        <f>IFERROR(H1015*AG1015,"")</f>
        <v>36.4</v>
      </c>
      <c r="T1015" s="19">
        <f>IFERROR(S1015-H1015,"")</f>
        <v>0</v>
      </c>
      <c r="U1015" s="16">
        <f>IFERROR(SUMIF('LISTA DE EMBARQUE'!B:B,MICRO!E:E,'LISTA DE EMBARQUE'!G:G),"")</f>
        <v>1</v>
      </c>
      <c r="V1015" s="12">
        <f>IFERROR(VLOOKUP(Tabela1[[#This Row],[COD.MDE]],'LISTA DE EMBARQUE'!B:L,11,0),"")</f>
        <v>8</v>
      </c>
      <c r="W1015" s="13">
        <f>IFERROR(VLOOKUP(Tabela1[[#This Row],[COD.MDE]],'LISTA DE EMBARQUE'!B:M,12,0),"")</f>
        <v>46280</v>
      </c>
      <c r="X1015" s="14">
        <f>IFERROR(Tabela1[[#This Row],[QIANTIDADE EXPEDIDA]]*Tabela1[[#This Row],[PESO UNI]],"")</f>
        <v>36.4</v>
      </c>
      <c r="Y1015" s="14">
        <f>U1015-C1015</f>
        <v>0</v>
      </c>
      <c r="Z1015" s="20">
        <f>Tabela1[[#This Row],[PESO TOTAL]]-Tabela1[[#This Row],[Peso Expedido]]</f>
        <v>0</v>
      </c>
      <c r="AA1015" s="17">
        <v>1</v>
      </c>
      <c r="AB1015" s="33"/>
      <c r="AC1015" s="33">
        <v>1</v>
      </c>
      <c r="AD1015" s="33">
        <v>1</v>
      </c>
      <c r="AE1015" s="33">
        <v>1</v>
      </c>
      <c r="AF1015" s="33">
        <v>1</v>
      </c>
      <c r="AG1015" s="33">
        <v>1</v>
      </c>
      <c r="AH1015" s="33"/>
      <c r="AI1015" s="33"/>
      <c r="AJ1015"/>
      <c r="AK1015"/>
      <c r="AL1015"/>
      <c r="AM1015"/>
      <c r="AN1015"/>
      <c r="AO1015"/>
      <c r="AP1015"/>
      <c r="AQ1015" s="22"/>
      <c r="AR1015" s="24"/>
      <c r="AS1015" s="37"/>
      <c r="AT1015" s="37"/>
      <c r="AU1015" s="37"/>
      <c r="AV1015" s="37"/>
      <c r="AW1015" s="37"/>
    </row>
    <row r="1016" spans="1:49" ht="15.75" customHeight="1" x14ac:dyDescent="0.25">
      <c r="A1016" s="1" t="s">
        <v>5228</v>
      </c>
      <c r="B1016" s="21" t="s">
        <v>5241</v>
      </c>
      <c r="C1016" s="1">
        <v>4</v>
      </c>
      <c r="D1016" s="1" t="s">
        <v>5242</v>
      </c>
      <c r="E1016" s="7">
        <v>4662</v>
      </c>
      <c r="F1016" s="7">
        <v>62</v>
      </c>
      <c r="G1016" s="1">
        <v>28.1</v>
      </c>
      <c r="H1016" s="34">
        <f>Tabela1[[#This Row],[PESO UNI]]*Tabela1[[#This Row],[QTE]]</f>
        <v>112.4</v>
      </c>
      <c r="I1016" s="7" t="s">
        <v>5641</v>
      </c>
      <c r="J1016" s="8" t="s">
        <v>3045</v>
      </c>
      <c r="K1016" s="8" t="s">
        <v>4320</v>
      </c>
      <c r="L1016" s="9" t="s">
        <v>2984</v>
      </c>
      <c r="M1016" s="10">
        <v>46251</v>
      </c>
      <c r="N1016" s="8" t="s">
        <v>5105</v>
      </c>
      <c r="O1016" s="12"/>
      <c r="P1016" s="13"/>
      <c r="Q1016" s="14">
        <f>Tabela1[[#This Row],[QTDE/ Fabricação]]-Tabela1[[#This Row],[QTE]]</f>
        <v>-4</v>
      </c>
      <c r="R1016" s="18">
        <f t="shared" si="197"/>
        <v>93.853999999999999</v>
      </c>
      <c r="S1016" s="18">
        <f t="shared" si="198"/>
        <v>39.339999999999996</v>
      </c>
      <c r="T1016" s="19">
        <f t="shared" si="199"/>
        <v>-73.06</v>
      </c>
      <c r="U1016" s="16">
        <f>IFERROR(SUMIF('LISTA DE EMBARQUE'!B:B,MICRO!E:E,'LISTA DE EMBARQUE'!G:G),"")</f>
        <v>0</v>
      </c>
      <c r="V1016" s="12" t="str">
        <f>IFERROR(VLOOKUP(Tabela1[[#This Row],[COD.MDE]],'LISTA DE EMBARQUE'!B:L,11,0),"")</f>
        <v/>
      </c>
      <c r="W1016" s="13" t="str">
        <f>IFERROR(VLOOKUP(Tabela1[[#This Row],[COD.MDE]],'LISTA DE EMBARQUE'!B:M,12,0),"")</f>
        <v/>
      </c>
      <c r="X1016" s="14">
        <f>IFERROR(Tabela1[[#This Row],[QIANTIDADE EXPEDIDA]]*Tabela1[[#This Row],[PESO UNI]],"")</f>
        <v>0</v>
      </c>
      <c r="Y1016" s="14">
        <f t="shared" si="200"/>
        <v>-4</v>
      </c>
      <c r="Z1016" s="20">
        <f>Tabela1[[#This Row],[PESO TOTAL]]-Tabela1[[#This Row],[Peso Expedido]]</f>
        <v>112.4</v>
      </c>
      <c r="AA1016" s="17">
        <v>1</v>
      </c>
      <c r="AB1016" s="33"/>
      <c r="AC1016" s="33">
        <v>1</v>
      </c>
      <c r="AD1016" s="33">
        <v>0.7</v>
      </c>
      <c r="AE1016" s="33">
        <v>0.7</v>
      </c>
      <c r="AF1016" s="33">
        <v>0.4</v>
      </c>
      <c r="AG1016" s="33">
        <v>0.35</v>
      </c>
      <c r="AH1016" s="33"/>
      <c r="AI1016" s="33"/>
      <c r="AJ1016"/>
      <c r="AK1016"/>
      <c r="AL1016"/>
      <c r="AM1016"/>
      <c r="AN1016"/>
      <c r="AO1016"/>
      <c r="AP1016"/>
      <c r="AQ1016" s="22"/>
      <c r="AR1016" s="24"/>
      <c r="AS1016" s="37"/>
      <c r="AT1016" s="37"/>
      <c r="AU1016" s="37"/>
      <c r="AV1016" s="37"/>
      <c r="AW1016" s="37"/>
    </row>
    <row r="1017" spans="1:49" ht="15.75" customHeight="1" x14ac:dyDescent="0.25">
      <c r="A1017" s="1" t="s">
        <v>5228</v>
      </c>
      <c r="B1017" s="21" t="s">
        <v>5241</v>
      </c>
      <c r="C1017" s="1">
        <v>4</v>
      </c>
      <c r="D1017" s="1" t="s">
        <v>5243</v>
      </c>
      <c r="E1017" s="7">
        <v>4663</v>
      </c>
      <c r="F1017" s="7">
        <v>62</v>
      </c>
      <c r="G1017" s="1">
        <v>38.299999999999997</v>
      </c>
      <c r="H1017" s="34">
        <f>Tabela1[[#This Row],[PESO UNI]]*Tabela1[[#This Row],[QTE]]</f>
        <v>153.19999999999999</v>
      </c>
      <c r="I1017" s="7" t="s">
        <v>5641</v>
      </c>
      <c r="J1017" s="8" t="s">
        <v>3045</v>
      </c>
      <c r="K1017" s="8" t="s">
        <v>4320</v>
      </c>
      <c r="L1017" s="9" t="s">
        <v>2984</v>
      </c>
      <c r="M1017" s="10">
        <v>46251</v>
      </c>
      <c r="N1017" s="8" t="s">
        <v>5105</v>
      </c>
      <c r="O1017" s="12"/>
      <c r="P1017" s="13"/>
      <c r="Q1017" s="14">
        <f>Tabela1[[#This Row],[QTDE/ Fabricação]]-Tabela1[[#This Row],[QTE]]</f>
        <v>-4</v>
      </c>
      <c r="R1017" s="18">
        <f t="shared" si="197"/>
        <v>127.92199999999998</v>
      </c>
      <c r="S1017" s="18">
        <f t="shared" si="198"/>
        <v>53.61999999999999</v>
      </c>
      <c r="T1017" s="19">
        <f t="shared" si="199"/>
        <v>-99.58</v>
      </c>
      <c r="U1017" s="16">
        <f>IFERROR(SUMIF('LISTA DE EMBARQUE'!B:B,MICRO!E:E,'LISTA DE EMBARQUE'!G:G),"")</f>
        <v>0</v>
      </c>
      <c r="V1017" s="12" t="str">
        <f>IFERROR(VLOOKUP(Tabela1[[#This Row],[COD.MDE]],'LISTA DE EMBARQUE'!B:L,11,0),"")</f>
        <v/>
      </c>
      <c r="W1017" s="13" t="str">
        <f>IFERROR(VLOOKUP(Tabela1[[#This Row],[COD.MDE]],'LISTA DE EMBARQUE'!B:M,12,0),"")</f>
        <v/>
      </c>
      <c r="X1017" s="14">
        <f>IFERROR(Tabela1[[#This Row],[QIANTIDADE EXPEDIDA]]*Tabela1[[#This Row],[PESO UNI]],"")</f>
        <v>0</v>
      </c>
      <c r="Y1017" s="14">
        <f t="shared" si="200"/>
        <v>-4</v>
      </c>
      <c r="Z1017" s="20">
        <f>Tabela1[[#This Row],[PESO TOTAL]]-Tabela1[[#This Row],[Peso Expedido]]</f>
        <v>153.19999999999999</v>
      </c>
      <c r="AA1017" s="17">
        <v>1</v>
      </c>
      <c r="AB1017" s="33"/>
      <c r="AC1017" s="33">
        <v>1</v>
      </c>
      <c r="AD1017" s="33">
        <v>0.7</v>
      </c>
      <c r="AE1017" s="33">
        <v>0.7</v>
      </c>
      <c r="AF1017" s="33">
        <v>0.4</v>
      </c>
      <c r="AG1017" s="33">
        <v>0.35</v>
      </c>
      <c r="AH1017" s="33"/>
      <c r="AI1017" s="33"/>
      <c r="AJ1017"/>
      <c r="AK1017"/>
      <c r="AL1017"/>
      <c r="AM1017"/>
      <c r="AN1017"/>
      <c r="AO1017"/>
      <c r="AP1017"/>
      <c r="AQ1017" s="22"/>
      <c r="AR1017" s="24"/>
      <c r="AS1017" s="37"/>
      <c r="AT1017" s="37"/>
      <c r="AU1017" s="37"/>
      <c r="AV1017" s="37"/>
      <c r="AW1017" s="37"/>
    </row>
    <row r="1018" spans="1:49" ht="15.75" customHeight="1" x14ac:dyDescent="0.25">
      <c r="A1018" s="1" t="s">
        <v>5228</v>
      </c>
      <c r="B1018" s="21" t="s">
        <v>5241</v>
      </c>
      <c r="C1018" s="1">
        <v>2</v>
      </c>
      <c r="D1018" s="1" t="s">
        <v>5244</v>
      </c>
      <c r="E1018" s="7">
        <v>4664</v>
      </c>
      <c r="F1018" s="7">
        <v>62</v>
      </c>
      <c r="G1018" s="1">
        <v>15.8</v>
      </c>
      <c r="H1018" s="34">
        <f>Tabela1[[#This Row],[PESO UNI]]*Tabela1[[#This Row],[QTE]]</f>
        <v>31.6</v>
      </c>
      <c r="I1018" s="7" t="s">
        <v>5641</v>
      </c>
      <c r="J1018" s="8" t="s">
        <v>3045</v>
      </c>
      <c r="K1018" s="8" t="s">
        <v>4320</v>
      </c>
      <c r="L1018" s="9" t="s">
        <v>2984</v>
      </c>
      <c r="M1018" s="10">
        <v>46251</v>
      </c>
      <c r="N1018" s="8" t="s">
        <v>5105</v>
      </c>
      <c r="O1018" s="12"/>
      <c r="P1018" s="13"/>
      <c r="Q1018" s="14">
        <f>Tabela1[[#This Row],[QTDE/ Fabricação]]-Tabela1[[#This Row],[QTE]]</f>
        <v>-2</v>
      </c>
      <c r="R1018" s="18">
        <f t="shared" si="197"/>
        <v>26.385999999999999</v>
      </c>
      <c r="S1018" s="18">
        <f t="shared" si="198"/>
        <v>11.06</v>
      </c>
      <c r="T1018" s="19">
        <f t="shared" si="199"/>
        <v>-20.54</v>
      </c>
      <c r="U1018" s="16">
        <f>IFERROR(SUMIF('LISTA DE EMBARQUE'!B:B,MICRO!E:E,'LISTA DE EMBARQUE'!G:G),"")</f>
        <v>0</v>
      </c>
      <c r="V1018" s="12" t="str">
        <f>IFERROR(VLOOKUP(Tabela1[[#This Row],[COD.MDE]],'LISTA DE EMBARQUE'!B:L,11,0),"")</f>
        <v/>
      </c>
      <c r="W1018" s="13" t="str">
        <f>IFERROR(VLOOKUP(Tabela1[[#This Row],[COD.MDE]],'LISTA DE EMBARQUE'!B:M,12,0),"")</f>
        <v/>
      </c>
      <c r="X1018" s="14">
        <f>IFERROR(Tabela1[[#This Row],[QIANTIDADE EXPEDIDA]]*Tabela1[[#This Row],[PESO UNI]],"")</f>
        <v>0</v>
      </c>
      <c r="Y1018" s="14">
        <f t="shared" si="200"/>
        <v>-2</v>
      </c>
      <c r="Z1018" s="20">
        <f>Tabela1[[#This Row],[PESO TOTAL]]-Tabela1[[#This Row],[Peso Expedido]]</f>
        <v>31.6</v>
      </c>
      <c r="AA1018" s="17">
        <v>1</v>
      </c>
      <c r="AB1018" s="33"/>
      <c r="AC1018" s="33">
        <v>1</v>
      </c>
      <c r="AD1018" s="33">
        <v>0.7</v>
      </c>
      <c r="AE1018" s="33">
        <v>0.7</v>
      </c>
      <c r="AF1018" s="33">
        <v>0.4</v>
      </c>
      <c r="AG1018" s="33">
        <v>0.35</v>
      </c>
      <c r="AH1018" s="33"/>
      <c r="AI1018" s="33"/>
      <c r="AJ1018"/>
      <c r="AK1018"/>
      <c r="AL1018"/>
      <c r="AM1018"/>
      <c r="AN1018"/>
      <c r="AO1018"/>
      <c r="AP1018"/>
      <c r="AQ1018" s="22"/>
      <c r="AR1018" s="24"/>
      <c r="AS1018" s="37"/>
      <c r="AT1018" s="37"/>
      <c r="AU1018" s="37"/>
      <c r="AV1018" s="37"/>
      <c r="AW1018" s="37"/>
    </row>
    <row r="1019" spans="1:49" ht="15.75" customHeight="1" x14ac:dyDescent="0.25">
      <c r="A1019" s="1" t="s">
        <v>5228</v>
      </c>
      <c r="B1019" s="21" t="s">
        <v>5241</v>
      </c>
      <c r="C1019" s="1">
        <v>4</v>
      </c>
      <c r="D1019" s="1" t="s">
        <v>5245</v>
      </c>
      <c r="E1019" s="7">
        <v>4665</v>
      </c>
      <c r="F1019" s="7">
        <v>62</v>
      </c>
      <c r="G1019" s="1">
        <v>28.4</v>
      </c>
      <c r="H1019" s="34">
        <f>Tabela1[[#This Row],[PESO UNI]]*Tabela1[[#This Row],[QTE]]</f>
        <v>113.6</v>
      </c>
      <c r="I1019" s="7" t="s">
        <v>5641</v>
      </c>
      <c r="J1019" s="8" t="s">
        <v>3045</v>
      </c>
      <c r="K1019" s="8" t="s">
        <v>4320</v>
      </c>
      <c r="L1019" s="9" t="s">
        <v>2984</v>
      </c>
      <c r="M1019" s="10">
        <v>46251</v>
      </c>
      <c r="N1019" s="8" t="s">
        <v>5105</v>
      </c>
      <c r="O1019" s="12"/>
      <c r="P1019" s="13"/>
      <c r="Q1019" s="14">
        <f>Tabela1[[#This Row],[QTDE/ Fabricação]]-Tabela1[[#This Row],[QTE]]</f>
        <v>-4</v>
      </c>
      <c r="R1019" s="18">
        <f t="shared" si="197"/>
        <v>94.855999999999995</v>
      </c>
      <c r="S1019" s="18">
        <f t="shared" si="198"/>
        <v>39.76</v>
      </c>
      <c r="T1019" s="19">
        <f t="shared" si="199"/>
        <v>-73.84</v>
      </c>
      <c r="U1019" s="16">
        <f>IFERROR(SUMIF('LISTA DE EMBARQUE'!B:B,MICRO!E:E,'LISTA DE EMBARQUE'!G:G),"")</f>
        <v>0</v>
      </c>
      <c r="V1019" s="12" t="str">
        <f>IFERROR(VLOOKUP(Tabela1[[#This Row],[COD.MDE]],'LISTA DE EMBARQUE'!B:L,11,0),"")</f>
        <v/>
      </c>
      <c r="W1019" s="13" t="str">
        <f>IFERROR(VLOOKUP(Tabela1[[#This Row],[COD.MDE]],'LISTA DE EMBARQUE'!B:M,12,0),"")</f>
        <v/>
      </c>
      <c r="X1019" s="14">
        <f>IFERROR(Tabela1[[#This Row],[QIANTIDADE EXPEDIDA]]*Tabela1[[#This Row],[PESO UNI]],"")</f>
        <v>0</v>
      </c>
      <c r="Y1019" s="14">
        <f t="shared" si="200"/>
        <v>-4</v>
      </c>
      <c r="Z1019" s="20">
        <f>Tabela1[[#This Row],[PESO TOTAL]]-Tabela1[[#This Row],[Peso Expedido]]</f>
        <v>113.6</v>
      </c>
      <c r="AA1019" s="17">
        <v>1</v>
      </c>
      <c r="AB1019" s="33"/>
      <c r="AC1019" s="33">
        <v>1</v>
      </c>
      <c r="AD1019" s="33">
        <v>0.7</v>
      </c>
      <c r="AE1019" s="33">
        <v>0.7</v>
      </c>
      <c r="AF1019" s="33">
        <v>0.4</v>
      </c>
      <c r="AG1019" s="33">
        <v>0.35</v>
      </c>
      <c r="AH1019" s="33"/>
      <c r="AI1019" s="33"/>
      <c r="AJ1019"/>
      <c r="AK1019"/>
      <c r="AL1019"/>
      <c r="AM1019"/>
      <c r="AN1019"/>
      <c r="AO1019"/>
      <c r="AP1019"/>
      <c r="AQ1019" s="22"/>
      <c r="AR1019" s="24"/>
      <c r="AS1019" s="37"/>
      <c r="AT1019" s="37"/>
      <c r="AU1019" s="37"/>
      <c r="AV1019" s="37"/>
      <c r="AW1019" s="37"/>
    </row>
    <row r="1020" spans="1:49" ht="15.75" customHeight="1" x14ac:dyDescent="0.25">
      <c r="A1020" s="1" t="s">
        <v>5228</v>
      </c>
      <c r="B1020" s="21" t="s">
        <v>5241</v>
      </c>
      <c r="C1020" s="1">
        <v>4</v>
      </c>
      <c r="D1020" s="1" t="s">
        <v>5246</v>
      </c>
      <c r="E1020" s="7">
        <v>4666</v>
      </c>
      <c r="F1020" s="7">
        <v>62</v>
      </c>
      <c r="G1020" s="1">
        <v>29.4</v>
      </c>
      <c r="H1020" s="34">
        <f>Tabela1[[#This Row],[PESO UNI]]*Tabela1[[#This Row],[QTE]]</f>
        <v>117.6</v>
      </c>
      <c r="I1020" s="7" t="s">
        <v>5641</v>
      </c>
      <c r="J1020" s="8" t="s">
        <v>3045</v>
      </c>
      <c r="K1020" s="8" t="s">
        <v>4320</v>
      </c>
      <c r="L1020" s="9" t="s">
        <v>2984</v>
      </c>
      <c r="M1020" s="10">
        <v>46251</v>
      </c>
      <c r="N1020" s="8" t="s">
        <v>5105</v>
      </c>
      <c r="O1020" s="12"/>
      <c r="P1020" s="13"/>
      <c r="Q1020" s="14">
        <f>Tabela1[[#This Row],[QTDE/ Fabricação]]-Tabela1[[#This Row],[QTE]]</f>
        <v>-4</v>
      </c>
      <c r="R1020" s="18">
        <f t="shared" si="197"/>
        <v>98.195999999999998</v>
      </c>
      <c r="S1020" s="18">
        <f t="shared" si="198"/>
        <v>41.16</v>
      </c>
      <c r="T1020" s="19">
        <f t="shared" si="199"/>
        <v>-76.44</v>
      </c>
      <c r="U1020" s="16">
        <f>IFERROR(SUMIF('LISTA DE EMBARQUE'!B:B,MICRO!E:E,'LISTA DE EMBARQUE'!G:G),"")</f>
        <v>0</v>
      </c>
      <c r="V1020" s="12" t="str">
        <f>IFERROR(VLOOKUP(Tabela1[[#This Row],[COD.MDE]],'LISTA DE EMBARQUE'!B:L,11,0),"")</f>
        <v/>
      </c>
      <c r="W1020" s="13" t="str">
        <f>IFERROR(VLOOKUP(Tabela1[[#This Row],[COD.MDE]],'LISTA DE EMBARQUE'!B:M,12,0),"")</f>
        <v/>
      </c>
      <c r="X1020" s="14">
        <f>IFERROR(Tabela1[[#This Row],[QIANTIDADE EXPEDIDA]]*Tabela1[[#This Row],[PESO UNI]],"")</f>
        <v>0</v>
      </c>
      <c r="Y1020" s="14">
        <f t="shared" si="200"/>
        <v>-4</v>
      </c>
      <c r="Z1020" s="20">
        <f>Tabela1[[#This Row],[PESO TOTAL]]-Tabela1[[#This Row],[Peso Expedido]]</f>
        <v>117.6</v>
      </c>
      <c r="AA1020" s="17">
        <v>1</v>
      </c>
      <c r="AB1020" s="33"/>
      <c r="AC1020" s="33">
        <v>1</v>
      </c>
      <c r="AD1020" s="33">
        <v>0.7</v>
      </c>
      <c r="AE1020" s="33">
        <v>0.7</v>
      </c>
      <c r="AF1020" s="33">
        <v>0.4</v>
      </c>
      <c r="AG1020" s="33">
        <v>0.35</v>
      </c>
      <c r="AH1020" s="33"/>
      <c r="AI1020" s="33"/>
      <c r="AJ1020"/>
      <c r="AK1020"/>
      <c r="AL1020"/>
      <c r="AM1020"/>
      <c r="AN1020"/>
      <c r="AO1020"/>
      <c r="AP1020"/>
      <c r="AQ1020" s="22"/>
      <c r="AR1020" s="24"/>
      <c r="AS1020" s="37"/>
      <c r="AT1020" s="37"/>
      <c r="AU1020" s="37"/>
      <c r="AV1020" s="37"/>
      <c r="AW1020" s="37"/>
    </row>
    <row r="1021" spans="1:49" ht="15.75" customHeight="1" x14ac:dyDescent="0.25">
      <c r="A1021" s="1" t="s">
        <v>5228</v>
      </c>
      <c r="B1021" s="21" t="s">
        <v>5241</v>
      </c>
      <c r="C1021" s="1">
        <v>5</v>
      </c>
      <c r="D1021" s="1" t="s">
        <v>5247</v>
      </c>
      <c r="E1021" s="7">
        <v>4667</v>
      </c>
      <c r="F1021" s="7">
        <v>62</v>
      </c>
      <c r="G1021" s="1">
        <v>28.9</v>
      </c>
      <c r="H1021" s="34">
        <f>Tabela1[[#This Row],[PESO UNI]]*Tabela1[[#This Row],[QTE]]</f>
        <v>144.5</v>
      </c>
      <c r="I1021" s="7" t="s">
        <v>5641</v>
      </c>
      <c r="J1021" s="8" t="s">
        <v>3045</v>
      </c>
      <c r="K1021" s="8" t="s">
        <v>4320</v>
      </c>
      <c r="L1021" s="9" t="s">
        <v>2984</v>
      </c>
      <c r="M1021" s="10">
        <v>46251</v>
      </c>
      <c r="N1021" s="8" t="s">
        <v>5105</v>
      </c>
      <c r="O1021" s="12"/>
      <c r="P1021" s="13"/>
      <c r="Q1021" s="14">
        <f>Tabela1[[#This Row],[QTDE/ Fabricação]]-Tabela1[[#This Row],[QTE]]</f>
        <v>-5</v>
      </c>
      <c r="R1021" s="18">
        <f t="shared" si="197"/>
        <v>120.6575</v>
      </c>
      <c r="S1021" s="18">
        <f t="shared" si="198"/>
        <v>50.574999999999996</v>
      </c>
      <c r="T1021" s="19">
        <f t="shared" si="199"/>
        <v>-93.925000000000011</v>
      </c>
      <c r="U1021" s="16">
        <f>IFERROR(SUMIF('LISTA DE EMBARQUE'!B:B,MICRO!E:E,'LISTA DE EMBARQUE'!G:G),"")</f>
        <v>0</v>
      </c>
      <c r="V1021" s="12" t="str">
        <f>IFERROR(VLOOKUP(Tabela1[[#This Row],[COD.MDE]],'LISTA DE EMBARQUE'!B:L,11,0),"")</f>
        <v/>
      </c>
      <c r="W1021" s="13" t="str">
        <f>IFERROR(VLOOKUP(Tabela1[[#This Row],[COD.MDE]],'LISTA DE EMBARQUE'!B:M,12,0),"")</f>
        <v/>
      </c>
      <c r="X1021" s="14">
        <f>IFERROR(Tabela1[[#This Row],[QIANTIDADE EXPEDIDA]]*Tabela1[[#This Row],[PESO UNI]],"")</f>
        <v>0</v>
      </c>
      <c r="Y1021" s="14">
        <f t="shared" si="200"/>
        <v>-5</v>
      </c>
      <c r="Z1021" s="20">
        <f>Tabela1[[#This Row],[PESO TOTAL]]-Tabela1[[#This Row],[Peso Expedido]]</f>
        <v>144.5</v>
      </c>
      <c r="AA1021" s="17">
        <v>1</v>
      </c>
      <c r="AB1021" s="33"/>
      <c r="AC1021" s="33">
        <v>1</v>
      </c>
      <c r="AD1021" s="33">
        <v>0.7</v>
      </c>
      <c r="AE1021" s="33">
        <v>0.7</v>
      </c>
      <c r="AF1021" s="33">
        <v>0.4</v>
      </c>
      <c r="AG1021" s="33">
        <v>0.35</v>
      </c>
      <c r="AH1021" s="33"/>
      <c r="AI1021" s="33"/>
      <c r="AJ1021"/>
      <c r="AK1021"/>
      <c r="AL1021"/>
      <c r="AM1021"/>
      <c r="AN1021"/>
      <c r="AO1021"/>
      <c r="AP1021"/>
      <c r="AQ1021" s="22"/>
      <c r="AR1021" s="24"/>
      <c r="AS1021" s="37"/>
      <c r="AT1021" s="37"/>
      <c r="AU1021" s="37"/>
      <c r="AV1021" s="37"/>
      <c r="AW1021" s="37"/>
    </row>
    <row r="1022" spans="1:49" ht="15.75" customHeight="1" x14ac:dyDescent="0.25">
      <c r="A1022" s="1" t="s">
        <v>5228</v>
      </c>
      <c r="B1022" s="21" t="s">
        <v>5241</v>
      </c>
      <c r="C1022" s="1">
        <v>8</v>
      </c>
      <c r="D1022" s="1" t="s">
        <v>5248</v>
      </c>
      <c r="E1022" s="7">
        <v>4668</v>
      </c>
      <c r="F1022" s="7">
        <v>62</v>
      </c>
      <c r="G1022" s="1">
        <v>0.2</v>
      </c>
      <c r="H1022" s="34">
        <f>Tabela1[[#This Row],[PESO UNI]]*Tabela1[[#This Row],[QTE]]</f>
        <v>1.6</v>
      </c>
      <c r="I1022" s="7" t="s">
        <v>5641</v>
      </c>
      <c r="J1022" s="8" t="s">
        <v>3045</v>
      </c>
      <c r="K1022" s="8" t="s">
        <v>4320</v>
      </c>
      <c r="L1022" s="9" t="s">
        <v>2984</v>
      </c>
      <c r="M1022" s="10">
        <v>46251</v>
      </c>
      <c r="N1022" s="8" t="s">
        <v>5105</v>
      </c>
      <c r="O1022" s="12"/>
      <c r="P1022" s="13"/>
      <c r="Q1022" s="14">
        <f>Tabela1[[#This Row],[QTDE/ Fabricação]]-Tabela1[[#This Row],[QTE]]</f>
        <v>-8</v>
      </c>
      <c r="R1022" s="18">
        <f t="shared" si="197"/>
        <v>1.3360000000000001</v>
      </c>
      <c r="S1022" s="18">
        <f t="shared" si="198"/>
        <v>0.55999999999999994</v>
      </c>
      <c r="T1022" s="19">
        <f t="shared" si="199"/>
        <v>-1.04</v>
      </c>
      <c r="U1022" s="16">
        <f>IFERROR(SUMIF('LISTA DE EMBARQUE'!B:B,MICRO!E:E,'LISTA DE EMBARQUE'!G:G),"")</f>
        <v>0</v>
      </c>
      <c r="V1022" s="12" t="str">
        <f>IFERROR(VLOOKUP(Tabela1[[#This Row],[COD.MDE]],'LISTA DE EMBARQUE'!B:L,11,0),"")</f>
        <v/>
      </c>
      <c r="W1022" s="13" t="str">
        <f>IFERROR(VLOOKUP(Tabela1[[#This Row],[COD.MDE]],'LISTA DE EMBARQUE'!B:M,12,0),"")</f>
        <v/>
      </c>
      <c r="X1022" s="14">
        <f>IFERROR(Tabela1[[#This Row],[QIANTIDADE EXPEDIDA]]*Tabela1[[#This Row],[PESO UNI]],"")</f>
        <v>0</v>
      </c>
      <c r="Y1022" s="14">
        <f t="shared" si="200"/>
        <v>-8</v>
      </c>
      <c r="Z1022" s="20">
        <f>Tabela1[[#This Row],[PESO TOTAL]]-Tabela1[[#This Row],[Peso Expedido]]</f>
        <v>1.6</v>
      </c>
      <c r="AA1022" s="17">
        <v>1</v>
      </c>
      <c r="AB1022" s="33"/>
      <c r="AC1022" s="33">
        <v>1</v>
      </c>
      <c r="AD1022" s="33">
        <v>0.7</v>
      </c>
      <c r="AE1022" s="33">
        <v>0.7</v>
      </c>
      <c r="AF1022" s="33">
        <v>0.4</v>
      </c>
      <c r="AG1022" s="33">
        <v>0.35</v>
      </c>
      <c r="AH1022" s="33"/>
      <c r="AI1022" s="33"/>
      <c r="AJ1022"/>
      <c r="AK1022"/>
      <c r="AL1022"/>
      <c r="AM1022"/>
      <c r="AN1022"/>
      <c r="AO1022"/>
      <c r="AP1022"/>
      <c r="AQ1022" s="22"/>
      <c r="AR1022" s="24"/>
      <c r="AS1022" s="37"/>
      <c r="AT1022" s="37"/>
      <c r="AU1022" s="37"/>
      <c r="AV1022" s="37"/>
      <c r="AW1022" s="37"/>
    </row>
    <row r="1023" spans="1:49" ht="15.75" customHeight="1" x14ac:dyDescent="0.25">
      <c r="A1023" s="1" t="s">
        <v>76</v>
      </c>
      <c r="B1023" s="21"/>
      <c r="C1023" s="1">
        <v>40</v>
      </c>
      <c r="D1023" s="1" t="s">
        <v>5249</v>
      </c>
      <c r="E1023" s="7">
        <v>4669</v>
      </c>
      <c r="F1023" s="7">
        <v>1</v>
      </c>
      <c r="G1023" s="1">
        <v>6</v>
      </c>
      <c r="H1023" s="34">
        <f>Tabela1[[#This Row],[PESO UNI]]*Tabela1[[#This Row],[QTE]]</f>
        <v>240</v>
      </c>
      <c r="I1023" s="7" t="s">
        <v>5250</v>
      </c>
      <c r="J1023" s="8" t="s">
        <v>5251</v>
      </c>
      <c r="K1023" s="8" t="s">
        <v>23</v>
      </c>
      <c r="L1023" s="9" t="s">
        <v>5252</v>
      </c>
      <c r="M1023" s="10">
        <v>46252</v>
      </c>
      <c r="N1023" s="8" t="s">
        <v>38</v>
      </c>
      <c r="O1023" s="12"/>
      <c r="P1023" s="13"/>
      <c r="Q1023" s="14">
        <f>Tabela1[[#This Row],[QTDE/ Fabricação]]-Tabela1[[#This Row],[QTE]]</f>
        <v>-40</v>
      </c>
      <c r="R1023" s="18">
        <f t="shared" si="197"/>
        <v>0</v>
      </c>
      <c r="S1023" s="18">
        <f t="shared" si="198"/>
        <v>0</v>
      </c>
      <c r="T1023" s="19">
        <f t="shared" si="199"/>
        <v>-240</v>
      </c>
      <c r="U1023" s="16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IFERROR(VLOOKUP(Tabela1[[#This Row],[COD.MDE]],'LISTA DE EMBARQUE'!B:M,12,0),"")</f>
        <v/>
      </c>
      <c r="X1023" s="14">
        <f>IFERROR(Tabela1[[#This Row],[QIANTIDADE EXPEDIDA]]*Tabela1[[#This Row],[PESO UNI]],"")</f>
        <v>0</v>
      </c>
      <c r="Y1023" s="14">
        <f t="shared" si="200"/>
        <v>-40</v>
      </c>
      <c r="Z1023" s="20">
        <f>Tabela1[[#This Row],[PESO TOTAL]]-Tabela1[[#This Row],[Peso Expedido]]</f>
        <v>240</v>
      </c>
      <c r="AA1023" s="17"/>
      <c r="AB1023" s="33"/>
      <c r="AC1023" s="33"/>
      <c r="AD1023" s="33"/>
      <c r="AE1023" s="33"/>
      <c r="AF1023" s="33"/>
      <c r="AG1023" s="33"/>
      <c r="AH1023" s="33"/>
      <c r="AI1023" s="33"/>
      <c r="AJ1023"/>
      <c r="AK1023"/>
      <c r="AL1023"/>
      <c r="AM1023"/>
      <c r="AN1023"/>
      <c r="AO1023"/>
      <c r="AP1023"/>
      <c r="AQ1023" s="22"/>
      <c r="AR1023" s="24"/>
      <c r="AS1023" s="37"/>
      <c r="AT1023" s="37"/>
      <c r="AU1023" s="37"/>
      <c r="AV1023" s="37"/>
      <c r="AW1023" s="37"/>
    </row>
    <row r="1024" spans="1:49" ht="15.75" customHeight="1" x14ac:dyDescent="0.25">
      <c r="A1024" s="1" t="s">
        <v>5253</v>
      </c>
      <c r="B1024" s="21"/>
      <c r="C1024" s="1">
        <v>126</v>
      </c>
      <c r="D1024" s="1" t="s">
        <v>5254</v>
      </c>
      <c r="E1024" s="7">
        <v>4670</v>
      </c>
      <c r="F1024" s="7">
        <v>3</v>
      </c>
      <c r="G1024" s="1">
        <v>97.6</v>
      </c>
      <c r="H1024" s="34">
        <f>Tabela1[[#This Row],[PESO UNI]]*Tabela1[[#This Row],[QTE]]</f>
        <v>12297.599999999999</v>
      </c>
      <c r="I1024" s="7" t="s">
        <v>5580</v>
      </c>
      <c r="J1024" s="8" t="s">
        <v>5255</v>
      </c>
      <c r="K1024" s="8" t="s">
        <v>4320</v>
      </c>
      <c r="L1024" s="9" t="s">
        <v>5256</v>
      </c>
      <c r="M1024" s="10">
        <v>46254</v>
      </c>
      <c r="N1024" s="8" t="s">
        <v>38</v>
      </c>
      <c r="O1024" s="12"/>
      <c r="P1024" s="13"/>
      <c r="Q1024" s="14">
        <f>Tabela1[[#This Row],[QTDE/ Fabricação]]-Tabela1[[#This Row],[QTE]]</f>
        <v>-126</v>
      </c>
      <c r="R1024" s="18">
        <f t="shared" si="197"/>
        <v>0</v>
      </c>
      <c r="S1024" s="18">
        <f t="shared" si="198"/>
        <v>0</v>
      </c>
      <c r="T1024" s="19">
        <f t="shared" si="199"/>
        <v>-12297.599999999999</v>
      </c>
      <c r="U1024" s="16">
        <f>IFERROR(SUMIF('LISTA DE EMBARQUE'!B:B,MICRO!E:E,'LISTA DE EMBARQUE'!G:G),"")</f>
        <v>0</v>
      </c>
      <c r="V1024" s="12" t="str">
        <f>IFERROR(VLOOKUP(Tabela1[[#This Row],[COD.MDE]],'LISTA DE EMBARQUE'!B:L,11,0),"")</f>
        <v/>
      </c>
      <c r="W1024" s="13" t="str">
        <f>IFERROR(VLOOKUP(Tabela1[[#This Row],[COD.MDE]],'LISTA DE EMBARQUE'!B:M,12,0),"")</f>
        <v/>
      </c>
      <c r="X1024" s="14">
        <f>IFERROR(Tabela1[[#This Row],[QIANTIDADE EXPEDIDA]]*Tabela1[[#This Row],[PESO UNI]],"")</f>
        <v>0</v>
      </c>
      <c r="Y1024" s="14">
        <f t="shared" si="200"/>
        <v>-126</v>
      </c>
      <c r="Z1024" s="20">
        <f>Tabela1[[#This Row],[PESO TOTAL]]-Tabela1[[#This Row],[Peso Expedido]]</f>
        <v>12297.599999999999</v>
      </c>
      <c r="AA1024" s="17"/>
      <c r="AB1024" s="33"/>
      <c r="AC1024" s="33"/>
      <c r="AD1024" s="33"/>
      <c r="AE1024" s="33"/>
      <c r="AF1024" s="33"/>
      <c r="AG1024" s="33"/>
      <c r="AH1024" s="33"/>
      <c r="AI1024" s="33"/>
      <c r="AJ1024"/>
      <c r="AK1024"/>
      <c r="AL1024"/>
      <c r="AM1024"/>
      <c r="AN1024"/>
      <c r="AO1024"/>
      <c r="AP1024"/>
      <c r="AQ1024" s="22"/>
      <c r="AR1024" s="24"/>
      <c r="AS1024" s="37"/>
      <c r="AT1024" s="37"/>
      <c r="AU1024" s="37"/>
      <c r="AV1024" s="37"/>
      <c r="AW1024" s="37"/>
    </row>
    <row r="1025" spans="1:49" ht="15.75" customHeight="1" x14ac:dyDescent="0.25">
      <c r="A1025" s="1" t="s">
        <v>5257</v>
      </c>
      <c r="B1025" s="21"/>
      <c r="C1025" s="1">
        <v>6</v>
      </c>
      <c r="D1025" s="1" t="s">
        <v>5258</v>
      </c>
      <c r="E1025" s="7">
        <v>4671</v>
      </c>
      <c r="F1025" s="7">
        <v>3</v>
      </c>
      <c r="G1025" s="1">
        <v>289.7</v>
      </c>
      <c r="H1025" s="34">
        <f>Tabela1[[#This Row],[PESO UNI]]*Tabela1[[#This Row],[QTE]]</f>
        <v>1738.1999999999998</v>
      </c>
      <c r="I1025" s="7" t="s">
        <v>5580</v>
      </c>
      <c r="J1025" s="8" t="s">
        <v>5255</v>
      </c>
      <c r="K1025" s="8" t="s">
        <v>4320</v>
      </c>
      <c r="L1025" s="9" t="s">
        <v>5256</v>
      </c>
      <c r="M1025" s="10">
        <v>46254</v>
      </c>
      <c r="N1025" s="8" t="s">
        <v>38</v>
      </c>
      <c r="O1025" s="12"/>
      <c r="P1025" s="13"/>
      <c r="Q1025" s="14">
        <f>Tabela1[[#This Row],[QTDE/ Fabricação]]-Tabela1[[#This Row],[QTE]]</f>
        <v>-6</v>
      </c>
      <c r="R1025" s="18">
        <f t="shared" si="197"/>
        <v>0</v>
      </c>
      <c r="S1025" s="18">
        <f t="shared" si="198"/>
        <v>0</v>
      </c>
      <c r="T1025" s="19">
        <f t="shared" si="199"/>
        <v>-1738.1999999999998</v>
      </c>
      <c r="U1025" s="16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IFERROR(VLOOKUP(Tabela1[[#This Row],[COD.MDE]],'LISTA DE EMBARQUE'!B:M,12,0),"")</f>
        <v/>
      </c>
      <c r="X1025" s="14">
        <f>IFERROR(Tabela1[[#This Row],[QIANTIDADE EXPEDIDA]]*Tabela1[[#This Row],[PESO UNI]],"")</f>
        <v>0</v>
      </c>
      <c r="Y1025" s="14">
        <f t="shared" si="200"/>
        <v>-6</v>
      </c>
      <c r="Z1025" s="20">
        <f>Tabela1[[#This Row],[PESO TOTAL]]-Tabela1[[#This Row],[Peso Expedido]]</f>
        <v>1738.1999999999998</v>
      </c>
      <c r="AA1025" s="17"/>
      <c r="AB1025" s="33"/>
      <c r="AC1025" s="33"/>
      <c r="AD1025" s="33"/>
      <c r="AE1025" s="33"/>
      <c r="AF1025" s="33"/>
      <c r="AG1025" s="33"/>
      <c r="AH1025" s="33"/>
      <c r="AI1025" s="33"/>
      <c r="AJ1025"/>
      <c r="AK1025"/>
      <c r="AL1025"/>
      <c r="AM1025"/>
      <c r="AN1025"/>
      <c r="AO1025"/>
      <c r="AP1025"/>
      <c r="AQ1025" s="22"/>
      <c r="AR1025" s="24"/>
      <c r="AS1025" s="37"/>
      <c r="AT1025" s="37"/>
      <c r="AU1025" s="37"/>
      <c r="AV1025" s="37"/>
      <c r="AW1025" s="37"/>
    </row>
    <row r="1026" spans="1:49" ht="15.75" customHeight="1" x14ac:dyDescent="0.25">
      <c r="A1026" s="1" t="s">
        <v>5259</v>
      </c>
      <c r="B1026" s="21"/>
      <c r="C1026" s="1">
        <v>2</v>
      </c>
      <c r="D1026" s="1" t="s">
        <v>5260</v>
      </c>
      <c r="E1026" s="7">
        <v>4672</v>
      </c>
      <c r="F1026" s="7">
        <v>3</v>
      </c>
      <c r="G1026" s="1">
        <v>289.7</v>
      </c>
      <c r="H1026" s="34">
        <f>Tabela1[[#This Row],[PESO UNI]]*Tabela1[[#This Row],[QTE]]</f>
        <v>579.4</v>
      </c>
      <c r="I1026" s="7" t="s">
        <v>5580</v>
      </c>
      <c r="J1026" s="8" t="s">
        <v>5255</v>
      </c>
      <c r="K1026" s="8" t="s">
        <v>4320</v>
      </c>
      <c r="L1026" s="9" t="s">
        <v>5256</v>
      </c>
      <c r="M1026" s="10">
        <v>46254</v>
      </c>
      <c r="N1026" s="8" t="s">
        <v>38</v>
      </c>
      <c r="O1026" s="12"/>
      <c r="P1026" s="13"/>
      <c r="Q1026" s="14">
        <f>Tabela1[[#This Row],[QTDE/ Fabricação]]-Tabela1[[#This Row],[QTE]]</f>
        <v>-2</v>
      </c>
      <c r="R1026" s="18">
        <f t="shared" ref="R1026:R1032" si="201">IFERROR(H1026*((AA1026*0.25)+(AC1026*0.25)+(AD1026*0.225)+(AE1026*0.225)+(AF1026*0.05)),"")</f>
        <v>0</v>
      </c>
      <c r="S1026" s="18">
        <f t="shared" ref="S1026:S1032" si="202">IFERROR(H1026*AG1026,"")</f>
        <v>0</v>
      </c>
      <c r="T1026" s="19">
        <f t="shared" ref="T1026:T1032" si="203">IFERROR(S1026-H1026,"")</f>
        <v>-579.4</v>
      </c>
      <c r="U1026" s="16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IFERROR(VLOOKUP(Tabela1[[#This Row],[COD.MDE]],'LISTA DE EMBARQUE'!B:M,12,0),"")</f>
        <v/>
      </c>
      <c r="X1026" s="14">
        <f>IFERROR(Tabela1[[#This Row],[QIANTIDADE EXPEDIDA]]*Tabela1[[#This Row],[PESO UNI]],"")</f>
        <v>0</v>
      </c>
      <c r="Y1026" s="14">
        <f t="shared" ref="Y1026:Y1032" si="204">U1026-C1026</f>
        <v>-2</v>
      </c>
      <c r="Z1026" s="20">
        <f>Tabela1[[#This Row],[PESO TOTAL]]-Tabela1[[#This Row],[Peso Expedido]]</f>
        <v>579.4</v>
      </c>
      <c r="AA1026" s="17"/>
      <c r="AB1026" s="33"/>
      <c r="AC1026" s="33"/>
      <c r="AD1026" s="33"/>
      <c r="AE1026" s="33"/>
      <c r="AF1026" s="33"/>
      <c r="AG1026" s="33"/>
      <c r="AH1026" s="33"/>
      <c r="AI1026" s="33"/>
      <c r="AJ1026"/>
      <c r="AK1026"/>
      <c r="AL1026"/>
      <c r="AM1026"/>
      <c r="AN1026"/>
      <c r="AO1026"/>
      <c r="AP1026"/>
      <c r="AQ1026" s="22"/>
      <c r="AR1026" s="24"/>
      <c r="AS1026" s="37"/>
      <c r="AT1026" s="37"/>
      <c r="AU1026" s="37"/>
      <c r="AV1026" s="37"/>
      <c r="AW1026" s="37"/>
    </row>
    <row r="1027" spans="1:49" ht="15.75" customHeight="1" x14ac:dyDescent="0.25">
      <c r="A1027" s="1" t="s">
        <v>5261</v>
      </c>
      <c r="B1027" s="21"/>
      <c r="C1027" s="1">
        <v>1</v>
      </c>
      <c r="D1027" s="1" t="s">
        <v>5262</v>
      </c>
      <c r="E1027" s="7">
        <v>4673</v>
      </c>
      <c r="F1027" s="7">
        <v>3</v>
      </c>
      <c r="G1027" s="1">
        <v>588</v>
      </c>
      <c r="H1027" s="34">
        <f>Tabela1[[#This Row],[PESO UNI]]*Tabela1[[#This Row],[QTE]]</f>
        <v>588</v>
      </c>
      <c r="I1027" s="7" t="s">
        <v>5580</v>
      </c>
      <c r="J1027" s="8" t="s">
        <v>5255</v>
      </c>
      <c r="K1027" s="8" t="s">
        <v>4320</v>
      </c>
      <c r="L1027" s="9" t="s">
        <v>5256</v>
      </c>
      <c r="M1027" s="10">
        <v>46254</v>
      </c>
      <c r="N1027" s="8" t="s">
        <v>38</v>
      </c>
      <c r="O1027" s="12"/>
      <c r="P1027" s="13"/>
      <c r="Q1027" s="14">
        <f>Tabela1[[#This Row],[QTDE/ Fabricação]]-Tabela1[[#This Row],[QTE]]</f>
        <v>-1</v>
      </c>
      <c r="R1027" s="18">
        <f t="shared" si="201"/>
        <v>0</v>
      </c>
      <c r="S1027" s="18">
        <f t="shared" si="202"/>
        <v>0</v>
      </c>
      <c r="T1027" s="19">
        <f t="shared" si="203"/>
        <v>-588</v>
      </c>
      <c r="U1027" s="16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IFERROR(VLOOKUP(Tabela1[[#This Row],[COD.MDE]],'LISTA DE EMBARQUE'!B:M,12,0),"")</f>
        <v/>
      </c>
      <c r="X1027" s="14">
        <f>IFERROR(Tabela1[[#This Row],[QIANTIDADE EXPEDIDA]]*Tabela1[[#This Row],[PESO UNI]],"")</f>
        <v>0</v>
      </c>
      <c r="Y1027" s="14">
        <f t="shared" si="204"/>
        <v>-1</v>
      </c>
      <c r="Z1027" s="20">
        <f>Tabela1[[#This Row],[PESO TOTAL]]-Tabela1[[#This Row],[Peso Expedido]]</f>
        <v>588</v>
      </c>
      <c r="AA1027" s="17"/>
      <c r="AB1027" s="33"/>
      <c r="AC1027" s="33"/>
      <c r="AD1027" s="33"/>
      <c r="AE1027" s="33"/>
      <c r="AF1027" s="33"/>
      <c r="AG1027" s="33"/>
      <c r="AH1027" s="33"/>
      <c r="AI1027" s="33"/>
      <c r="AJ1027"/>
      <c r="AK1027"/>
      <c r="AL1027"/>
      <c r="AM1027"/>
      <c r="AN1027"/>
      <c r="AO1027"/>
      <c r="AP1027"/>
      <c r="AQ1027" s="22"/>
      <c r="AR1027" s="24"/>
      <c r="AS1027" s="37"/>
      <c r="AT1027" s="37"/>
      <c r="AU1027" s="37"/>
      <c r="AV1027" s="37"/>
      <c r="AW1027" s="37"/>
    </row>
    <row r="1028" spans="1:49" ht="15.75" customHeight="1" x14ac:dyDescent="0.25">
      <c r="A1028" s="1" t="s">
        <v>5263</v>
      </c>
      <c r="B1028" s="21"/>
      <c r="C1028" s="1">
        <v>1</v>
      </c>
      <c r="D1028" s="1" t="s">
        <v>5265</v>
      </c>
      <c r="E1028" s="7">
        <v>4674</v>
      </c>
      <c r="F1028" s="7">
        <v>3</v>
      </c>
      <c r="G1028" s="1">
        <v>743</v>
      </c>
      <c r="H1028" s="34">
        <f>Tabela1[[#This Row],[PESO UNI]]*Tabela1[[#This Row],[QTE]]</f>
        <v>743</v>
      </c>
      <c r="I1028" s="7" t="s">
        <v>5580</v>
      </c>
      <c r="J1028" s="8" t="s">
        <v>5255</v>
      </c>
      <c r="K1028" s="8" t="s">
        <v>4320</v>
      </c>
      <c r="L1028" s="9" t="s">
        <v>5256</v>
      </c>
      <c r="M1028" s="10">
        <v>46254</v>
      </c>
      <c r="N1028" s="8" t="s">
        <v>38</v>
      </c>
      <c r="O1028" s="12"/>
      <c r="P1028" s="13"/>
      <c r="Q1028" s="14">
        <f>Tabela1[[#This Row],[QTDE/ Fabricação]]-Tabela1[[#This Row],[QTE]]</f>
        <v>-1</v>
      </c>
      <c r="R1028" s="18">
        <f t="shared" si="201"/>
        <v>0</v>
      </c>
      <c r="S1028" s="18">
        <f t="shared" si="202"/>
        <v>0</v>
      </c>
      <c r="T1028" s="19">
        <f t="shared" si="203"/>
        <v>-743</v>
      </c>
      <c r="U1028" s="16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IFERROR(VLOOKUP(Tabela1[[#This Row],[COD.MDE]],'LISTA DE EMBARQUE'!B:M,12,0),"")</f>
        <v/>
      </c>
      <c r="X1028" s="14">
        <f>IFERROR(Tabela1[[#This Row],[QIANTIDADE EXPEDIDA]]*Tabela1[[#This Row],[PESO UNI]],"")</f>
        <v>0</v>
      </c>
      <c r="Y1028" s="14">
        <f t="shared" si="204"/>
        <v>-1</v>
      </c>
      <c r="Z1028" s="20">
        <f>Tabela1[[#This Row],[PESO TOTAL]]-Tabela1[[#This Row],[Peso Expedido]]</f>
        <v>743</v>
      </c>
      <c r="AA1028" s="17"/>
      <c r="AB1028" s="33"/>
      <c r="AC1028" s="33"/>
      <c r="AD1028" s="33"/>
      <c r="AE1028" s="33"/>
      <c r="AF1028" s="33"/>
      <c r="AG1028" s="33"/>
      <c r="AH1028" s="33"/>
      <c r="AI1028" s="33"/>
      <c r="AJ1028"/>
      <c r="AK1028"/>
      <c r="AL1028"/>
      <c r="AM1028"/>
      <c r="AN1028"/>
      <c r="AO1028"/>
      <c r="AP1028"/>
      <c r="AQ1028" s="22"/>
      <c r="AR1028" s="24"/>
      <c r="AS1028" s="37"/>
      <c r="AT1028" s="37"/>
      <c r="AU1028" s="37"/>
      <c r="AV1028" s="37"/>
      <c r="AW1028" s="37"/>
    </row>
    <row r="1029" spans="1:49" ht="15.75" customHeight="1" x14ac:dyDescent="0.25">
      <c r="A1029" s="1" t="s">
        <v>5264</v>
      </c>
      <c r="B1029" s="21"/>
      <c r="C1029" s="1">
        <v>6</v>
      </c>
      <c r="D1029" s="1" t="s">
        <v>5266</v>
      </c>
      <c r="E1029" s="7">
        <v>4675</v>
      </c>
      <c r="F1029" s="7">
        <v>3</v>
      </c>
      <c r="G1029" s="1">
        <v>503.8</v>
      </c>
      <c r="H1029" s="34">
        <f>Tabela1[[#This Row],[PESO UNI]]*Tabela1[[#This Row],[QTE]]</f>
        <v>3022.8</v>
      </c>
      <c r="I1029" s="7" t="s">
        <v>5580</v>
      </c>
      <c r="J1029" s="8" t="s">
        <v>5255</v>
      </c>
      <c r="K1029" s="8" t="s">
        <v>4320</v>
      </c>
      <c r="L1029" s="9" t="s">
        <v>5256</v>
      </c>
      <c r="M1029" s="10">
        <v>46254</v>
      </c>
      <c r="N1029" s="8" t="s">
        <v>38</v>
      </c>
      <c r="O1029" s="12"/>
      <c r="P1029" s="13"/>
      <c r="Q1029" s="14">
        <f>Tabela1[[#This Row],[QTDE/ Fabricação]]-Tabela1[[#This Row],[QTE]]</f>
        <v>-6</v>
      </c>
      <c r="R1029" s="18">
        <f t="shared" si="201"/>
        <v>0</v>
      </c>
      <c r="S1029" s="18">
        <f t="shared" si="202"/>
        <v>0</v>
      </c>
      <c r="T1029" s="19">
        <f t="shared" si="203"/>
        <v>-3022.8</v>
      </c>
      <c r="U1029" s="16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IFERROR(VLOOKUP(Tabela1[[#This Row],[COD.MDE]],'LISTA DE EMBARQUE'!B:M,12,0),"")</f>
        <v/>
      </c>
      <c r="X1029" s="14">
        <f>IFERROR(Tabela1[[#This Row],[QIANTIDADE EXPEDIDA]]*Tabela1[[#This Row],[PESO UNI]],"")</f>
        <v>0</v>
      </c>
      <c r="Y1029" s="14">
        <f t="shared" si="204"/>
        <v>-6</v>
      </c>
      <c r="Z1029" s="20">
        <f>Tabela1[[#This Row],[PESO TOTAL]]-Tabela1[[#This Row],[Peso Expedido]]</f>
        <v>3022.8</v>
      </c>
      <c r="AA1029" s="17"/>
      <c r="AB1029" s="33"/>
      <c r="AC1029" s="33"/>
      <c r="AD1029" s="33"/>
      <c r="AE1029" s="33"/>
      <c r="AF1029" s="33"/>
      <c r="AG1029" s="33"/>
      <c r="AH1029" s="33"/>
      <c r="AI1029" s="33"/>
      <c r="AJ1029"/>
      <c r="AK1029"/>
      <c r="AL1029"/>
      <c r="AM1029"/>
      <c r="AN1029"/>
      <c r="AO1029"/>
      <c r="AP1029"/>
      <c r="AQ1029" s="22"/>
      <c r="AR1029" s="24"/>
      <c r="AS1029" s="37"/>
      <c r="AT1029" s="37"/>
      <c r="AU1029" s="37"/>
      <c r="AV1029" s="37"/>
      <c r="AW1029" s="37"/>
    </row>
    <row r="1030" spans="1:49" ht="15.75" customHeight="1" x14ac:dyDescent="0.25">
      <c r="A1030" s="1" t="s">
        <v>5267</v>
      </c>
      <c r="B1030" s="21"/>
      <c r="C1030" s="1">
        <v>64</v>
      </c>
      <c r="D1030" s="1" t="s">
        <v>5269</v>
      </c>
      <c r="E1030" s="7">
        <v>4676</v>
      </c>
      <c r="F1030" s="7">
        <v>3</v>
      </c>
      <c r="G1030" s="1">
        <v>8.6</v>
      </c>
      <c r="H1030" s="34">
        <f>Tabela1[[#This Row],[PESO UNI]]*Tabela1[[#This Row],[QTE]]</f>
        <v>550.4</v>
      </c>
      <c r="I1030" s="7" t="s">
        <v>5580</v>
      </c>
      <c r="J1030" s="8" t="s">
        <v>5255</v>
      </c>
      <c r="K1030" s="8" t="s">
        <v>4320</v>
      </c>
      <c r="L1030" s="9" t="s">
        <v>5256</v>
      </c>
      <c r="M1030" s="10">
        <v>46254</v>
      </c>
      <c r="N1030" s="8" t="s">
        <v>38</v>
      </c>
      <c r="O1030" s="12"/>
      <c r="P1030" s="13"/>
      <c r="Q1030" s="14">
        <f>Tabela1[[#This Row],[QTDE/ Fabricação]]-Tabela1[[#This Row],[QTE]]</f>
        <v>-64</v>
      </c>
      <c r="R1030" s="18">
        <f t="shared" si="201"/>
        <v>0</v>
      </c>
      <c r="S1030" s="18">
        <f t="shared" si="202"/>
        <v>0</v>
      </c>
      <c r="T1030" s="19">
        <f t="shared" si="203"/>
        <v>-550.4</v>
      </c>
      <c r="U1030" s="16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IFERROR(VLOOKUP(Tabela1[[#This Row],[COD.MDE]],'LISTA DE EMBARQUE'!B:M,12,0),"")</f>
        <v/>
      </c>
      <c r="X1030" s="14">
        <f>IFERROR(Tabela1[[#This Row],[QIANTIDADE EXPEDIDA]]*Tabela1[[#This Row],[PESO UNI]],"")</f>
        <v>0</v>
      </c>
      <c r="Y1030" s="14">
        <f t="shared" si="204"/>
        <v>-64</v>
      </c>
      <c r="Z1030" s="20">
        <f>Tabela1[[#This Row],[PESO TOTAL]]-Tabela1[[#This Row],[Peso Expedido]]</f>
        <v>550.4</v>
      </c>
      <c r="AA1030" s="17"/>
      <c r="AB1030" s="33"/>
      <c r="AC1030" s="33"/>
      <c r="AD1030" s="33"/>
      <c r="AE1030" s="33"/>
      <c r="AF1030" s="33"/>
      <c r="AG1030" s="33"/>
      <c r="AH1030" s="33"/>
      <c r="AI1030" s="33"/>
      <c r="AJ1030"/>
      <c r="AK1030"/>
      <c r="AL1030"/>
      <c r="AM1030"/>
      <c r="AN1030"/>
      <c r="AO1030"/>
      <c r="AP1030"/>
      <c r="AQ1030" s="22"/>
      <c r="AR1030" s="24"/>
      <c r="AS1030" s="37"/>
      <c r="AT1030" s="37"/>
      <c r="AU1030" s="37"/>
      <c r="AV1030" s="37"/>
      <c r="AW1030" s="37"/>
    </row>
    <row r="1031" spans="1:49" ht="15.75" customHeight="1" x14ac:dyDescent="0.25">
      <c r="A1031" s="1" t="s">
        <v>5268</v>
      </c>
      <c r="B1031" s="21"/>
      <c r="C1031" s="1">
        <v>1</v>
      </c>
      <c r="D1031" s="1" t="s">
        <v>5270</v>
      </c>
      <c r="E1031" s="7">
        <v>4677</v>
      </c>
      <c r="F1031" s="7">
        <v>3</v>
      </c>
      <c r="G1031" s="1">
        <v>503.8</v>
      </c>
      <c r="H1031" s="34">
        <f>Tabela1[[#This Row],[PESO UNI]]*Tabela1[[#This Row],[QTE]]</f>
        <v>503.8</v>
      </c>
      <c r="I1031" s="7">
        <v>0</v>
      </c>
      <c r="J1031" s="8" t="s">
        <v>5255</v>
      </c>
      <c r="K1031" s="8" t="s">
        <v>4320</v>
      </c>
      <c r="L1031" s="9" t="s">
        <v>5256</v>
      </c>
      <c r="M1031" s="10">
        <v>46254</v>
      </c>
      <c r="N1031" s="8" t="s">
        <v>38</v>
      </c>
      <c r="O1031" s="12"/>
      <c r="P1031" s="13"/>
      <c r="Q1031" s="14">
        <f>Tabela1[[#This Row],[QTDE/ Fabricação]]-Tabela1[[#This Row],[QTE]]</f>
        <v>-1</v>
      </c>
      <c r="R1031" s="18">
        <f t="shared" si="201"/>
        <v>0</v>
      </c>
      <c r="S1031" s="18">
        <f t="shared" si="202"/>
        <v>0</v>
      </c>
      <c r="T1031" s="19">
        <f t="shared" si="203"/>
        <v>-503.8</v>
      </c>
      <c r="U1031" s="16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IFERROR(VLOOKUP(Tabela1[[#This Row],[COD.MDE]],'LISTA DE EMBARQUE'!B:M,12,0),"")</f>
        <v/>
      </c>
      <c r="X1031" s="14">
        <f>IFERROR(Tabela1[[#This Row],[QIANTIDADE EXPEDIDA]]*Tabela1[[#This Row],[PESO UNI]],"")</f>
        <v>0</v>
      </c>
      <c r="Y1031" s="14">
        <f t="shared" si="204"/>
        <v>-1</v>
      </c>
      <c r="Z1031" s="20">
        <f>Tabela1[[#This Row],[PESO TOTAL]]-Tabela1[[#This Row],[Peso Expedido]]</f>
        <v>503.8</v>
      </c>
      <c r="AA1031" s="17"/>
      <c r="AB1031" s="33"/>
      <c r="AC1031" s="33"/>
      <c r="AD1031" s="33"/>
      <c r="AE1031" s="33"/>
      <c r="AF1031" s="33"/>
      <c r="AG1031" s="33"/>
      <c r="AH1031" s="33"/>
      <c r="AI1031" s="33"/>
      <c r="AJ1031"/>
      <c r="AK1031"/>
      <c r="AL1031"/>
      <c r="AM1031"/>
      <c r="AN1031"/>
      <c r="AO1031"/>
      <c r="AP1031"/>
      <c r="AQ1031" s="22"/>
      <c r="AR1031" s="24"/>
      <c r="AS1031" s="37"/>
      <c r="AT1031" s="37"/>
      <c r="AU1031" s="37"/>
      <c r="AV1031" s="37"/>
      <c r="AW1031" s="37"/>
    </row>
    <row r="1032" spans="1:49" ht="15.75" customHeight="1" x14ac:dyDescent="0.25">
      <c r="A1032" s="1" t="s">
        <v>5271</v>
      </c>
      <c r="B1032" s="21"/>
      <c r="C1032" s="1">
        <v>3</v>
      </c>
      <c r="D1032" s="1" t="s">
        <v>5272</v>
      </c>
      <c r="E1032" s="7">
        <v>4678</v>
      </c>
      <c r="F1032" s="7">
        <v>3</v>
      </c>
      <c r="G1032" s="1">
        <v>406.1</v>
      </c>
      <c r="H1032" s="34">
        <f>Tabela1[[#This Row],[PESO UNI]]*Tabela1[[#This Row],[QTE]]</f>
        <v>1218.3000000000002</v>
      </c>
      <c r="I1032" s="7">
        <v>0</v>
      </c>
      <c r="J1032" s="8" t="s">
        <v>5255</v>
      </c>
      <c r="K1032" s="8" t="s">
        <v>4320</v>
      </c>
      <c r="L1032" s="9" t="s">
        <v>5256</v>
      </c>
      <c r="M1032" s="10">
        <v>46254</v>
      </c>
      <c r="N1032" s="8" t="s">
        <v>38</v>
      </c>
      <c r="O1032" s="12"/>
      <c r="P1032" s="13"/>
      <c r="Q1032" s="14">
        <f>Tabela1[[#This Row],[QTDE/ Fabricação]]-Tabela1[[#This Row],[QTE]]</f>
        <v>-3</v>
      </c>
      <c r="R1032" s="18">
        <f t="shared" si="201"/>
        <v>0</v>
      </c>
      <c r="S1032" s="18">
        <f t="shared" si="202"/>
        <v>0</v>
      </c>
      <c r="T1032" s="19">
        <f t="shared" si="203"/>
        <v>-1218.3000000000002</v>
      </c>
      <c r="U1032" s="16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IFERROR(VLOOKUP(Tabela1[[#This Row],[COD.MDE]],'LISTA DE EMBARQUE'!B:M,12,0),"")</f>
        <v/>
      </c>
      <c r="X1032" s="14">
        <f>IFERROR(Tabela1[[#This Row],[QIANTIDADE EXPEDIDA]]*Tabela1[[#This Row],[PESO UNI]],"")</f>
        <v>0</v>
      </c>
      <c r="Y1032" s="14">
        <f t="shared" si="204"/>
        <v>-3</v>
      </c>
      <c r="Z1032" s="20">
        <f>Tabela1[[#This Row],[PESO TOTAL]]-Tabela1[[#This Row],[Peso Expedido]]</f>
        <v>1218.3000000000002</v>
      </c>
      <c r="AA1032" s="17"/>
      <c r="AB1032" s="33"/>
      <c r="AC1032" s="33"/>
      <c r="AD1032" s="33"/>
      <c r="AE1032" s="33"/>
      <c r="AF1032" s="33"/>
      <c r="AG1032" s="33"/>
      <c r="AH1032" s="33"/>
      <c r="AI1032" s="33"/>
      <c r="AJ1032"/>
      <c r="AK1032"/>
      <c r="AL1032"/>
      <c r="AM1032"/>
      <c r="AN1032"/>
      <c r="AO1032"/>
      <c r="AP1032"/>
      <c r="AQ1032" s="22"/>
      <c r="AR1032" s="24"/>
      <c r="AS1032" s="37"/>
      <c r="AT1032" s="37"/>
      <c r="AU1032" s="37"/>
      <c r="AV1032" s="37"/>
      <c r="AW1032" s="37"/>
    </row>
    <row r="1033" spans="1:49" ht="15.75" customHeight="1" x14ac:dyDescent="0.25">
      <c r="A1033" s="1" t="s">
        <v>5273</v>
      </c>
      <c r="B1033" s="21"/>
      <c r="C1033" s="1">
        <v>252</v>
      </c>
      <c r="D1033" s="1" t="s">
        <v>5274</v>
      </c>
      <c r="E1033" s="7">
        <v>4679</v>
      </c>
      <c r="F1033" s="7">
        <v>3</v>
      </c>
      <c r="G1033" s="1">
        <v>11.8</v>
      </c>
      <c r="H1033" s="34">
        <f>Tabela1[[#This Row],[PESO UNI]]*Tabela1[[#This Row],[QTE]]</f>
        <v>2973.6000000000004</v>
      </c>
      <c r="I1033" s="7">
        <v>0</v>
      </c>
      <c r="J1033" s="8" t="s">
        <v>5255</v>
      </c>
      <c r="K1033" s="8" t="s">
        <v>4320</v>
      </c>
      <c r="L1033" s="9" t="s">
        <v>5256</v>
      </c>
      <c r="M1033" s="10">
        <v>46254</v>
      </c>
      <c r="N1033" s="8" t="s">
        <v>38</v>
      </c>
      <c r="O1033" s="12"/>
      <c r="P1033" s="13"/>
      <c r="Q1033" s="14">
        <f>Tabela1[[#This Row],[QTDE/ Fabricação]]-Tabela1[[#This Row],[QTE]]</f>
        <v>-252</v>
      </c>
      <c r="R1033" s="18">
        <f t="shared" ref="R1033:R1041" si="205">IFERROR(H1033*((AA1033*0.25)+(AC1033*0.25)+(AD1033*0.225)+(AE1033*0.225)+(AF1033*0.05)),"")</f>
        <v>0</v>
      </c>
      <c r="S1033" s="18">
        <f t="shared" ref="S1033:S1041" si="206">IFERROR(H1033*AG1033,"")</f>
        <v>0</v>
      </c>
      <c r="T1033" s="19">
        <f t="shared" ref="T1033:T1041" si="207">IFERROR(S1033-H1033,"")</f>
        <v>-2973.6000000000004</v>
      </c>
      <c r="U1033" s="16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IFERROR(VLOOKUP(Tabela1[[#This Row],[COD.MDE]],'LISTA DE EMBARQUE'!B:M,12,0),"")</f>
        <v/>
      </c>
      <c r="X1033" s="14">
        <f>IFERROR(Tabela1[[#This Row],[QIANTIDADE EXPEDIDA]]*Tabela1[[#This Row],[PESO UNI]],"")</f>
        <v>0</v>
      </c>
      <c r="Y1033" s="14">
        <f t="shared" ref="Y1033:Y1041" si="208">U1033-C1033</f>
        <v>-252</v>
      </c>
      <c r="Z1033" s="20">
        <f>Tabela1[[#This Row],[PESO TOTAL]]-Tabela1[[#This Row],[Peso Expedido]]</f>
        <v>2973.6000000000004</v>
      </c>
      <c r="AA1033" s="17"/>
      <c r="AB1033" s="33"/>
      <c r="AC1033" s="33"/>
      <c r="AD1033" s="33"/>
      <c r="AE1033" s="33"/>
      <c r="AF1033" s="33"/>
      <c r="AG1033" s="33"/>
      <c r="AH1033" s="33"/>
      <c r="AI1033" s="33"/>
      <c r="AJ1033"/>
      <c r="AK1033"/>
      <c r="AL1033"/>
      <c r="AM1033"/>
      <c r="AN1033"/>
      <c r="AO1033"/>
      <c r="AP1033"/>
      <c r="AQ1033" s="22"/>
      <c r="AR1033" s="24"/>
      <c r="AS1033" s="37"/>
      <c r="AT1033" s="37"/>
      <c r="AU1033" s="37"/>
      <c r="AV1033" s="37"/>
      <c r="AW1033" s="37"/>
    </row>
    <row r="1034" spans="1:49" ht="15.75" customHeight="1" x14ac:dyDescent="0.25">
      <c r="A1034" s="1" t="s">
        <v>5277</v>
      </c>
      <c r="B1034" s="21" t="s">
        <v>5278</v>
      </c>
      <c r="C1034" s="1">
        <v>1</v>
      </c>
      <c r="D1034" s="1" t="s">
        <v>5279</v>
      </c>
      <c r="E1034" s="7">
        <v>4680</v>
      </c>
      <c r="F1034" s="7">
        <v>63</v>
      </c>
      <c r="G1034" s="1">
        <v>101.4</v>
      </c>
      <c r="H1034" s="34">
        <f>Tabela1[[#This Row],[PESO UNI]]*Tabela1[[#This Row],[QTE]]</f>
        <v>101.4</v>
      </c>
      <c r="I1034" s="7">
        <v>0</v>
      </c>
      <c r="J1034" s="8" t="s">
        <v>3045</v>
      </c>
      <c r="K1034" s="8" t="s">
        <v>4320</v>
      </c>
      <c r="L1034" s="9" t="s">
        <v>2984</v>
      </c>
      <c r="M1034" s="10">
        <v>46255</v>
      </c>
      <c r="N1034" s="8" t="s">
        <v>38</v>
      </c>
      <c r="O1034" s="12"/>
      <c r="P1034" s="13"/>
      <c r="Q1034" s="14">
        <f>Tabela1[[#This Row],[QTDE/ Fabricação]]-Tabela1[[#This Row],[QTE]]</f>
        <v>-1</v>
      </c>
      <c r="R1034" s="18">
        <f t="shared" si="205"/>
        <v>45.63</v>
      </c>
      <c r="S1034" s="18">
        <f t="shared" si="206"/>
        <v>0</v>
      </c>
      <c r="T1034" s="19">
        <f t="shared" si="207"/>
        <v>-101.4</v>
      </c>
      <c r="U1034" s="16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IFERROR(VLOOKUP(Tabela1[[#This Row],[COD.MDE]],'LISTA DE EMBARQUE'!B:M,12,0),"")</f>
        <v/>
      </c>
      <c r="X1034" s="14">
        <f>IFERROR(Tabela1[[#This Row],[QIANTIDADE EXPEDIDA]]*Tabela1[[#This Row],[PESO UNI]],"")</f>
        <v>0</v>
      </c>
      <c r="Y1034" s="14">
        <f t="shared" si="208"/>
        <v>-1</v>
      </c>
      <c r="Z1034" s="20">
        <f>Tabela1[[#This Row],[PESO TOTAL]]-Tabela1[[#This Row],[Peso Expedido]]</f>
        <v>101.4</v>
      </c>
      <c r="AA1034" s="17">
        <v>0.9</v>
      </c>
      <c r="AB1034" s="33"/>
      <c r="AC1034" s="33">
        <v>0.9</v>
      </c>
      <c r="AD1034" s="33"/>
      <c r="AE1034" s="33"/>
      <c r="AF1034" s="33"/>
      <c r="AG1034" s="33"/>
      <c r="AH1034" s="33"/>
      <c r="AI1034" s="33"/>
      <c r="AJ1034"/>
      <c r="AK1034"/>
      <c r="AL1034"/>
      <c r="AM1034"/>
      <c r="AN1034"/>
      <c r="AO1034"/>
      <c r="AP1034"/>
      <c r="AQ1034" s="22"/>
      <c r="AR1034" s="24"/>
      <c r="AS1034" s="37"/>
      <c r="AT1034" s="37"/>
      <c r="AU1034" s="37"/>
      <c r="AV1034" s="37"/>
      <c r="AW1034" s="37"/>
    </row>
    <row r="1035" spans="1:49" ht="15.75" customHeight="1" x14ac:dyDescent="0.25">
      <c r="A1035" s="1" t="s">
        <v>5284</v>
      </c>
      <c r="B1035" s="21"/>
      <c r="C1035" s="206">
        <v>2</v>
      </c>
      <c r="D1035" s="1" t="s">
        <v>5285</v>
      </c>
      <c r="E1035" s="227">
        <v>4681</v>
      </c>
      <c r="F1035" s="192">
        <v>4</v>
      </c>
      <c r="G1035" s="1">
        <v>44</v>
      </c>
      <c r="H1035" s="34">
        <f>Tabela1[[#This Row],[PESO UNI]]*Tabela1[[#This Row],[QTE]]</f>
        <v>88</v>
      </c>
      <c r="I1035" s="7">
        <v>0</v>
      </c>
      <c r="J1035" s="8" t="s">
        <v>5255</v>
      </c>
      <c r="K1035" s="8" t="s">
        <v>32</v>
      </c>
      <c r="L1035" s="9" t="s">
        <v>5256</v>
      </c>
      <c r="M1035" s="10">
        <v>46255</v>
      </c>
      <c r="N1035" s="8" t="s">
        <v>38</v>
      </c>
      <c r="O1035" s="12"/>
      <c r="P1035" s="13"/>
      <c r="Q1035" s="14">
        <f>Tabela1[[#This Row],[QTDE/ Fabricação]]-Tabela1[[#This Row],[QTE]]</f>
        <v>-2</v>
      </c>
      <c r="R1035" s="18">
        <f t="shared" si="205"/>
        <v>0</v>
      </c>
      <c r="S1035" s="18">
        <f t="shared" si="206"/>
        <v>0</v>
      </c>
      <c r="T1035" s="19">
        <f t="shared" si="207"/>
        <v>-88</v>
      </c>
      <c r="U1035" s="16">
        <f>IFERROR(SUMIF('LISTA DE EMBARQUE'!B:B,MICRO!E:E,'LISTA DE EMBARQUE'!G:G),"")</f>
        <v>0</v>
      </c>
      <c r="V1035" s="12" t="str">
        <f>IFERROR(VLOOKUP(Tabela1[[#This Row],[COD.MDE]],'LISTA DE EMBARQUE'!B:L,11,0),"")</f>
        <v/>
      </c>
      <c r="W1035" s="13" t="str">
        <f>IFERROR(VLOOKUP(Tabela1[[#This Row],[COD.MDE]],'LISTA DE EMBARQUE'!B:M,12,0),"")</f>
        <v/>
      </c>
      <c r="X1035" s="14">
        <f>IFERROR(Tabela1[[#This Row],[QIANTIDADE EXPEDIDA]]*Tabela1[[#This Row],[PESO UNI]],"")</f>
        <v>0</v>
      </c>
      <c r="Y1035" s="14">
        <f t="shared" si="208"/>
        <v>-2</v>
      </c>
      <c r="Z1035" s="20">
        <f>Tabela1[[#This Row],[PESO TOTAL]]-Tabela1[[#This Row],[Peso Expedido]]</f>
        <v>88</v>
      </c>
      <c r="AA1035" s="17"/>
      <c r="AB1035" s="33"/>
      <c r="AC1035" s="33"/>
      <c r="AD1035" s="33"/>
      <c r="AE1035" s="33"/>
      <c r="AF1035" s="33"/>
      <c r="AG1035" s="33"/>
      <c r="AH1035" s="33"/>
      <c r="AI1035" s="33"/>
      <c r="AJ1035"/>
      <c r="AK1035"/>
      <c r="AL1035"/>
      <c r="AM1035"/>
      <c r="AN1035"/>
      <c r="AO1035"/>
      <c r="AP1035"/>
      <c r="AQ1035" s="22"/>
      <c r="AR1035" s="24"/>
      <c r="AS1035" s="37"/>
      <c r="AT1035" s="37"/>
      <c r="AU1035" s="37"/>
      <c r="AV1035" s="37"/>
      <c r="AW1035" s="37"/>
    </row>
    <row r="1036" spans="1:49" ht="15.75" customHeight="1" x14ac:dyDescent="0.25">
      <c r="A1036" s="1" t="s">
        <v>5286</v>
      </c>
      <c r="B1036" s="21"/>
      <c r="C1036" s="206">
        <v>2</v>
      </c>
      <c r="D1036" s="1" t="s">
        <v>5287</v>
      </c>
      <c r="E1036" s="227">
        <v>4682</v>
      </c>
      <c r="F1036" s="192">
        <v>4</v>
      </c>
      <c r="G1036" s="1">
        <v>0.1</v>
      </c>
      <c r="H1036" s="34">
        <f>Tabela1[[#This Row],[PESO UNI]]*Tabela1[[#This Row],[QTE]]</f>
        <v>0.2</v>
      </c>
      <c r="I1036" s="7">
        <v>0</v>
      </c>
      <c r="J1036" s="8" t="s">
        <v>5255</v>
      </c>
      <c r="K1036" s="8" t="s">
        <v>32</v>
      </c>
      <c r="L1036" s="9" t="s">
        <v>5256</v>
      </c>
      <c r="M1036" s="10">
        <v>46255</v>
      </c>
      <c r="N1036" s="8" t="s">
        <v>38</v>
      </c>
      <c r="O1036" s="12"/>
      <c r="P1036" s="13"/>
      <c r="Q1036" s="14">
        <f>Tabela1[[#This Row],[QTDE/ Fabricação]]-Tabela1[[#This Row],[QTE]]</f>
        <v>-2</v>
      </c>
      <c r="R1036" s="18">
        <f t="shared" si="205"/>
        <v>0</v>
      </c>
      <c r="S1036" s="18">
        <f t="shared" si="206"/>
        <v>0</v>
      </c>
      <c r="T1036" s="19">
        <f t="shared" si="207"/>
        <v>-0.2</v>
      </c>
      <c r="U1036" s="16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IFERROR(VLOOKUP(Tabela1[[#This Row],[COD.MDE]],'LISTA DE EMBARQUE'!B:M,12,0),"")</f>
        <v/>
      </c>
      <c r="X1036" s="14">
        <f>IFERROR(Tabela1[[#This Row],[QIANTIDADE EXPEDIDA]]*Tabela1[[#This Row],[PESO UNI]],"")</f>
        <v>0</v>
      </c>
      <c r="Y1036" s="14">
        <f t="shared" si="208"/>
        <v>-2</v>
      </c>
      <c r="Z1036" s="20">
        <f>Tabela1[[#This Row],[PESO TOTAL]]-Tabela1[[#This Row],[Peso Expedido]]</f>
        <v>0.2</v>
      </c>
      <c r="AA1036" s="17"/>
      <c r="AB1036" s="33"/>
      <c r="AC1036" s="33"/>
      <c r="AD1036" s="33"/>
      <c r="AE1036" s="33"/>
      <c r="AF1036" s="33"/>
      <c r="AG1036" s="33"/>
      <c r="AH1036" s="33"/>
      <c r="AI1036" s="33"/>
      <c r="AJ1036"/>
      <c r="AK1036"/>
      <c r="AL1036"/>
      <c r="AM1036"/>
      <c r="AN1036"/>
      <c r="AO1036"/>
      <c r="AP1036"/>
      <c r="AQ1036" s="22"/>
      <c r="AR1036" s="24"/>
      <c r="AS1036" s="37"/>
      <c r="AT1036" s="37"/>
      <c r="AU1036" s="37"/>
      <c r="AV1036" s="37"/>
      <c r="AW1036" s="37"/>
    </row>
    <row r="1037" spans="1:49" ht="15.75" customHeight="1" x14ac:dyDescent="0.25">
      <c r="A1037" s="1" t="s">
        <v>5283</v>
      </c>
      <c r="B1037" s="21"/>
      <c r="C1037" s="206">
        <v>1</v>
      </c>
      <c r="D1037" s="1" t="s">
        <v>5288</v>
      </c>
      <c r="E1037" s="227">
        <v>4683</v>
      </c>
      <c r="F1037" s="192">
        <v>4</v>
      </c>
      <c r="G1037" s="1">
        <v>741.4</v>
      </c>
      <c r="H1037" s="34">
        <f>Tabela1[[#This Row],[PESO UNI]]*Tabela1[[#This Row],[QTE]]</f>
        <v>741.4</v>
      </c>
      <c r="I1037" s="7">
        <v>0</v>
      </c>
      <c r="J1037" s="8" t="s">
        <v>5255</v>
      </c>
      <c r="K1037" s="8" t="s">
        <v>32</v>
      </c>
      <c r="L1037" s="9" t="s">
        <v>5256</v>
      </c>
      <c r="M1037" s="10">
        <v>46255</v>
      </c>
      <c r="N1037" s="8" t="s">
        <v>38</v>
      </c>
      <c r="O1037" s="12"/>
      <c r="P1037" s="13"/>
      <c r="Q1037" s="14">
        <f>Tabela1[[#This Row],[QTDE/ Fabricação]]-Tabela1[[#This Row],[QTE]]</f>
        <v>-1</v>
      </c>
      <c r="R1037" s="18">
        <f t="shared" si="205"/>
        <v>0</v>
      </c>
      <c r="S1037" s="18">
        <f t="shared" si="206"/>
        <v>0</v>
      </c>
      <c r="T1037" s="19">
        <f t="shared" si="207"/>
        <v>-741.4</v>
      </c>
      <c r="U1037" s="16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IFERROR(VLOOKUP(Tabela1[[#This Row],[COD.MDE]],'LISTA DE EMBARQUE'!B:M,12,0),"")</f>
        <v/>
      </c>
      <c r="X1037" s="14">
        <f>IFERROR(Tabela1[[#This Row],[QIANTIDADE EXPEDIDA]]*Tabela1[[#This Row],[PESO UNI]],"")</f>
        <v>0</v>
      </c>
      <c r="Y1037" s="14">
        <f t="shared" si="208"/>
        <v>-1</v>
      </c>
      <c r="Z1037" s="20">
        <f>Tabela1[[#This Row],[PESO TOTAL]]-Tabela1[[#This Row],[Peso Expedido]]</f>
        <v>741.4</v>
      </c>
      <c r="AA1037" s="17"/>
      <c r="AB1037" s="33"/>
      <c r="AC1037" s="33"/>
      <c r="AD1037" s="33"/>
      <c r="AE1037" s="33"/>
      <c r="AF1037" s="33"/>
      <c r="AG1037" s="33"/>
      <c r="AH1037" s="33"/>
      <c r="AI1037" s="33"/>
      <c r="AJ1037"/>
      <c r="AK1037"/>
      <c r="AL1037"/>
      <c r="AM1037"/>
      <c r="AN1037"/>
      <c r="AO1037"/>
      <c r="AP1037"/>
      <c r="AQ1037" s="22"/>
      <c r="AR1037" s="24"/>
      <c r="AS1037" s="37"/>
      <c r="AT1037" s="37"/>
      <c r="AU1037" s="37"/>
      <c r="AV1037" s="37"/>
      <c r="AW1037" s="37"/>
    </row>
    <row r="1038" spans="1:49" ht="15.75" customHeight="1" x14ac:dyDescent="0.25">
      <c r="A1038" s="1" t="s">
        <v>5289</v>
      </c>
      <c r="B1038" s="21"/>
      <c r="C1038" s="206">
        <v>2</v>
      </c>
      <c r="D1038" s="1" t="s">
        <v>5290</v>
      </c>
      <c r="E1038" s="227">
        <v>4684</v>
      </c>
      <c r="F1038" s="192">
        <v>4</v>
      </c>
      <c r="G1038" s="1">
        <v>103.5</v>
      </c>
      <c r="H1038" s="34">
        <f>Tabela1[[#This Row],[PESO UNI]]*Tabela1[[#This Row],[QTE]]</f>
        <v>207</v>
      </c>
      <c r="I1038" s="7">
        <v>0</v>
      </c>
      <c r="J1038" s="8" t="s">
        <v>5255</v>
      </c>
      <c r="K1038" s="8" t="s">
        <v>32</v>
      </c>
      <c r="L1038" s="9" t="s">
        <v>5256</v>
      </c>
      <c r="M1038" s="10">
        <v>46255</v>
      </c>
      <c r="N1038" s="8" t="s">
        <v>38</v>
      </c>
      <c r="O1038" s="12"/>
      <c r="P1038" s="13"/>
      <c r="Q1038" s="14">
        <f>Tabela1[[#This Row],[QTDE/ Fabricação]]-Tabela1[[#This Row],[QTE]]</f>
        <v>-2</v>
      </c>
      <c r="R1038" s="18">
        <f t="shared" si="205"/>
        <v>0</v>
      </c>
      <c r="S1038" s="18">
        <f t="shared" si="206"/>
        <v>0</v>
      </c>
      <c r="T1038" s="19">
        <f t="shared" si="207"/>
        <v>-207</v>
      </c>
      <c r="U1038" s="16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IFERROR(VLOOKUP(Tabela1[[#This Row],[COD.MDE]],'LISTA DE EMBARQUE'!B:M,12,0),"")</f>
        <v/>
      </c>
      <c r="X1038" s="14">
        <f>IFERROR(Tabela1[[#This Row],[QIANTIDADE EXPEDIDA]]*Tabela1[[#This Row],[PESO UNI]],"")</f>
        <v>0</v>
      </c>
      <c r="Y1038" s="14">
        <f t="shared" si="208"/>
        <v>-2</v>
      </c>
      <c r="Z1038" s="20">
        <f>Tabela1[[#This Row],[PESO TOTAL]]-Tabela1[[#This Row],[Peso Expedido]]</f>
        <v>207</v>
      </c>
      <c r="AA1038" s="17"/>
      <c r="AB1038" s="33"/>
      <c r="AC1038" s="33"/>
      <c r="AD1038" s="33"/>
      <c r="AE1038" s="33"/>
      <c r="AF1038" s="33"/>
      <c r="AG1038" s="33"/>
      <c r="AH1038" s="33"/>
      <c r="AI1038" s="33"/>
      <c r="AJ1038"/>
      <c r="AK1038"/>
      <c r="AL1038"/>
      <c r="AM1038"/>
      <c r="AN1038"/>
      <c r="AO1038"/>
      <c r="AP1038"/>
      <c r="AQ1038" s="22"/>
      <c r="AR1038" s="24"/>
      <c r="AS1038" s="37"/>
      <c r="AT1038" s="37"/>
      <c r="AU1038" s="37"/>
      <c r="AV1038" s="37"/>
      <c r="AW1038" s="37"/>
    </row>
    <row r="1039" spans="1:49" ht="15.75" customHeight="1" x14ac:dyDescent="0.25">
      <c r="A1039" s="1" t="s">
        <v>5291</v>
      </c>
      <c r="B1039" s="21"/>
      <c r="C1039" s="206">
        <v>2</v>
      </c>
      <c r="D1039" s="1" t="s">
        <v>5292</v>
      </c>
      <c r="E1039" s="227">
        <v>4685</v>
      </c>
      <c r="F1039" s="192">
        <v>4</v>
      </c>
      <c r="G1039" s="1">
        <v>2.5</v>
      </c>
      <c r="H1039" s="34">
        <f>Tabela1[[#This Row],[PESO UNI]]*Tabela1[[#This Row],[QTE]]</f>
        <v>5</v>
      </c>
      <c r="I1039" s="7">
        <v>0</v>
      </c>
      <c r="J1039" s="8" t="s">
        <v>5255</v>
      </c>
      <c r="K1039" s="8" t="s">
        <v>32</v>
      </c>
      <c r="L1039" s="9" t="s">
        <v>5256</v>
      </c>
      <c r="M1039" s="10">
        <v>46255</v>
      </c>
      <c r="N1039" s="8" t="s">
        <v>38</v>
      </c>
      <c r="O1039" s="12"/>
      <c r="P1039" s="13"/>
      <c r="Q1039" s="14">
        <f>Tabela1[[#This Row],[QTDE/ Fabricação]]-Tabela1[[#This Row],[QTE]]</f>
        <v>-2</v>
      </c>
      <c r="R1039" s="18">
        <f t="shared" si="205"/>
        <v>0</v>
      </c>
      <c r="S1039" s="18">
        <f t="shared" si="206"/>
        <v>0</v>
      </c>
      <c r="T1039" s="19">
        <f t="shared" si="207"/>
        <v>-5</v>
      </c>
      <c r="U1039" s="16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IFERROR(VLOOKUP(Tabela1[[#This Row],[COD.MDE]],'LISTA DE EMBARQUE'!B:M,12,0),"")</f>
        <v/>
      </c>
      <c r="X1039" s="14">
        <f>IFERROR(Tabela1[[#This Row],[QIANTIDADE EXPEDIDA]]*Tabela1[[#This Row],[PESO UNI]],"")</f>
        <v>0</v>
      </c>
      <c r="Y1039" s="14">
        <f t="shared" si="208"/>
        <v>-2</v>
      </c>
      <c r="Z1039" s="20">
        <f>Tabela1[[#This Row],[PESO TOTAL]]-Tabela1[[#This Row],[Peso Expedido]]</f>
        <v>5</v>
      </c>
      <c r="AA1039" s="17"/>
      <c r="AB1039" s="33"/>
      <c r="AC1039" s="33"/>
      <c r="AD1039" s="33"/>
      <c r="AE1039" s="33"/>
      <c r="AF1039" s="33"/>
      <c r="AG1039" s="33"/>
      <c r="AH1039" s="33"/>
      <c r="AI1039" s="33"/>
      <c r="AJ1039"/>
      <c r="AK1039"/>
      <c r="AL1039"/>
      <c r="AM1039"/>
      <c r="AN1039"/>
      <c r="AO1039"/>
      <c r="AP1039"/>
      <c r="AQ1039" s="22"/>
      <c r="AR1039" s="24"/>
      <c r="AS1039" s="37"/>
      <c r="AT1039" s="37"/>
      <c r="AU1039" s="37"/>
      <c r="AV1039" s="37"/>
      <c r="AW1039" s="37"/>
    </row>
    <row r="1040" spans="1:49" ht="15.75" customHeight="1" x14ac:dyDescent="0.25">
      <c r="A1040" s="1" t="s">
        <v>5293</v>
      </c>
      <c r="C1040" s="25">
        <v>2</v>
      </c>
      <c r="D1040" s="1" t="s">
        <v>5294</v>
      </c>
      <c r="E1040" s="25">
        <v>4686</v>
      </c>
      <c r="F1040" s="25">
        <v>4</v>
      </c>
      <c r="G1040" s="1">
        <v>115.7</v>
      </c>
      <c r="H1040" s="34">
        <f>Tabela1[[#This Row],[PESO UNI]]*Tabela1[[#This Row],[QTE]]</f>
        <v>231.4</v>
      </c>
      <c r="I1040" s="7">
        <v>3</v>
      </c>
      <c r="J1040" s="8" t="s">
        <v>5255</v>
      </c>
      <c r="K1040" s="8" t="s">
        <v>32</v>
      </c>
      <c r="L1040" s="9" t="s">
        <v>5256</v>
      </c>
      <c r="M1040" s="10">
        <v>46255</v>
      </c>
      <c r="N1040" s="8" t="s">
        <v>38</v>
      </c>
      <c r="O1040" s="12"/>
      <c r="P1040" s="13"/>
      <c r="Q1040" s="14">
        <f>Tabela1[[#This Row],[QTDE/ Fabricação]]-Tabela1[[#This Row],[QTE]]</f>
        <v>-2</v>
      </c>
      <c r="R1040" s="18">
        <f t="shared" si="205"/>
        <v>0</v>
      </c>
      <c r="S1040" s="18">
        <f t="shared" si="206"/>
        <v>0</v>
      </c>
      <c r="T1040" s="19">
        <f t="shared" si="207"/>
        <v>-231.4</v>
      </c>
      <c r="U1040" s="16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IFERROR(VLOOKUP(Tabela1[[#This Row],[COD.MDE]],'LISTA DE EMBARQUE'!B:M,12,0),"")</f>
        <v/>
      </c>
      <c r="X1040" s="14">
        <f>IFERROR(Tabela1[[#This Row],[QIANTIDADE EXPEDIDA]]*Tabela1[[#This Row],[PESO UNI]],"")</f>
        <v>0</v>
      </c>
      <c r="Y1040" s="14">
        <f t="shared" si="208"/>
        <v>-2</v>
      </c>
      <c r="Z1040" s="20">
        <f>Tabela1[[#This Row],[PESO TOTAL]]-Tabela1[[#This Row],[Peso Expedido]]</f>
        <v>231.4</v>
      </c>
      <c r="AA1040" s="17"/>
      <c r="AB1040" s="33"/>
      <c r="AC1040" s="33"/>
      <c r="AD1040" s="33"/>
      <c r="AE1040" s="33"/>
      <c r="AF1040" s="33"/>
      <c r="AG1040" s="33"/>
      <c r="AH1040" s="33"/>
      <c r="AI1040" s="33"/>
      <c r="AJ1040"/>
      <c r="AK1040"/>
      <c r="AL1040"/>
      <c r="AM1040"/>
      <c r="AN1040"/>
      <c r="AO1040"/>
      <c r="AP1040"/>
      <c r="AQ1040" s="22"/>
    </row>
    <row r="1041" spans="1:49" ht="15.75" customHeight="1" x14ac:dyDescent="0.25">
      <c r="A1041" s="1" t="s">
        <v>5295</v>
      </c>
      <c r="C1041" s="25">
        <v>2</v>
      </c>
      <c r="D1041" s="1" t="s">
        <v>5296</v>
      </c>
      <c r="E1041" s="25">
        <v>4687</v>
      </c>
      <c r="F1041" s="25">
        <v>4</v>
      </c>
      <c r="G1041" s="1">
        <v>2</v>
      </c>
      <c r="H1041" s="34">
        <f>Tabela1[[#This Row],[PESO UNI]]*Tabela1[[#This Row],[QTE]]</f>
        <v>4</v>
      </c>
      <c r="I1041" s="7">
        <v>1</v>
      </c>
      <c r="J1041" s="8" t="s">
        <v>5255</v>
      </c>
      <c r="K1041" s="8" t="s">
        <v>32</v>
      </c>
      <c r="L1041" s="9" t="s">
        <v>5256</v>
      </c>
      <c r="M1041" s="10">
        <v>46255</v>
      </c>
      <c r="N1041" s="8" t="s">
        <v>38</v>
      </c>
      <c r="O1041" s="12"/>
      <c r="P1041" s="13"/>
      <c r="Q1041" s="14">
        <f>Tabela1[[#This Row],[QTDE/ Fabricação]]-Tabela1[[#This Row],[QTE]]</f>
        <v>-2</v>
      </c>
      <c r="R1041" s="18">
        <f t="shared" si="205"/>
        <v>0</v>
      </c>
      <c r="S1041" s="18">
        <f t="shared" si="206"/>
        <v>0</v>
      </c>
      <c r="T1041" s="19">
        <f t="shared" si="207"/>
        <v>-4</v>
      </c>
      <c r="U1041" s="16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IFERROR(VLOOKUP(Tabela1[[#This Row],[COD.MDE]],'LISTA DE EMBARQUE'!B:M,12,0),"")</f>
        <v/>
      </c>
      <c r="X1041" s="14">
        <f>IFERROR(Tabela1[[#This Row],[QIANTIDADE EXPEDIDA]]*Tabela1[[#This Row],[PESO UNI]],"")</f>
        <v>0</v>
      </c>
      <c r="Y1041" s="14">
        <f t="shared" si="208"/>
        <v>-2</v>
      </c>
      <c r="Z1041" s="20">
        <f>Tabela1[[#This Row],[PESO TOTAL]]-Tabela1[[#This Row],[Peso Expedido]]</f>
        <v>4</v>
      </c>
      <c r="AA1041" s="17"/>
      <c r="AB1041" s="33"/>
      <c r="AC1041" s="33"/>
      <c r="AD1041" s="33"/>
      <c r="AE1041" s="33"/>
      <c r="AF1041" s="33"/>
      <c r="AG1041" s="33"/>
      <c r="AH1041" s="33"/>
      <c r="AI1041" s="33"/>
      <c r="AJ1041"/>
      <c r="AK1041"/>
      <c r="AL1041"/>
      <c r="AM1041"/>
      <c r="AN1041"/>
      <c r="AO1041"/>
    </row>
    <row r="1042" spans="1:49" ht="15.75" customHeight="1" x14ac:dyDescent="0.25">
      <c r="A1042" s="1" t="s">
        <v>5297</v>
      </c>
      <c r="C1042" s="25">
        <v>2</v>
      </c>
      <c r="D1042" s="1" t="s">
        <v>5298</v>
      </c>
      <c r="E1042" s="25">
        <v>4688</v>
      </c>
      <c r="F1042" s="25">
        <v>4</v>
      </c>
      <c r="G1042" s="1">
        <v>28.6</v>
      </c>
      <c r="H1042" s="34">
        <f>Tabela1[[#This Row],[PESO UNI]]*Tabela1[[#This Row],[QTE]]</f>
        <v>57.2</v>
      </c>
      <c r="I1042" s="7">
        <v>1</v>
      </c>
      <c r="J1042" s="8" t="s">
        <v>5255</v>
      </c>
      <c r="K1042" s="8" t="s">
        <v>32</v>
      </c>
      <c r="L1042" s="9" t="s">
        <v>5256</v>
      </c>
      <c r="M1042" s="10">
        <v>46255</v>
      </c>
      <c r="N1042" s="8" t="s">
        <v>38</v>
      </c>
      <c r="O1042" s="12"/>
      <c r="P1042" s="13"/>
      <c r="Q1042" s="14">
        <f>Tabela1[[#This Row],[QTDE/ Fabricação]]-Tabela1[[#This Row],[QTE]]</f>
        <v>-2</v>
      </c>
      <c r="R1042" s="18">
        <f>IFERROR(H1042*((AA1042*0.25)+(AC1042*0.25)+(AD1042*0.225)+(AE1042*0.225)+(AF1042*0.05)),"")</f>
        <v>0</v>
      </c>
      <c r="S1042" s="18">
        <f>IFERROR(H1042*AG1042,"")</f>
        <v>0</v>
      </c>
      <c r="T1042" s="19">
        <f>IFERROR(S1042-H1042,"")</f>
        <v>-57.2</v>
      </c>
      <c r="U1042" s="16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IFERROR(VLOOKUP(Tabela1[[#This Row],[COD.MDE]],'LISTA DE EMBARQUE'!B:M,12,0),"")</f>
        <v/>
      </c>
      <c r="X1042" s="14">
        <f>IFERROR(Tabela1[[#This Row],[QIANTIDADE EXPEDIDA]]*Tabela1[[#This Row],[PESO UNI]],"")</f>
        <v>0</v>
      </c>
      <c r="Y1042" s="14">
        <f>U1042-C1042</f>
        <v>-2</v>
      </c>
      <c r="Z1042" s="20">
        <f>Tabela1[[#This Row],[PESO TOTAL]]-Tabela1[[#This Row],[Peso Expedido]]</f>
        <v>57.2</v>
      </c>
      <c r="AA1042" s="17"/>
      <c r="AB1042" s="33"/>
      <c r="AC1042" s="33"/>
      <c r="AD1042" s="33"/>
      <c r="AE1042" s="33"/>
      <c r="AF1042" s="33"/>
      <c r="AG1042" s="33"/>
      <c r="AH1042" s="33"/>
      <c r="AI1042" s="33"/>
      <c r="AJ1042"/>
      <c r="AK1042"/>
      <c r="AL1042"/>
      <c r="AM1042"/>
      <c r="AN1042"/>
      <c r="AO1042"/>
    </row>
    <row r="1043" spans="1:49" ht="15.75" customHeight="1" x14ac:dyDescent="0.25">
      <c r="A1043" s="208" t="s">
        <v>5300</v>
      </c>
      <c r="B1043" s="21" t="s">
        <v>5301</v>
      </c>
      <c r="C1043" s="195">
        <v>1</v>
      </c>
      <c r="D1043" s="1" t="s">
        <v>5302</v>
      </c>
      <c r="E1043" s="227">
        <v>4689</v>
      </c>
      <c r="F1043" s="195">
        <v>24</v>
      </c>
      <c r="G1043" s="1">
        <v>660</v>
      </c>
      <c r="H1043" s="34">
        <f>Tabela1[[#This Row],[PESO UNI]]*Tabela1[[#This Row],[QTE]]</f>
        <v>660</v>
      </c>
      <c r="I1043" s="7" t="s">
        <v>5581</v>
      </c>
      <c r="J1043" s="8" t="s">
        <v>4834</v>
      </c>
      <c r="K1043" s="8" t="s">
        <v>4320</v>
      </c>
      <c r="L1043" s="9" t="s">
        <v>3291</v>
      </c>
      <c r="M1043" s="10">
        <v>46259</v>
      </c>
      <c r="N1043" s="8" t="s">
        <v>38</v>
      </c>
      <c r="O1043" s="12"/>
      <c r="P1043" s="13"/>
      <c r="Q1043" s="14">
        <f>Tabela1[[#This Row],[QTDE/ Fabricação]]-Tabela1[[#This Row],[QTE]]</f>
        <v>-1</v>
      </c>
      <c r="R1043" s="18">
        <f t="shared" ref="R1043:R1048" si="209">IFERROR(H1043*((AA1043*0.25)+(AC1043*0.25)+(AD1043*0.225)+(AE1043*0.225)+(AF1043*0.05)),"")</f>
        <v>404.25000000000006</v>
      </c>
      <c r="S1043" s="18">
        <f t="shared" ref="S1043:S1048" si="210">IFERROR(H1043*AG1043,"")</f>
        <v>0</v>
      </c>
      <c r="T1043" s="19">
        <f t="shared" ref="T1043:T1048" si="211">IFERROR(S1043-H1043,"")</f>
        <v>-660</v>
      </c>
      <c r="U1043" s="16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IFERROR(VLOOKUP(Tabela1[[#This Row],[COD.MDE]],'LISTA DE EMBARQUE'!B:M,12,0),"")</f>
        <v/>
      </c>
      <c r="X1043" s="14">
        <f>IFERROR(Tabela1[[#This Row],[QIANTIDADE EXPEDIDA]]*Tabela1[[#This Row],[PESO UNI]],"")</f>
        <v>0</v>
      </c>
      <c r="Y1043" s="14">
        <f t="shared" ref="Y1043:Y1048" si="212">U1043-C1043</f>
        <v>-1</v>
      </c>
      <c r="Z1043" s="20">
        <f>Tabela1[[#This Row],[PESO TOTAL]]-Tabela1[[#This Row],[Peso Expedido]]</f>
        <v>660</v>
      </c>
      <c r="AA1043" s="17">
        <v>1</v>
      </c>
      <c r="AB1043" s="33"/>
      <c r="AC1043" s="33">
        <v>1</v>
      </c>
      <c r="AD1043" s="33">
        <v>0.5</v>
      </c>
      <c r="AE1043" s="33"/>
      <c r="AF1043" s="33"/>
      <c r="AG1043" s="33"/>
      <c r="AH1043" s="33"/>
      <c r="AI1043" s="33"/>
      <c r="AJ1043"/>
      <c r="AK1043"/>
      <c r="AL1043"/>
      <c r="AM1043"/>
      <c r="AN1043"/>
      <c r="AO1043"/>
      <c r="AT1043" s="37"/>
      <c r="AU1043" s="37"/>
      <c r="AV1043" s="37"/>
      <c r="AW1043" s="37"/>
    </row>
    <row r="1044" spans="1:49" ht="15.75" customHeight="1" x14ac:dyDescent="0.25">
      <c r="A1044" s="208" t="s">
        <v>5303</v>
      </c>
      <c r="B1044" s="21" t="s">
        <v>5304</v>
      </c>
      <c r="C1044" s="195">
        <v>1</v>
      </c>
      <c r="D1044" s="1" t="s">
        <v>5305</v>
      </c>
      <c r="E1044" s="227">
        <v>4690</v>
      </c>
      <c r="F1044" s="195">
        <v>24</v>
      </c>
      <c r="G1044" s="1">
        <v>424.7</v>
      </c>
      <c r="H1044" s="34">
        <f>Tabela1[[#This Row],[PESO UNI]]*Tabela1[[#This Row],[QTE]]</f>
        <v>424.7</v>
      </c>
      <c r="I1044" s="7" t="s">
        <v>5581</v>
      </c>
      <c r="J1044" s="8" t="s">
        <v>4834</v>
      </c>
      <c r="K1044" s="8" t="s">
        <v>4320</v>
      </c>
      <c r="L1044" s="9" t="s">
        <v>3291</v>
      </c>
      <c r="M1044" s="10">
        <v>46259</v>
      </c>
      <c r="N1044" s="8" t="s">
        <v>38</v>
      </c>
      <c r="O1044" s="12"/>
      <c r="P1044" s="13"/>
      <c r="Q1044" s="14">
        <f>Tabela1[[#This Row],[QTDE/ Fabricação]]-Tabela1[[#This Row],[QTE]]</f>
        <v>-1</v>
      </c>
      <c r="R1044" s="18">
        <f t="shared" si="209"/>
        <v>260.12875000000003</v>
      </c>
      <c r="S1044" s="18">
        <f t="shared" si="210"/>
        <v>0</v>
      </c>
      <c r="T1044" s="19">
        <f t="shared" si="211"/>
        <v>-424.7</v>
      </c>
      <c r="U1044" s="16">
        <f>IFERROR(SUMIF('LISTA DE EMBARQUE'!B:B,MICRO!E:E,'LISTA DE EMBARQUE'!G:G),"")</f>
        <v>0</v>
      </c>
      <c r="V1044" s="12" t="str">
        <f>IFERROR(VLOOKUP(Tabela1[[#This Row],[COD.MDE]],'LISTA DE EMBARQUE'!B:L,11,0),"")</f>
        <v/>
      </c>
      <c r="W1044" s="13" t="str">
        <f>IFERROR(VLOOKUP(Tabela1[[#This Row],[COD.MDE]],'LISTA DE EMBARQUE'!B:M,12,0),"")</f>
        <v/>
      </c>
      <c r="X1044" s="14">
        <f>IFERROR(Tabela1[[#This Row],[QIANTIDADE EXPEDIDA]]*Tabela1[[#This Row],[PESO UNI]],"")</f>
        <v>0</v>
      </c>
      <c r="Y1044" s="14">
        <f t="shared" si="212"/>
        <v>-1</v>
      </c>
      <c r="Z1044" s="20">
        <f>Tabela1[[#This Row],[PESO TOTAL]]-Tabela1[[#This Row],[Peso Expedido]]</f>
        <v>424.7</v>
      </c>
      <c r="AA1044" s="17">
        <v>1</v>
      </c>
      <c r="AB1044" s="33"/>
      <c r="AC1044" s="33">
        <v>1</v>
      </c>
      <c r="AD1044" s="33">
        <v>0.5</v>
      </c>
      <c r="AE1044" s="33"/>
      <c r="AF1044" s="33"/>
      <c r="AG1044" s="33"/>
      <c r="AH1044" s="33"/>
      <c r="AI1044" s="33"/>
      <c r="AJ1044"/>
      <c r="AK1044"/>
      <c r="AL1044"/>
      <c r="AM1044"/>
      <c r="AN1044"/>
      <c r="AO1044"/>
      <c r="AT1044" s="37"/>
      <c r="AU1044" s="37"/>
      <c r="AV1044" s="37"/>
      <c r="AW1044" s="37"/>
    </row>
    <row r="1045" spans="1:49" ht="15.75" customHeight="1" x14ac:dyDescent="0.25">
      <c r="A1045" s="208" t="s">
        <v>5303</v>
      </c>
      <c r="B1045" s="21" t="s">
        <v>5304</v>
      </c>
      <c r="C1045" s="195">
        <v>1</v>
      </c>
      <c r="D1045" s="1" t="s">
        <v>5306</v>
      </c>
      <c r="E1045" s="227">
        <v>4691</v>
      </c>
      <c r="F1045" s="195">
        <v>24</v>
      </c>
      <c r="G1045" s="1">
        <v>254.4</v>
      </c>
      <c r="H1045" s="34">
        <f>Tabela1[[#This Row],[PESO UNI]]*Tabela1[[#This Row],[QTE]]</f>
        <v>254.4</v>
      </c>
      <c r="I1045" s="7" t="s">
        <v>5581</v>
      </c>
      <c r="J1045" s="8" t="s">
        <v>4834</v>
      </c>
      <c r="K1045" s="8" t="s">
        <v>4320</v>
      </c>
      <c r="L1045" s="9" t="s">
        <v>3291</v>
      </c>
      <c r="M1045" s="10">
        <v>46259</v>
      </c>
      <c r="N1045" s="8" t="s">
        <v>38</v>
      </c>
      <c r="O1045" s="12"/>
      <c r="P1045" s="13"/>
      <c r="Q1045" s="14">
        <f>Tabela1[[#This Row],[QTDE/ Fabricação]]-Tabela1[[#This Row],[QTE]]</f>
        <v>-1</v>
      </c>
      <c r="R1045" s="18">
        <f t="shared" si="209"/>
        <v>155.82000000000002</v>
      </c>
      <c r="S1045" s="18">
        <f t="shared" si="210"/>
        <v>0</v>
      </c>
      <c r="T1045" s="19">
        <f t="shared" si="211"/>
        <v>-254.4</v>
      </c>
      <c r="U1045" s="16">
        <f>IFERROR(SUMIF('LISTA DE EMBARQUE'!B:B,MICRO!E:E,'LISTA DE EMBARQUE'!G:G),"")</f>
        <v>0</v>
      </c>
      <c r="V1045" s="12" t="str">
        <f>IFERROR(VLOOKUP(Tabela1[[#This Row],[COD.MDE]],'LISTA DE EMBARQUE'!B:L,11,0),"")</f>
        <v/>
      </c>
      <c r="W1045" s="13" t="str">
        <f>IFERROR(VLOOKUP(Tabela1[[#This Row],[COD.MDE]],'LISTA DE EMBARQUE'!B:M,12,0),"")</f>
        <v/>
      </c>
      <c r="X1045" s="14">
        <f>IFERROR(Tabela1[[#This Row],[QIANTIDADE EXPEDIDA]]*Tabela1[[#This Row],[PESO UNI]],"")</f>
        <v>0</v>
      </c>
      <c r="Y1045" s="14">
        <f t="shared" si="212"/>
        <v>-1</v>
      </c>
      <c r="Z1045" s="20">
        <f>Tabela1[[#This Row],[PESO TOTAL]]-Tabela1[[#This Row],[Peso Expedido]]</f>
        <v>254.4</v>
      </c>
      <c r="AA1045" s="17">
        <v>1</v>
      </c>
      <c r="AB1045" s="33"/>
      <c r="AC1045" s="33">
        <v>1</v>
      </c>
      <c r="AD1045" s="33">
        <v>0.5</v>
      </c>
      <c r="AE1045" s="33"/>
      <c r="AF1045" s="33"/>
      <c r="AG1045" s="33"/>
      <c r="AH1045" s="33"/>
      <c r="AI1045" s="33"/>
      <c r="AJ1045"/>
      <c r="AK1045"/>
      <c r="AL1045"/>
      <c r="AM1045"/>
      <c r="AN1045"/>
      <c r="AO1045"/>
      <c r="AQ1045" s="200"/>
      <c r="AR1045" s="37"/>
      <c r="AS1045" s="37"/>
      <c r="AT1045" s="37"/>
      <c r="AU1045" s="37"/>
      <c r="AV1045" s="37"/>
      <c r="AW1045" s="37"/>
    </row>
    <row r="1046" spans="1:49" ht="15.75" customHeight="1" x14ac:dyDescent="0.25">
      <c r="A1046" s="208" t="s">
        <v>5307</v>
      </c>
      <c r="B1046" s="21" t="s">
        <v>5308</v>
      </c>
      <c r="C1046" s="195">
        <v>1</v>
      </c>
      <c r="D1046" s="1" t="s">
        <v>5309</v>
      </c>
      <c r="E1046" s="227">
        <v>4692</v>
      </c>
      <c r="F1046" s="195">
        <v>24</v>
      </c>
      <c r="G1046" s="1">
        <v>433.2</v>
      </c>
      <c r="H1046" s="34">
        <f>Tabela1[[#This Row],[PESO UNI]]*Tabela1[[#This Row],[QTE]]</f>
        <v>433.2</v>
      </c>
      <c r="I1046" s="7" t="s">
        <v>5581</v>
      </c>
      <c r="J1046" s="8" t="s">
        <v>4834</v>
      </c>
      <c r="K1046" s="8" t="s">
        <v>4320</v>
      </c>
      <c r="L1046" s="9" t="s">
        <v>3291</v>
      </c>
      <c r="M1046" s="10">
        <v>46259</v>
      </c>
      <c r="N1046" s="8" t="s">
        <v>38</v>
      </c>
      <c r="O1046" s="12"/>
      <c r="P1046" s="13"/>
      <c r="Q1046" s="14">
        <f>Tabela1[[#This Row],[QTDE/ Fabricação]]-Tabela1[[#This Row],[QTE]]</f>
        <v>-1</v>
      </c>
      <c r="R1046" s="18">
        <f t="shared" si="209"/>
        <v>265.33500000000004</v>
      </c>
      <c r="S1046" s="18">
        <f t="shared" si="210"/>
        <v>0</v>
      </c>
      <c r="T1046" s="19">
        <f t="shared" si="211"/>
        <v>-433.2</v>
      </c>
      <c r="U1046" s="16">
        <f>IFERROR(SUMIF('LISTA DE EMBARQUE'!B:B,MICRO!E:E,'LISTA DE EMBARQUE'!G:G),"")</f>
        <v>0</v>
      </c>
      <c r="V1046" s="12" t="str">
        <f>IFERROR(VLOOKUP(Tabela1[[#This Row],[COD.MDE]],'LISTA DE EMBARQUE'!B:L,11,0),"")</f>
        <v/>
      </c>
      <c r="W1046" s="13" t="str">
        <f>IFERROR(VLOOKUP(Tabela1[[#This Row],[COD.MDE]],'LISTA DE EMBARQUE'!B:M,12,0),"")</f>
        <v/>
      </c>
      <c r="X1046" s="14">
        <f>IFERROR(Tabela1[[#This Row],[QIANTIDADE EXPEDIDA]]*Tabela1[[#This Row],[PESO UNI]],"")</f>
        <v>0</v>
      </c>
      <c r="Y1046" s="14">
        <f t="shared" si="212"/>
        <v>-1</v>
      </c>
      <c r="Z1046" s="20">
        <f>Tabela1[[#This Row],[PESO TOTAL]]-Tabela1[[#This Row],[Peso Expedido]]</f>
        <v>433.2</v>
      </c>
      <c r="AA1046" s="17">
        <v>1</v>
      </c>
      <c r="AB1046" s="33"/>
      <c r="AC1046" s="33">
        <v>1</v>
      </c>
      <c r="AD1046" s="33">
        <v>0.5</v>
      </c>
      <c r="AE1046" s="33"/>
      <c r="AF1046" s="33"/>
      <c r="AG1046" s="33"/>
      <c r="AH1046" s="33"/>
      <c r="AI1046" s="33"/>
      <c r="AJ1046"/>
      <c r="AK1046"/>
      <c r="AL1046"/>
      <c r="AM1046"/>
      <c r="AN1046"/>
      <c r="AO1046"/>
      <c r="AQ1046" s="200"/>
      <c r="AR1046" s="37"/>
      <c r="AS1046" s="37"/>
      <c r="AT1046" s="37"/>
      <c r="AU1046" s="37"/>
      <c r="AV1046" s="37"/>
      <c r="AW1046" s="37"/>
    </row>
    <row r="1047" spans="1:49" ht="15.75" customHeight="1" x14ac:dyDescent="0.25">
      <c r="A1047" s="208" t="s">
        <v>5310</v>
      </c>
      <c r="B1047" s="21" t="s">
        <v>5311</v>
      </c>
      <c r="C1047" s="195">
        <v>1</v>
      </c>
      <c r="D1047" s="1" t="s">
        <v>5312</v>
      </c>
      <c r="E1047" s="227">
        <v>4693</v>
      </c>
      <c r="F1047" s="195">
        <v>23</v>
      </c>
      <c r="G1047" s="1">
        <v>425.4</v>
      </c>
      <c r="H1047" s="34">
        <f>Tabela1[[#This Row],[PESO UNI]]*Tabela1[[#This Row],[QTE]]</f>
        <v>425.4</v>
      </c>
      <c r="I1047" s="7" t="s">
        <v>5713</v>
      </c>
      <c r="J1047" s="8" t="s">
        <v>4834</v>
      </c>
      <c r="K1047" s="8" t="s">
        <v>4320</v>
      </c>
      <c r="L1047" s="9" t="s">
        <v>3291</v>
      </c>
      <c r="M1047" s="10">
        <v>46259</v>
      </c>
      <c r="N1047" s="8" t="s">
        <v>38</v>
      </c>
      <c r="O1047" s="12"/>
      <c r="P1047" s="13"/>
      <c r="Q1047" s="14">
        <f>Tabela1[[#This Row],[QTDE/ Fabricação]]-Tabela1[[#This Row],[QTE]]</f>
        <v>-1</v>
      </c>
      <c r="R1047" s="18">
        <f t="shared" si="209"/>
        <v>390.30449999999996</v>
      </c>
      <c r="S1047" s="18">
        <f t="shared" si="210"/>
        <v>0</v>
      </c>
      <c r="T1047" s="19">
        <f t="shared" si="211"/>
        <v>-425.4</v>
      </c>
      <c r="U1047" s="16">
        <f>IFERROR(SUMIF('LISTA DE EMBARQUE'!B:B,MICRO!E:E,'LISTA DE EMBARQUE'!G:G),"")</f>
        <v>0</v>
      </c>
      <c r="V1047" s="12" t="str">
        <f>IFERROR(VLOOKUP(Tabela1[[#This Row],[COD.MDE]],'LISTA DE EMBARQUE'!B:L,11,0),"")</f>
        <v/>
      </c>
      <c r="W1047" s="13" t="str">
        <f>IFERROR(VLOOKUP(Tabela1[[#This Row],[COD.MDE]],'LISTA DE EMBARQUE'!B:M,12,0),"")</f>
        <v/>
      </c>
      <c r="X1047" s="14">
        <f>IFERROR(Tabela1[[#This Row],[QIANTIDADE EXPEDIDA]]*Tabela1[[#This Row],[PESO UNI]],"")</f>
        <v>0</v>
      </c>
      <c r="Y1047" s="14">
        <f t="shared" si="212"/>
        <v>-1</v>
      </c>
      <c r="Z1047" s="20">
        <f>Tabela1[[#This Row],[PESO TOTAL]]-Tabela1[[#This Row],[Peso Expedido]]</f>
        <v>425.4</v>
      </c>
      <c r="AA1047" s="17">
        <v>1</v>
      </c>
      <c r="AB1047" s="33"/>
      <c r="AC1047" s="17">
        <v>1</v>
      </c>
      <c r="AD1047" s="33">
        <v>1</v>
      </c>
      <c r="AE1047" s="33">
        <v>0.7</v>
      </c>
      <c r="AF1047" s="33">
        <v>0.7</v>
      </c>
      <c r="AG1047" s="33"/>
      <c r="AH1047" s="33"/>
      <c r="AI1047" s="33"/>
      <c r="AJ1047"/>
      <c r="AK1047"/>
      <c r="AL1047"/>
      <c r="AM1047"/>
      <c r="AN1047"/>
      <c r="AO1047"/>
      <c r="AQ1047" s="200"/>
      <c r="AR1047" s="37"/>
      <c r="AS1047" s="37"/>
      <c r="AT1047" s="37"/>
      <c r="AU1047" s="37"/>
      <c r="AV1047" s="37"/>
      <c r="AW1047" s="37"/>
    </row>
    <row r="1048" spans="1:49" ht="15.75" customHeight="1" x14ac:dyDescent="0.25">
      <c r="A1048" s="208" t="s">
        <v>5313</v>
      </c>
      <c r="B1048" s="21" t="s">
        <v>5314</v>
      </c>
      <c r="C1048" s="195">
        <v>1</v>
      </c>
      <c r="D1048" s="1" t="s">
        <v>5315</v>
      </c>
      <c r="E1048" s="227">
        <v>4694</v>
      </c>
      <c r="F1048" s="195">
        <v>23</v>
      </c>
      <c r="G1048" s="1">
        <v>586.79999999999995</v>
      </c>
      <c r="H1048" s="34">
        <f>Tabela1[[#This Row],[PESO UNI]]*Tabela1[[#This Row],[QTE]]</f>
        <v>586.79999999999995</v>
      </c>
      <c r="I1048" s="7" t="s">
        <v>5714</v>
      </c>
      <c r="J1048" s="8" t="s">
        <v>4834</v>
      </c>
      <c r="K1048" s="8" t="s">
        <v>4320</v>
      </c>
      <c r="L1048" s="9" t="s">
        <v>3291</v>
      </c>
      <c r="M1048" s="10">
        <v>46259</v>
      </c>
      <c r="N1048" s="8" t="s">
        <v>38</v>
      </c>
      <c r="O1048" s="12"/>
      <c r="P1048" s="13"/>
      <c r="Q1048" s="14">
        <f>Tabela1[[#This Row],[QTDE/ Fabricação]]-Tabela1[[#This Row],[QTE]]</f>
        <v>-1</v>
      </c>
      <c r="R1048" s="18">
        <f t="shared" si="209"/>
        <v>570.66300000000001</v>
      </c>
      <c r="S1048" s="18">
        <f t="shared" si="210"/>
        <v>0</v>
      </c>
      <c r="T1048" s="19">
        <f t="shared" si="211"/>
        <v>-586.79999999999995</v>
      </c>
      <c r="U1048" s="16">
        <f>IFERROR(SUMIF('LISTA DE EMBARQUE'!B:B,MICRO!E:E,'LISTA DE EMBARQUE'!G:G),"")</f>
        <v>0</v>
      </c>
      <c r="V1048" s="12" t="str">
        <f>IFERROR(VLOOKUP(Tabela1[[#This Row],[COD.MDE]],'LISTA DE EMBARQUE'!B:L,11,0),"")</f>
        <v/>
      </c>
      <c r="W1048" s="13" t="str">
        <f>IFERROR(VLOOKUP(Tabela1[[#This Row],[COD.MDE]],'LISTA DE EMBARQUE'!B:M,12,0),"")</f>
        <v/>
      </c>
      <c r="X1048" s="14">
        <f>IFERROR(Tabela1[[#This Row],[QIANTIDADE EXPEDIDA]]*Tabela1[[#This Row],[PESO UNI]],"")</f>
        <v>0</v>
      </c>
      <c r="Y1048" s="14">
        <f t="shared" si="212"/>
        <v>-1</v>
      </c>
      <c r="Z1048" s="20">
        <f>Tabela1[[#This Row],[PESO TOTAL]]-Tabela1[[#This Row],[Peso Expedido]]</f>
        <v>586.79999999999995</v>
      </c>
      <c r="AA1048" s="17">
        <v>1</v>
      </c>
      <c r="AB1048" s="33"/>
      <c r="AC1048" s="17">
        <v>1</v>
      </c>
      <c r="AD1048" s="33">
        <v>1</v>
      </c>
      <c r="AE1048" s="33">
        <v>0.9</v>
      </c>
      <c r="AF1048" s="33">
        <v>0.9</v>
      </c>
      <c r="AG1048" s="33"/>
      <c r="AH1048" s="33"/>
      <c r="AI1048" s="33"/>
      <c r="AJ1048"/>
      <c r="AK1048"/>
      <c r="AL1048"/>
      <c r="AM1048"/>
      <c r="AN1048"/>
      <c r="AO1048"/>
      <c r="AQ1048" s="200"/>
      <c r="AR1048" s="37"/>
      <c r="AS1048" s="37"/>
      <c r="AT1048" s="37"/>
      <c r="AU1048" s="37"/>
      <c r="AV1048" s="37"/>
      <c r="AW1048" s="37"/>
    </row>
    <row r="1049" spans="1:49" ht="15.75" customHeight="1" x14ac:dyDescent="0.25">
      <c r="A1049" s="208" t="s">
        <v>5316</v>
      </c>
      <c r="B1049" s="21" t="s">
        <v>5317</v>
      </c>
      <c r="C1049" s="195">
        <v>1</v>
      </c>
      <c r="D1049" s="1" t="s">
        <v>5318</v>
      </c>
      <c r="E1049" s="192">
        <v>4695</v>
      </c>
      <c r="F1049" s="195">
        <v>25</v>
      </c>
      <c r="G1049" s="1">
        <v>319.39999999999998</v>
      </c>
      <c r="H1049" s="34">
        <f>Tabela1[[#This Row],[PESO UNI]]*Tabela1[[#This Row],[QTE]]</f>
        <v>319.39999999999998</v>
      </c>
      <c r="I1049" s="7" t="s">
        <v>5580</v>
      </c>
      <c r="J1049" s="8" t="s">
        <v>4834</v>
      </c>
      <c r="K1049" s="8" t="s">
        <v>4320</v>
      </c>
      <c r="L1049" s="9" t="s">
        <v>3291</v>
      </c>
      <c r="M1049" s="10">
        <v>46259</v>
      </c>
      <c r="N1049" s="8" t="s">
        <v>38</v>
      </c>
      <c r="O1049" s="12"/>
      <c r="P1049" s="13"/>
      <c r="Q1049" s="14">
        <f>Tabela1[[#This Row],[QTDE/ Fabricação]]-Tabela1[[#This Row],[QTE]]</f>
        <v>-1</v>
      </c>
      <c r="R1049" s="18">
        <f t="shared" ref="R1049:R1050" si="213">IFERROR(H1049*((AA1049*0.25)+(AC1049*0.25)+(AD1049*0.225)+(AE1049*0.225)+(AF1049*0.05)),"")</f>
        <v>151.71499999999997</v>
      </c>
      <c r="S1049" s="18">
        <f t="shared" ref="S1049:S1050" si="214">IFERROR(H1049*AG1049,"")</f>
        <v>0</v>
      </c>
      <c r="T1049" s="19">
        <f t="shared" ref="T1049:T1050" si="215">IFERROR(S1049-H1049,"")</f>
        <v>-319.39999999999998</v>
      </c>
      <c r="U1049" s="16">
        <f>IFERROR(SUMIF('LISTA DE EMBARQUE'!B:B,MICRO!E:E,'LISTA DE EMBARQUE'!G:G),"")</f>
        <v>0</v>
      </c>
      <c r="V1049" s="12" t="str">
        <f>IFERROR(VLOOKUP(Tabela1[[#This Row],[COD.MDE]],'LISTA DE EMBARQUE'!B:L,11,0),"")</f>
        <v/>
      </c>
      <c r="W1049" s="13" t="str">
        <f>IFERROR(VLOOKUP(Tabela1[[#This Row],[COD.MDE]],'LISTA DE EMBARQUE'!B:M,12,0),"")</f>
        <v/>
      </c>
      <c r="X1049" s="14">
        <f>IFERROR(Tabela1[[#This Row],[QIANTIDADE EXPEDIDA]]*Tabela1[[#This Row],[PESO UNI]],"")</f>
        <v>0</v>
      </c>
      <c r="Y1049" s="14">
        <f t="shared" ref="Y1049:Y1050" si="216">U1049-C1049</f>
        <v>-1</v>
      </c>
      <c r="Z1049" s="20">
        <f>Tabela1[[#This Row],[PESO TOTAL]]-Tabela1[[#This Row],[Peso Expedido]]</f>
        <v>319.39999999999998</v>
      </c>
      <c r="AA1049" s="17">
        <v>0.95</v>
      </c>
      <c r="AB1049" s="33"/>
      <c r="AC1049" s="33">
        <v>0.95</v>
      </c>
      <c r="AD1049" s="33"/>
      <c r="AE1049" s="33"/>
      <c r="AF1049" s="33"/>
      <c r="AG1049" s="33"/>
      <c r="AH1049" s="33"/>
      <c r="AI1049" s="33"/>
      <c r="AJ1049"/>
      <c r="AK1049"/>
      <c r="AL1049"/>
      <c r="AM1049"/>
      <c r="AN1049"/>
      <c r="AO1049"/>
      <c r="AQ1049" s="200"/>
      <c r="AR1049" s="37"/>
      <c r="AS1049" s="37"/>
      <c r="AT1049" s="37"/>
      <c r="AU1049" s="37"/>
      <c r="AV1049" s="37"/>
      <c r="AW1049" s="37"/>
    </row>
    <row r="1050" spans="1:49" ht="15.75" customHeight="1" x14ac:dyDescent="0.25">
      <c r="A1050" s="208" t="s">
        <v>5316</v>
      </c>
      <c r="B1050" s="21" t="s">
        <v>5317</v>
      </c>
      <c r="C1050" s="195">
        <v>2</v>
      </c>
      <c r="D1050" s="1" t="s">
        <v>5319</v>
      </c>
      <c r="E1050" s="192">
        <v>4696</v>
      </c>
      <c r="F1050" s="195">
        <v>25</v>
      </c>
      <c r="G1050" s="1">
        <v>62.1</v>
      </c>
      <c r="H1050" s="34">
        <f>Tabela1[[#This Row],[PESO UNI]]*Tabela1[[#This Row],[QTE]]</f>
        <v>124.2</v>
      </c>
      <c r="I1050" s="7" t="s">
        <v>5580</v>
      </c>
      <c r="J1050" s="8" t="s">
        <v>4834</v>
      </c>
      <c r="K1050" s="8" t="s">
        <v>4320</v>
      </c>
      <c r="L1050" s="9" t="s">
        <v>3291</v>
      </c>
      <c r="M1050" s="10">
        <v>46259</v>
      </c>
      <c r="N1050" s="8" t="s">
        <v>38</v>
      </c>
      <c r="O1050" s="12"/>
      <c r="P1050" s="13"/>
      <c r="Q1050" s="14">
        <f>Tabela1[[#This Row],[QTDE/ Fabricação]]-Tabela1[[#This Row],[QTE]]</f>
        <v>-2</v>
      </c>
      <c r="R1050" s="18">
        <f t="shared" si="213"/>
        <v>58.994999999999997</v>
      </c>
      <c r="S1050" s="18">
        <f t="shared" si="214"/>
        <v>0</v>
      </c>
      <c r="T1050" s="19">
        <f t="shared" si="215"/>
        <v>-124.2</v>
      </c>
      <c r="U1050" s="16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IFERROR(VLOOKUP(Tabela1[[#This Row],[COD.MDE]],'LISTA DE EMBARQUE'!B:M,12,0),"")</f>
        <v/>
      </c>
      <c r="X1050" s="14">
        <f>IFERROR(Tabela1[[#This Row],[QIANTIDADE EXPEDIDA]]*Tabela1[[#This Row],[PESO UNI]],"")</f>
        <v>0</v>
      </c>
      <c r="Y1050" s="14">
        <f t="shared" si="216"/>
        <v>-2</v>
      </c>
      <c r="Z1050" s="20">
        <f>Tabela1[[#This Row],[PESO TOTAL]]-Tabela1[[#This Row],[Peso Expedido]]</f>
        <v>124.2</v>
      </c>
      <c r="AA1050" s="17">
        <v>0.95</v>
      </c>
      <c r="AB1050" s="33"/>
      <c r="AC1050" s="33">
        <v>0.95</v>
      </c>
      <c r="AD1050" s="33"/>
      <c r="AE1050" s="33"/>
      <c r="AF1050" s="33"/>
      <c r="AG1050" s="33"/>
      <c r="AH1050" s="33"/>
      <c r="AI1050" s="33"/>
      <c r="AJ1050"/>
      <c r="AK1050"/>
      <c r="AL1050"/>
      <c r="AM1050"/>
      <c r="AN1050"/>
      <c r="AO1050"/>
      <c r="AQ1050" s="200"/>
      <c r="AR1050" s="37"/>
      <c r="AS1050" s="37"/>
      <c r="AT1050" s="37"/>
      <c r="AU1050" s="37"/>
      <c r="AV1050" s="37"/>
      <c r="AW1050" s="37"/>
    </row>
    <row r="1051" spans="1:49" ht="15.75" customHeight="1" x14ac:dyDescent="0.25">
      <c r="A1051" s="208" t="s">
        <v>5316</v>
      </c>
      <c r="B1051" s="21" t="s">
        <v>5317</v>
      </c>
      <c r="C1051" s="25">
        <v>2</v>
      </c>
      <c r="D1051" s="1" t="s">
        <v>5320</v>
      </c>
      <c r="E1051" s="25">
        <v>4697</v>
      </c>
      <c r="F1051" s="25">
        <v>25</v>
      </c>
      <c r="G1051" s="1">
        <v>9.5</v>
      </c>
      <c r="H1051" s="34">
        <f>Tabela1[[#This Row],[PESO UNI]]*Tabela1[[#This Row],[QTE]]</f>
        <v>19</v>
      </c>
      <c r="I1051" s="7" t="s">
        <v>5580</v>
      </c>
      <c r="J1051" s="8" t="s">
        <v>4834</v>
      </c>
      <c r="K1051" s="8" t="s">
        <v>4320</v>
      </c>
      <c r="L1051" s="9" t="s">
        <v>3291</v>
      </c>
      <c r="M1051" s="10">
        <v>46259</v>
      </c>
      <c r="N1051" s="8" t="s">
        <v>38</v>
      </c>
      <c r="O1051" s="12"/>
      <c r="P1051" s="13"/>
      <c r="Q1051" s="14">
        <f>Tabela1[[#This Row],[QTDE/ Fabricação]]-Tabela1[[#This Row],[QTE]]</f>
        <v>-2</v>
      </c>
      <c r="R1051" s="18">
        <f t="shared" ref="R1051:R1067" si="217">IFERROR(H1051*((AA1051*0.25)+(AC1051*0.25)+(AD1051*0.225)+(AE1051*0.225)+(AF1051*0.05)),"")</f>
        <v>9.0250000000000004</v>
      </c>
      <c r="S1051" s="18">
        <f t="shared" ref="S1051:S1067" si="218">IFERROR(H1051*AG1051,"")</f>
        <v>0</v>
      </c>
      <c r="T1051" s="19">
        <f t="shared" ref="T1051:T1067" si="219">IFERROR(S1051-H1051,"")</f>
        <v>-19</v>
      </c>
      <c r="U1051" s="16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IFERROR(VLOOKUP(Tabela1[[#This Row],[COD.MDE]],'LISTA DE EMBARQUE'!B:M,12,0),"")</f>
        <v/>
      </c>
      <c r="X1051" s="14">
        <f>IFERROR(Tabela1[[#This Row],[QIANTIDADE EXPEDIDA]]*Tabela1[[#This Row],[PESO UNI]],"")</f>
        <v>0</v>
      </c>
      <c r="Y1051" s="14">
        <f t="shared" ref="Y1051:Y1067" si="220">U1051-C1051</f>
        <v>-2</v>
      </c>
      <c r="Z1051" s="20">
        <f>Tabela1[[#This Row],[PESO TOTAL]]-Tabela1[[#This Row],[Peso Expedido]]</f>
        <v>19</v>
      </c>
      <c r="AA1051" s="17">
        <v>0.95</v>
      </c>
      <c r="AB1051" s="33"/>
      <c r="AC1051" s="33">
        <v>0.95</v>
      </c>
      <c r="AD1051" s="33"/>
      <c r="AE1051" s="33"/>
      <c r="AF1051" s="33"/>
      <c r="AG1051" s="33"/>
      <c r="AH1051" s="33"/>
      <c r="AI1051" s="33"/>
      <c r="AJ1051"/>
      <c r="AK1051"/>
      <c r="AL1051"/>
      <c r="AM1051"/>
      <c r="AN1051"/>
      <c r="AO1051"/>
      <c r="AQ1051" s="200"/>
      <c r="AR1051" s="37"/>
      <c r="AS1051" s="37"/>
    </row>
    <row r="1052" spans="1:49" ht="15.75" customHeight="1" x14ac:dyDescent="0.25">
      <c r="A1052" s="21" t="s">
        <v>5321</v>
      </c>
      <c r="B1052" s="21" t="s">
        <v>5322</v>
      </c>
      <c r="C1052" s="195">
        <v>6</v>
      </c>
      <c r="D1052" s="1" t="s">
        <v>5323</v>
      </c>
      <c r="E1052" s="192">
        <v>4698</v>
      </c>
      <c r="F1052" s="195">
        <v>26</v>
      </c>
      <c r="G1052" s="1">
        <v>49.6</v>
      </c>
      <c r="H1052" s="34">
        <f>Tabela1[[#This Row],[PESO UNI]]*Tabela1[[#This Row],[QTE]]</f>
        <v>297.60000000000002</v>
      </c>
      <c r="I1052" s="7" t="s">
        <v>5614</v>
      </c>
      <c r="J1052" s="8" t="s">
        <v>4834</v>
      </c>
      <c r="K1052" s="8" t="s">
        <v>4320</v>
      </c>
      <c r="L1052" s="9" t="s">
        <v>3291</v>
      </c>
      <c r="M1052" s="10">
        <v>46259</v>
      </c>
      <c r="N1052" s="8" t="s">
        <v>38</v>
      </c>
      <c r="O1052" s="12"/>
      <c r="P1052" s="13"/>
      <c r="Q1052" s="14">
        <f>Tabela1[[#This Row],[QTDE/ Fabricação]]-Tabela1[[#This Row],[QTE]]</f>
        <v>-6</v>
      </c>
      <c r="R1052" s="18">
        <f t="shared" si="217"/>
        <v>74.400000000000006</v>
      </c>
      <c r="S1052" s="18">
        <f t="shared" si="218"/>
        <v>0</v>
      </c>
      <c r="T1052" s="19">
        <f t="shared" si="219"/>
        <v>-297.60000000000002</v>
      </c>
      <c r="U1052" s="16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IFERROR(VLOOKUP(Tabela1[[#This Row],[COD.MDE]],'LISTA DE EMBARQUE'!B:M,12,0),"")</f>
        <v/>
      </c>
      <c r="X1052" s="14">
        <f>IFERROR(Tabela1[[#This Row],[QIANTIDADE EXPEDIDA]]*Tabela1[[#This Row],[PESO UNI]],"")</f>
        <v>0</v>
      </c>
      <c r="Y1052" s="14">
        <f t="shared" si="220"/>
        <v>-6</v>
      </c>
      <c r="Z1052" s="20">
        <f>Tabela1[[#This Row],[PESO TOTAL]]-Tabela1[[#This Row],[Peso Expedido]]</f>
        <v>297.60000000000002</v>
      </c>
      <c r="AA1052" s="17">
        <v>0.5</v>
      </c>
      <c r="AB1052" s="33"/>
      <c r="AC1052" s="33">
        <v>0.5</v>
      </c>
      <c r="AD1052" s="33"/>
      <c r="AE1052" s="33"/>
      <c r="AF1052" s="33"/>
      <c r="AG1052" s="33"/>
      <c r="AH1052" s="33"/>
      <c r="AI1052" s="33"/>
      <c r="AJ1052"/>
      <c r="AK1052"/>
      <c r="AL1052"/>
      <c r="AM1052"/>
      <c r="AN1052"/>
      <c r="AO1052"/>
      <c r="AQ1052" s="200"/>
      <c r="AR1052" s="37"/>
      <c r="AS1052" s="37"/>
      <c r="AT1052" s="37"/>
      <c r="AU1052" s="37"/>
      <c r="AV1052" s="37"/>
      <c r="AW1052" s="37"/>
    </row>
    <row r="1053" spans="1:49" ht="15.75" customHeight="1" x14ac:dyDescent="0.25">
      <c r="A1053" s="21" t="s">
        <v>5321</v>
      </c>
      <c r="B1053" s="21" t="s">
        <v>5322</v>
      </c>
      <c r="C1053" s="195">
        <v>6</v>
      </c>
      <c r="D1053" s="1" t="s">
        <v>5324</v>
      </c>
      <c r="E1053" s="192">
        <v>4699</v>
      </c>
      <c r="F1053" s="195">
        <v>26</v>
      </c>
      <c r="G1053" s="1">
        <v>49.6</v>
      </c>
      <c r="H1053" s="34">
        <f>Tabela1[[#This Row],[PESO UNI]]*Tabela1[[#This Row],[QTE]]</f>
        <v>297.60000000000002</v>
      </c>
      <c r="I1053" s="7" t="s">
        <v>5614</v>
      </c>
      <c r="J1053" s="8" t="s">
        <v>4834</v>
      </c>
      <c r="K1053" s="8" t="s">
        <v>4320</v>
      </c>
      <c r="L1053" s="9" t="s">
        <v>3291</v>
      </c>
      <c r="M1053" s="10">
        <v>46259</v>
      </c>
      <c r="N1053" s="8" t="s">
        <v>38</v>
      </c>
      <c r="O1053" s="12"/>
      <c r="P1053" s="13"/>
      <c r="Q1053" s="14">
        <f>Tabela1[[#This Row],[QTDE/ Fabricação]]-Tabela1[[#This Row],[QTE]]</f>
        <v>-6</v>
      </c>
      <c r="R1053" s="18">
        <f t="shared" si="217"/>
        <v>74.400000000000006</v>
      </c>
      <c r="S1053" s="18">
        <f t="shared" si="218"/>
        <v>0</v>
      </c>
      <c r="T1053" s="19">
        <f t="shared" si="219"/>
        <v>-297.60000000000002</v>
      </c>
      <c r="U1053" s="16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IFERROR(VLOOKUP(Tabela1[[#This Row],[COD.MDE]],'LISTA DE EMBARQUE'!B:M,12,0),"")</f>
        <v/>
      </c>
      <c r="X1053" s="14">
        <f>IFERROR(Tabela1[[#This Row],[QIANTIDADE EXPEDIDA]]*Tabela1[[#This Row],[PESO UNI]],"")</f>
        <v>0</v>
      </c>
      <c r="Y1053" s="14">
        <f t="shared" si="220"/>
        <v>-6</v>
      </c>
      <c r="Z1053" s="20">
        <f>Tabela1[[#This Row],[PESO TOTAL]]-Tabela1[[#This Row],[Peso Expedido]]</f>
        <v>297.60000000000002</v>
      </c>
      <c r="AA1053" s="17">
        <v>0.5</v>
      </c>
      <c r="AB1053" s="33"/>
      <c r="AC1053" s="33">
        <v>0.5</v>
      </c>
      <c r="AD1053" s="33"/>
      <c r="AE1053" s="33"/>
      <c r="AF1053" s="33"/>
      <c r="AG1053" s="33"/>
      <c r="AH1053" s="33"/>
      <c r="AI1053" s="33"/>
      <c r="AJ1053"/>
      <c r="AK1053"/>
      <c r="AL1053"/>
      <c r="AM1053"/>
      <c r="AN1053"/>
      <c r="AO1053"/>
      <c r="AQ1053" s="200"/>
      <c r="AR1053" s="37"/>
      <c r="AS1053" s="37"/>
      <c r="AT1053" s="37"/>
      <c r="AU1053" s="37"/>
      <c r="AV1053" s="37"/>
      <c r="AW1053" s="37"/>
    </row>
    <row r="1054" spans="1:49" ht="15.75" customHeight="1" x14ac:dyDescent="0.25">
      <c r="A1054" s="21" t="s">
        <v>5321</v>
      </c>
      <c r="B1054" s="21" t="s">
        <v>5322</v>
      </c>
      <c r="C1054" s="195">
        <v>1</v>
      </c>
      <c r="D1054" s="1" t="s">
        <v>5325</v>
      </c>
      <c r="E1054" s="192">
        <v>4700</v>
      </c>
      <c r="F1054" s="195">
        <v>26</v>
      </c>
      <c r="G1054" s="1">
        <v>13.7</v>
      </c>
      <c r="H1054" s="34">
        <f>Tabela1[[#This Row],[PESO UNI]]*Tabela1[[#This Row],[QTE]]</f>
        <v>13.7</v>
      </c>
      <c r="I1054" s="7" t="s">
        <v>5614</v>
      </c>
      <c r="J1054" s="8" t="s">
        <v>4834</v>
      </c>
      <c r="K1054" s="8" t="s">
        <v>4320</v>
      </c>
      <c r="L1054" s="9" t="s">
        <v>3291</v>
      </c>
      <c r="M1054" s="10">
        <v>46259</v>
      </c>
      <c r="N1054" s="8" t="s">
        <v>38</v>
      </c>
      <c r="O1054" s="12"/>
      <c r="P1054" s="13"/>
      <c r="Q1054" s="14">
        <f>Tabela1[[#This Row],[QTDE/ Fabricação]]-Tabela1[[#This Row],[QTE]]</f>
        <v>-1</v>
      </c>
      <c r="R1054" s="18">
        <f t="shared" si="217"/>
        <v>3.4249999999999998</v>
      </c>
      <c r="S1054" s="18">
        <f t="shared" si="218"/>
        <v>0</v>
      </c>
      <c r="T1054" s="19">
        <f t="shared" si="219"/>
        <v>-13.7</v>
      </c>
      <c r="U1054" s="16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IFERROR(VLOOKUP(Tabela1[[#This Row],[COD.MDE]],'LISTA DE EMBARQUE'!B:M,12,0),"")</f>
        <v/>
      </c>
      <c r="X1054" s="14">
        <f>IFERROR(Tabela1[[#This Row],[QIANTIDADE EXPEDIDA]]*Tabela1[[#This Row],[PESO UNI]],"")</f>
        <v>0</v>
      </c>
      <c r="Y1054" s="14">
        <f t="shared" si="220"/>
        <v>-1</v>
      </c>
      <c r="Z1054" s="20">
        <f>Tabela1[[#This Row],[PESO TOTAL]]-Tabela1[[#This Row],[Peso Expedido]]</f>
        <v>13.7</v>
      </c>
      <c r="AA1054" s="17">
        <v>0.5</v>
      </c>
      <c r="AB1054" s="33"/>
      <c r="AC1054" s="33">
        <v>0.5</v>
      </c>
      <c r="AD1054" s="33"/>
      <c r="AE1054" s="33"/>
      <c r="AF1054" s="33"/>
      <c r="AG1054" s="33"/>
      <c r="AH1054" s="33"/>
      <c r="AI1054" s="33"/>
      <c r="AJ1054"/>
      <c r="AK1054"/>
      <c r="AL1054"/>
      <c r="AM1054"/>
      <c r="AN1054"/>
      <c r="AO1054"/>
      <c r="AQ1054" s="200"/>
      <c r="AR1054" s="37"/>
      <c r="AS1054" s="37"/>
      <c r="AT1054" s="37"/>
      <c r="AU1054" s="37"/>
      <c r="AV1054" s="37"/>
      <c r="AW1054" s="37"/>
    </row>
    <row r="1055" spans="1:49" ht="15.75" customHeight="1" x14ac:dyDescent="0.25">
      <c r="A1055" s="21" t="s">
        <v>5321</v>
      </c>
      <c r="B1055" s="21" t="s">
        <v>5322</v>
      </c>
      <c r="C1055" s="195">
        <v>12</v>
      </c>
      <c r="D1055" s="1" t="s">
        <v>5326</v>
      </c>
      <c r="E1055" s="192">
        <v>4701</v>
      </c>
      <c r="F1055" s="195">
        <v>26</v>
      </c>
      <c r="G1055" s="1">
        <v>7</v>
      </c>
      <c r="H1055" s="34">
        <f>Tabela1[[#This Row],[PESO UNI]]*Tabela1[[#This Row],[QTE]]</f>
        <v>84</v>
      </c>
      <c r="I1055" s="7" t="s">
        <v>5614</v>
      </c>
      <c r="J1055" s="8" t="s">
        <v>4834</v>
      </c>
      <c r="K1055" s="8" t="s">
        <v>4320</v>
      </c>
      <c r="L1055" s="9" t="s">
        <v>3291</v>
      </c>
      <c r="M1055" s="10">
        <v>46259</v>
      </c>
      <c r="N1055" s="8" t="s">
        <v>38</v>
      </c>
      <c r="O1055" s="12"/>
      <c r="P1055" s="13"/>
      <c r="Q1055" s="14">
        <f>Tabela1[[#This Row],[QTDE/ Fabricação]]-Tabela1[[#This Row],[QTE]]</f>
        <v>-12</v>
      </c>
      <c r="R1055" s="18">
        <f t="shared" si="217"/>
        <v>21</v>
      </c>
      <c r="S1055" s="18">
        <f t="shared" si="218"/>
        <v>0</v>
      </c>
      <c r="T1055" s="19">
        <f t="shared" si="219"/>
        <v>-84</v>
      </c>
      <c r="U1055" s="16">
        <f>IFERROR(SUMIF('LISTA DE EMBARQUE'!B:B,MICRO!E:E,'LISTA DE EMBARQUE'!G:G),"")</f>
        <v>0</v>
      </c>
      <c r="V1055" s="12" t="str">
        <f>IFERROR(VLOOKUP(Tabela1[[#This Row],[COD.MDE]],'LISTA DE EMBARQUE'!B:L,11,0),"")</f>
        <v/>
      </c>
      <c r="W1055" s="13" t="str">
        <f>IFERROR(VLOOKUP(Tabela1[[#This Row],[COD.MDE]],'LISTA DE EMBARQUE'!B:M,12,0),"")</f>
        <v/>
      </c>
      <c r="X1055" s="14">
        <f>IFERROR(Tabela1[[#This Row],[QIANTIDADE EXPEDIDA]]*Tabela1[[#This Row],[PESO UNI]],"")</f>
        <v>0</v>
      </c>
      <c r="Y1055" s="14">
        <f t="shared" si="220"/>
        <v>-12</v>
      </c>
      <c r="Z1055" s="20">
        <f>Tabela1[[#This Row],[PESO TOTAL]]-Tabela1[[#This Row],[Peso Expedido]]</f>
        <v>84</v>
      </c>
      <c r="AA1055" s="17">
        <v>0.5</v>
      </c>
      <c r="AB1055" s="33"/>
      <c r="AC1055" s="33">
        <v>0.5</v>
      </c>
      <c r="AD1055" s="33"/>
      <c r="AE1055" s="33"/>
      <c r="AF1055" s="33"/>
      <c r="AG1055" s="33"/>
      <c r="AH1055" s="33"/>
      <c r="AI1055" s="33"/>
      <c r="AJ1055"/>
      <c r="AK1055"/>
      <c r="AL1055"/>
      <c r="AM1055"/>
      <c r="AN1055"/>
      <c r="AO1055"/>
      <c r="AQ1055" s="200"/>
      <c r="AR1055" s="37"/>
      <c r="AS1055" s="37"/>
      <c r="AT1055" s="37"/>
      <c r="AU1055" s="37"/>
      <c r="AV1055" s="37"/>
      <c r="AW1055" s="37"/>
    </row>
    <row r="1056" spans="1:49" ht="15.75" customHeight="1" x14ac:dyDescent="0.25">
      <c r="A1056" s="21" t="s">
        <v>5321</v>
      </c>
      <c r="B1056" s="21" t="s">
        <v>5322</v>
      </c>
      <c r="C1056" s="195">
        <v>12</v>
      </c>
      <c r="D1056" s="1" t="s">
        <v>5327</v>
      </c>
      <c r="E1056" s="192">
        <v>4702</v>
      </c>
      <c r="F1056" s="195">
        <v>26</v>
      </c>
      <c r="G1056" s="1">
        <v>7</v>
      </c>
      <c r="H1056" s="34">
        <f>Tabela1[[#This Row],[PESO UNI]]*Tabela1[[#This Row],[QTE]]</f>
        <v>84</v>
      </c>
      <c r="I1056" s="7" t="s">
        <v>5614</v>
      </c>
      <c r="J1056" s="8" t="s">
        <v>4834</v>
      </c>
      <c r="K1056" s="8" t="s">
        <v>4320</v>
      </c>
      <c r="L1056" s="9" t="s">
        <v>3291</v>
      </c>
      <c r="M1056" s="10">
        <v>46259</v>
      </c>
      <c r="N1056" s="8" t="s">
        <v>38</v>
      </c>
      <c r="O1056" s="12"/>
      <c r="P1056" s="13"/>
      <c r="Q1056" s="14">
        <f>Tabela1[[#This Row],[QTDE/ Fabricação]]-Tabela1[[#This Row],[QTE]]</f>
        <v>-12</v>
      </c>
      <c r="R1056" s="18">
        <f t="shared" si="217"/>
        <v>21</v>
      </c>
      <c r="S1056" s="18">
        <f t="shared" si="218"/>
        <v>0</v>
      </c>
      <c r="T1056" s="19">
        <f t="shared" si="219"/>
        <v>-84</v>
      </c>
      <c r="U1056" s="16">
        <f>IFERROR(SUMIF('LISTA DE EMBARQUE'!B:B,MICRO!E:E,'LISTA DE EMBARQUE'!G:G),"")</f>
        <v>0</v>
      </c>
      <c r="V1056" s="12" t="str">
        <f>IFERROR(VLOOKUP(Tabela1[[#This Row],[COD.MDE]],'LISTA DE EMBARQUE'!B:L,11,0),"")</f>
        <v/>
      </c>
      <c r="W1056" s="13" t="str">
        <f>IFERROR(VLOOKUP(Tabela1[[#This Row],[COD.MDE]],'LISTA DE EMBARQUE'!B:M,12,0),"")</f>
        <v/>
      </c>
      <c r="X1056" s="14">
        <f>IFERROR(Tabela1[[#This Row],[QIANTIDADE EXPEDIDA]]*Tabela1[[#This Row],[PESO UNI]],"")</f>
        <v>0</v>
      </c>
      <c r="Y1056" s="14">
        <f t="shared" si="220"/>
        <v>-12</v>
      </c>
      <c r="Z1056" s="20">
        <f>Tabela1[[#This Row],[PESO TOTAL]]-Tabela1[[#This Row],[Peso Expedido]]</f>
        <v>84</v>
      </c>
      <c r="AA1056" s="17">
        <v>0.5</v>
      </c>
      <c r="AB1056" s="33"/>
      <c r="AC1056" s="33">
        <v>0.5</v>
      </c>
      <c r="AD1056" s="33"/>
      <c r="AE1056" s="33"/>
      <c r="AF1056" s="33"/>
      <c r="AG1056" s="33"/>
      <c r="AH1056" s="33"/>
      <c r="AI1056" s="33"/>
      <c r="AJ1056"/>
      <c r="AK1056"/>
      <c r="AL1056"/>
      <c r="AM1056"/>
      <c r="AN1056"/>
      <c r="AO1056"/>
      <c r="AQ1056" s="200"/>
      <c r="AR1056" s="37"/>
      <c r="AS1056" s="37"/>
      <c r="AT1056" s="37"/>
      <c r="AU1056" s="37"/>
      <c r="AV1056" s="37"/>
      <c r="AW1056" s="37"/>
    </row>
    <row r="1057" spans="1:49" ht="15.75" customHeight="1" x14ac:dyDescent="0.25">
      <c r="A1057" s="21" t="s">
        <v>5321</v>
      </c>
      <c r="B1057" s="21" t="s">
        <v>5322</v>
      </c>
      <c r="C1057" s="195">
        <v>24</v>
      </c>
      <c r="D1057" s="1" t="s">
        <v>5328</v>
      </c>
      <c r="E1057" s="192">
        <v>4703</v>
      </c>
      <c r="F1057" s="195">
        <v>26</v>
      </c>
      <c r="G1057" s="1">
        <v>0.6</v>
      </c>
      <c r="H1057" s="34">
        <f>Tabela1[[#This Row],[PESO UNI]]*Tabela1[[#This Row],[QTE]]</f>
        <v>14.399999999999999</v>
      </c>
      <c r="I1057" s="7" t="s">
        <v>5614</v>
      </c>
      <c r="J1057" s="8" t="s">
        <v>4834</v>
      </c>
      <c r="K1057" s="8" t="s">
        <v>4320</v>
      </c>
      <c r="L1057" s="9" t="s">
        <v>3291</v>
      </c>
      <c r="M1057" s="10">
        <v>46259</v>
      </c>
      <c r="N1057" s="8" t="s">
        <v>38</v>
      </c>
      <c r="O1057" s="12"/>
      <c r="P1057" s="13"/>
      <c r="Q1057" s="14">
        <f>Tabela1[[#This Row],[QTDE/ Fabricação]]-Tabela1[[#This Row],[QTE]]</f>
        <v>-24</v>
      </c>
      <c r="R1057" s="18">
        <f t="shared" si="217"/>
        <v>3.5999999999999996</v>
      </c>
      <c r="S1057" s="18">
        <f t="shared" si="218"/>
        <v>0</v>
      </c>
      <c r="T1057" s="19">
        <f t="shared" si="219"/>
        <v>-14.399999999999999</v>
      </c>
      <c r="U1057" s="16">
        <f>IFERROR(SUMIF('LISTA DE EMBARQUE'!B:B,MICRO!E:E,'LISTA DE EMBARQUE'!G:G),"")</f>
        <v>0</v>
      </c>
      <c r="V1057" s="12" t="str">
        <f>IFERROR(VLOOKUP(Tabela1[[#This Row],[COD.MDE]],'LISTA DE EMBARQUE'!B:L,11,0),"")</f>
        <v/>
      </c>
      <c r="W1057" s="13" t="str">
        <f>IFERROR(VLOOKUP(Tabela1[[#This Row],[COD.MDE]],'LISTA DE EMBARQUE'!B:M,12,0),"")</f>
        <v/>
      </c>
      <c r="X1057" s="14">
        <f>IFERROR(Tabela1[[#This Row],[QIANTIDADE EXPEDIDA]]*Tabela1[[#This Row],[PESO UNI]],"")</f>
        <v>0</v>
      </c>
      <c r="Y1057" s="14">
        <f t="shared" si="220"/>
        <v>-24</v>
      </c>
      <c r="Z1057" s="20">
        <f>Tabela1[[#This Row],[PESO TOTAL]]-Tabela1[[#This Row],[Peso Expedido]]</f>
        <v>14.399999999999999</v>
      </c>
      <c r="AA1057" s="17">
        <v>0.5</v>
      </c>
      <c r="AB1057" s="33"/>
      <c r="AC1057" s="33">
        <v>0.5</v>
      </c>
      <c r="AD1057" s="33"/>
      <c r="AE1057" s="33"/>
      <c r="AF1057" s="33"/>
      <c r="AG1057" s="33"/>
      <c r="AH1057" s="33"/>
      <c r="AI1057" s="33"/>
      <c r="AJ1057"/>
      <c r="AK1057"/>
      <c r="AL1057"/>
      <c r="AM1057"/>
      <c r="AN1057"/>
      <c r="AO1057"/>
      <c r="AQ1057" s="200"/>
      <c r="AR1057" s="37"/>
      <c r="AS1057" s="37"/>
      <c r="AT1057" s="37"/>
      <c r="AU1057" s="37"/>
      <c r="AV1057" s="37"/>
      <c r="AW1057" s="37"/>
    </row>
    <row r="1058" spans="1:49" ht="15.75" customHeight="1" x14ac:dyDescent="0.25">
      <c r="A1058" s="21" t="s">
        <v>5321</v>
      </c>
      <c r="B1058" s="21" t="s">
        <v>5322</v>
      </c>
      <c r="C1058" s="195">
        <v>12</v>
      </c>
      <c r="D1058" s="1" t="s">
        <v>5331</v>
      </c>
      <c r="E1058" s="192">
        <v>4704</v>
      </c>
      <c r="F1058" s="195">
        <v>26</v>
      </c>
      <c r="G1058" s="1">
        <v>1.7</v>
      </c>
      <c r="H1058" s="34">
        <f>Tabela1[[#This Row],[PESO UNI]]*Tabela1[[#This Row],[QTE]]</f>
        <v>20.399999999999999</v>
      </c>
      <c r="I1058" s="7" t="s">
        <v>5614</v>
      </c>
      <c r="J1058" s="8" t="s">
        <v>4834</v>
      </c>
      <c r="K1058" s="8" t="s">
        <v>4320</v>
      </c>
      <c r="L1058" s="9" t="s">
        <v>3291</v>
      </c>
      <c r="M1058" s="10">
        <v>46259</v>
      </c>
      <c r="N1058" s="8" t="s">
        <v>38</v>
      </c>
      <c r="O1058" s="12"/>
      <c r="P1058" s="13"/>
      <c r="Q1058" s="14">
        <f>Tabela1[[#This Row],[QTDE/ Fabricação]]-Tabela1[[#This Row],[QTE]]</f>
        <v>-12</v>
      </c>
      <c r="R1058" s="18">
        <f t="shared" si="217"/>
        <v>5.0999999999999996</v>
      </c>
      <c r="S1058" s="18">
        <f t="shared" si="218"/>
        <v>0</v>
      </c>
      <c r="T1058" s="19">
        <f t="shared" si="219"/>
        <v>-20.399999999999999</v>
      </c>
      <c r="U1058" s="16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IFERROR(VLOOKUP(Tabela1[[#This Row],[COD.MDE]],'LISTA DE EMBARQUE'!B:M,12,0),"")</f>
        <v/>
      </c>
      <c r="X1058" s="14">
        <f>IFERROR(Tabela1[[#This Row],[QIANTIDADE EXPEDIDA]]*Tabela1[[#This Row],[PESO UNI]],"")</f>
        <v>0</v>
      </c>
      <c r="Y1058" s="14">
        <f t="shared" si="220"/>
        <v>-12</v>
      </c>
      <c r="Z1058" s="20">
        <f>Tabela1[[#This Row],[PESO TOTAL]]-Tabela1[[#This Row],[Peso Expedido]]</f>
        <v>20.399999999999999</v>
      </c>
      <c r="AA1058" s="17">
        <v>0.5</v>
      </c>
      <c r="AB1058" s="33"/>
      <c r="AC1058" s="33">
        <v>0.5</v>
      </c>
      <c r="AD1058" s="33"/>
      <c r="AE1058" s="33"/>
      <c r="AF1058" s="33"/>
      <c r="AG1058" s="33"/>
      <c r="AH1058" s="33"/>
      <c r="AI1058" s="33"/>
      <c r="AJ1058"/>
      <c r="AK1058"/>
      <c r="AL1058"/>
      <c r="AM1058"/>
      <c r="AN1058"/>
      <c r="AO1058"/>
      <c r="AQ1058" s="200"/>
      <c r="AR1058" s="37"/>
      <c r="AS1058" s="37"/>
      <c r="AT1058" s="37"/>
      <c r="AU1058" s="37"/>
      <c r="AV1058" s="37"/>
      <c r="AW1058" s="37"/>
    </row>
    <row r="1059" spans="1:49" ht="15.75" customHeight="1" x14ac:dyDescent="0.25">
      <c r="A1059" s="21" t="s">
        <v>5321</v>
      </c>
      <c r="B1059" s="21" t="s">
        <v>5322</v>
      </c>
      <c r="C1059" s="195">
        <v>24</v>
      </c>
      <c r="D1059" s="1" t="s">
        <v>5330</v>
      </c>
      <c r="E1059" s="192">
        <v>4705</v>
      </c>
      <c r="F1059" s="195">
        <v>26</v>
      </c>
      <c r="G1059" s="1">
        <v>1.5</v>
      </c>
      <c r="H1059" s="34">
        <f>Tabela1[[#This Row],[PESO UNI]]*Tabela1[[#This Row],[QTE]]</f>
        <v>36</v>
      </c>
      <c r="I1059" s="7" t="s">
        <v>5614</v>
      </c>
      <c r="J1059" s="8" t="s">
        <v>4834</v>
      </c>
      <c r="K1059" s="8" t="s">
        <v>4320</v>
      </c>
      <c r="L1059" s="9" t="s">
        <v>3291</v>
      </c>
      <c r="M1059" s="10">
        <v>46259</v>
      </c>
      <c r="N1059" s="8" t="s">
        <v>38</v>
      </c>
      <c r="O1059" s="12"/>
      <c r="P1059" s="13"/>
      <c r="Q1059" s="14">
        <f>Tabela1[[#This Row],[QTDE/ Fabricação]]-Tabela1[[#This Row],[QTE]]</f>
        <v>-24</v>
      </c>
      <c r="R1059" s="18">
        <f t="shared" si="217"/>
        <v>9</v>
      </c>
      <c r="S1059" s="18">
        <f t="shared" si="218"/>
        <v>0</v>
      </c>
      <c r="T1059" s="19">
        <f t="shared" si="219"/>
        <v>-36</v>
      </c>
      <c r="U1059" s="16">
        <f>IFERROR(SUMIF('LISTA DE EMBARQUE'!B:B,MICRO!E:E,'LISTA DE EMBARQUE'!G:G),"")</f>
        <v>0</v>
      </c>
      <c r="V1059" s="12" t="str">
        <f>IFERROR(VLOOKUP(Tabela1[[#This Row],[COD.MDE]],'LISTA DE EMBARQUE'!B:L,11,0),"")</f>
        <v/>
      </c>
      <c r="W1059" s="13" t="str">
        <f>IFERROR(VLOOKUP(Tabela1[[#This Row],[COD.MDE]],'LISTA DE EMBARQUE'!B:M,12,0),"")</f>
        <v/>
      </c>
      <c r="X1059" s="14">
        <f>IFERROR(Tabela1[[#This Row],[QIANTIDADE EXPEDIDA]]*Tabela1[[#This Row],[PESO UNI]],"")</f>
        <v>0</v>
      </c>
      <c r="Y1059" s="14">
        <f t="shared" si="220"/>
        <v>-24</v>
      </c>
      <c r="Z1059" s="20">
        <f>Tabela1[[#This Row],[PESO TOTAL]]-Tabela1[[#This Row],[Peso Expedido]]</f>
        <v>36</v>
      </c>
      <c r="AA1059" s="17">
        <v>0.5</v>
      </c>
      <c r="AB1059" s="33"/>
      <c r="AC1059" s="33">
        <v>0.5</v>
      </c>
      <c r="AD1059" s="33"/>
      <c r="AE1059" s="33"/>
      <c r="AF1059" s="33"/>
      <c r="AG1059" s="33"/>
      <c r="AH1059" s="33"/>
      <c r="AI1059" s="33"/>
      <c r="AJ1059"/>
      <c r="AK1059"/>
      <c r="AL1059"/>
      <c r="AM1059"/>
      <c r="AN1059"/>
      <c r="AO1059"/>
      <c r="AQ1059" s="200"/>
      <c r="AR1059" s="37"/>
      <c r="AS1059" s="37"/>
      <c r="AT1059" s="37"/>
      <c r="AU1059" s="37"/>
      <c r="AV1059" s="37"/>
      <c r="AW1059" s="37"/>
    </row>
    <row r="1060" spans="1:49" ht="15.75" customHeight="1" x14ac:dyDescent="0.25">
      <c r="A1060" s="21" t="s">
        <v>5321</v>
      </c>
      <c r="B1060" s="21" t="s">
        <v>5322</v>
      </c>
      <c r="C1060" s="195">
        <v>1</v>
      </c>
      <c r="D1060" s="1" t="s">
        <v>5329</v>
      </c>
      <c r="E1060" s="192">
        <v>4706</v>
      </c>
      <c r="F1060" s="195">
        <v>26</v>
      </c>
      <c r="G1060" s="1">
        <v>1.3</v>
      </c>
      <c r="H1060" s="34">
        <f>Tabela1[[#This Row],[PESO UNI]]*Tabela1[[#This Row],[QTE]]</f>
        <v>1.3</v>
      </c>
      <c r="I1060" s="7" t="s">
        <v>5614</v>
      </c>
      <c r="J1060" s="8" t="s">
        <v>4834</v>
      </c>
      <c r="K1060" s="8" t="s">
        <v>4320</v>
      </c>
      <c r="L1060" s="9" t="s">
        <v>3291</v>
      </c>
      <c r="M1060" s="10">
        <v>46259</v>
      </c>
      <c r="N1060" s="8" t="s">
        <v>38</v>
      </c>
      <c r="O1060" s="12"/>
      <c r="P1060" s="13"/>
      <c r="Q1060" s="14">
        <f>Tabela1[[#This Row],[QTDE/ Fabricação]]-Tabela1[[#This Row],[QTE]]</f>
        <v>-1</v>
      </c>
      <c r="R1060" s="18">
        <f t="shared" si="217"/>
        <v>0.32500000000000001</v>
      </c>
      <c r="S1060" s="18">
        <f t="shared" si="218"/>
        <v>0</v>
      </c>
      <c r="T1060" s="19">
        <f t="shared" si="219"/>
        <v>-1.3</v>
      </c>
      <c r="U1060" s="16">
        <f>IFERROR(SUMIF('LISTA DE EMBARQUE'!B:B,MICRO!E:E,'LISTA DE EMBARQUE'!G:G),"")</f>
        <v>0</v>
      </c>
      <c r="V1060" s="12" t="str">
        <f>IFERROR(VLOOKUP(Tabela1[[#This Row],[COD.MDE]],'LISTA DE EMBARQUE'!B:L,11,0),"")</f>
        <v/>
      </c>
      <c r="W1060" s="13" t="str">
        <f>IFERROR(VLOOKUP(Tabela1[[#This Row],[COD.MDE]],'LISTA DE EMBARQUE'!B:M,12,0),"")</f>
        <v/>
      </c>
      <c r="X1060" s="14">
        <f>IFERROR(Tabela1[[#This Row],[QIANTIDADE EXPEDIDA]]*Tabela1[[#This Row],[PESO UNI]],"")</f>
        <v>0</v>
      </c>
      <c r="Y1060" s="14">
        <f t="shared" si="220"/>
        <v>-1</v>
      </c>
      <c r="Z1060" s="20">
        <f>Tabela1[[#This Row],[PESO TOTAL]]-Tabela1[[#This Row],[Peso Expedido]]</f>
        <v>1.3</v>
      </c>
      <c r="AA1060" s="17">
        <v>0.5</v>
      </c>
      <c r="AB1060" s="33"/>
      <c r="AC1060" s="33">
        <v>0.5</v>
      </c>
      <c r="AD1060" s="33"/>
      <c r="AE1060" s="33"/>
      <c r="AF1060" s="33"/>
      <c r="AG1060" s="33"/>
      <c r="AH1060" s="33"/>
      <c r="AI1060" s="33"/>
      <c r="AJ1060"/>
      <c r="AK1060"/>
      <c r="AL1060"/>
      <c r="AM1060"/>
      <c r="AN1060"/>
      <c r="AO1060"/>
      <c r="AQ1060" s="200"/>
      <c r="AR1060" s="37"/>
      <c r="AS1060" s="37"/>
      <c r="AT1060" s="37"/>
      <c r="AU1060" s="37"/>
      <c r="AV1060" s="37"/>
      <c r="AW1060" s="37"/>
    </row>
    <row r="1061" spans="1:49" ht="15.75" customHeight="1" x14ac:dyDescent="0.25">
      <c r="A1061" s="21" t="s">
        <v>5334</v>
      </c>
      <c r="B1061" s="21"/>
      <c r="C1061" s="195">
        <v>2</v>
      </c>
      <c r="D1061" s="1" t="s">
        <v>5335</v>
      </c>
      <c r="E1061" s="192">
        <v>4707</v>
      </c>
      <c r="F1061" s="195">
        <v>22</v>
      </c>
      <c r="G1061" s="1">
        <v>562</v>
      </c>
      <c r="H1061" s="34">
        <f>Tabela1[[#This Row],[PESO UNI]]*Tabela1[[#This Row],[QTE]]</f>
        <v>1124</v>
      </c>
      <c r="I1061" s="7" t="s">
        <v>5401</v>
      </c>
      <c r="J1061" s="8" t="s">
        <v>4834</v>
      </c>
      <c r="K1061" s="8" t="s">
        <v>22</v>
      </c>
      <c r="L1061" s="9" t="s">
        <v>3291</v>
      </c>
      <c r="M1061" s="10">
        <v>46259</v>
      </c>
      <c r="N1061" s="8" t="s">
        <v>38</v>
      </c>
      <c r="O1061" s="12"/>
      <c r="P1061" s="13"/>
      <c r="Q1061" s="14">
        <f>Tabela1[[#This Row],[QTDE/ Fabricação]]-Tabela1[[#This Row],[QTE]]</f>
        <v>-2</v>
      </c>
      <c r="R1061" s="18">
        <f t="shared" si="217"/>
        <v>562</v>
      </c>
      <c r="S1061" s="18">
        <f t="shared" si="218"/>
        <v>0</v>
      </c>
      <c r="T1061" s="19">
        <f t="shared" si="219"/>
        <v>-1124</v>
      </c>
      <c r="U1061" s="16">
        <f>IFERROR(SUMIF('LISTA DE EMBARQUE'!B:B,MICRO!E:E,'LISTA DE EMBARQUE'!G:G),"")</f>
        <v>0</v>
      </c>
      <c r="V1061" s="12" t="str">
        <f>IFERROR(VLOOKUP(Tabela1[[#This Row],[COD.MDE]],'LISTA DE EMBARQUE'!B:L,11,0),"")</f>
        <v/>
      </c>
      <c r="W1061" s="13" t="str">
        <f>IFERROR(VLOOKUP(Tabela1[[#This Row],[COD.MDE]],'LISTA DE EMBARQUE'!B:M,12,0),"")</f>
        <v/>
      </c>
      <c r="X1061" s="14">
        <f>IFERROR(Tabela1[[#This Row],[QIANTIDADE EXPEDIDA]]*Tabela1[[#This Row],[PESO UNI]],"")</f>
        <v>0</v>
      </c>
      <c r="Y1061" s="14">
        <f t="shared" si="220"/>
        <v>-2</v>
      </c>
      <c r="Z1061" s="20">
        <f>Tabela1[[#This Row],[PESO TOTAL]]-Tabela1[[#This Row],[Peso Expedido]]</f>
        <v>1124</v>
      </c>
      <c r="AA1061" s="17">
        <v>0.5</v>
      </c>
      <c r="AB1061" s="33"/>
      <c r="AC1061" s="33">
        <v>0.5</v>
      </c>
      <c r="AD1061" s="33">
        <v>0.5</v>
      </c>
      <c r="AE1061" s="33">
        <v>0.5</v>
      </c>
      <c r="AF1061" s="33">
        <v>0.5</v>
      </c>
      <c r="AG1061" s="33"/>
      <c r="AH1061" s="33"/>
      <c r="AI1061" s="33"/>
      <c r="AJ1061"/>
      <c r="AK1061"/>
      <c r="AL1061"/>
      <c r="AM1061"/>
      <c r="AN1061"/>
      <c r="AO1061"/>
      <c r="AQ1061" s="200"/>
      <c r="AR1061" s="37"/>
      <c r="AS1061" s="37"/>
      <c r="AT1061" s="37"/>
      <c r="AU1061" s="37"/>
      <c r="AV1061" s="37"/>
      <c r="AW1061" s="37"/>
    </row>
    <row r="1062" spans="1:49" ht="15.75" customHeight="1" x14ac:dyDescent="0.25">
      <c r="A1062" s="21" t="s">
        <v>5332</v>
      </c>
      <c r="B1062" s="21" t="s">
        <v>5333</v>
      </c>
      <c r="C1062" s="195">
        <v>1</v>
      </c>
      <c r="D1062" s="1" t="s">
        <v>5336</v>
      </c>
      <c r="E1062" s="192">
        <v>4708</v>
      </c>
      <c r="F1062" s="195">
        <v>27</v>
      </c>
      <c r="G1062" s="1">
        <v>41</v>
      </c>
      <c r="H1062" s="34">
        <f>Tabela1[[#This Row],[PESO UNI]]*Tabela1[[#This Row],[QTE]]</f>
        <v>41</v>
      </c>
      <c r="I1062" s="7" t="s">
        <v>5580</v>
      </c>
      <c r="J1062" s="8" t="s">
        <v>4834</v>
      </c>
      <c r="K1062" s="8" t="s">
        <v>4320</v>
      </c>
      <c r="L1062" s="9" t="s">
        <v>3291</v>
      </c>
      <c r="M1062" s="10">
        <v>46259</v>
      </c>
      <c r="N1062" s="8" t="s">
        <v>38</v>
      </c>
      <c r="O1062" s="12"/>
      <c r="P1062" s="13"/>
      <c r="Q1062" s="14">
        <f>Tabela1[[#This Row],[QTDE/ Fabricação]]-Tabela1[[#This Row],[QTE]]</f>
        <v>-1</v>
      </c>
      <c r="R1062" s="18">
        <f t="shared" si="217"/>
        <v>0</v>
      </c>
      <c r="S1062" s="18">
        <f t="shared" si="218"/>
        <v>0</v>
      </c>
      <c r="T1062" s="19">
        <f t="shared" si="219"/>
        <v>-41</v>
      </c>
      <c r="U1062" s="16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IFERROR(VLOOKUP(Tabela1[[#This Row],[COD.MDE]],'LISTA DE EMBARQUE'!B:M,12,0),"")</f>
        <v/>
      </c>
      <c r="X1062" s="14">
        <f>IFERROR(Tabela1[[#This Row],[QIANTIDADE EXPEDIDA]]*Tabela1[[#This Row],[PESO UNI]],"")</f>
        <v>0</v>
      </c>
      <c r="Y1062" s="14">
        <f t="shared" si="220"/>
        <v>-1</v>
      </c>
      <c r="Z1062" s="20">
        <f>Tabela1[[#This Row],[PESO TOTAL]]-Tabela1[[#This Row],[Peso Expedido]]</f>
        <v>41</v>
      </c>
      <c r="AA1062" s="17"/>
      <c r="AB1062" s="33"/>
      <c r="AC1062" s="33"/>
      <c r="AD1062" s="33"/>
      <c r="AE1062" s="33"/>
      <c r="AF1062" s="33"/>
      <c r="AG1062" s="33"/>
      <c r="AH1062" s="33"/>
      <c r="AI1062" s="33"/>
      <c r="AJ1062"/>
      <c r="AK1062"/>
      <c r="AL1062"/>
      <c r="AM1062"/>
      <c r="AN1062"/>
      <c r="AO1062"/>
      <c r="AQ1062" s="200"/>
      <c r="AR1062" s="37"/>
      <c r="AS1062" s="37"/>
      <c r="AT1062" s="37"/>
      <c r="AU1062" s="37"/>
      <c r="AV1062" s="37"/>
      <c r="AW1062" s="37"/>
    </row>
    <row r="1063" spans="1:49" ht="15.75" customHeight="1" x14ac:dyDescent="0.25">
      <c r="A1063" s="21" t="s">
        <v>5332</v>
      </c>
      <c r="B1063" s="21" t="s">
        <v>5333</v>
      </c>
      <c r="C1063" s="195">
        <v>2</v>
      </c>
      <c r="D1063" s="1" t="s">
        <v>5337</v>
      </c>
      <c r="E1063" s="192">
        <v>4709</v>
      </c>
      <c r="F1063" s="195">
        <v>27</v>
      </c>
      <c r="G1063" s="1">
        <v>5.2</v>
      </c>
      <c r="H1063" s="34">
        <f>Tabela1[[#This Row],[PESO UNI]]*Tabela1[[#This Row],[QTE]]</f>
        <v>10.4</v>
      </c>
      <c r="I1063" s="7" t="s">
        <v>5580</v>
      </c>
      <c r="J1063" s="8" t="s">
        <v>4834</v>
      </c>
      <c r="K1063" s="8" t="s">
        <v>4320</v>
      </c>
      <c r="L1063" s="9" t="s">
        <v>3291</v>
      </c>
      <c r="M1063" s="10">
        <v>46259</v>
      </c>
      <c r="N1063" s="8" t="s">
        <v>38</v>
      </c>
      <c r="O1063" s="12"/>
      <c r="P1063" s="13"/>
      <c r="Q1063" s="14">
        <f>Tabela1[[#This Row],[QTDE/ Fabricação]]-Tabela1[[#This Row],[QTE]]</f>
        <v>-2</v>
      </c>
      <c r="R1063" s="18">
        <f t="shared" si="217"/>
        <v>0</v>
      </c>
      <c r="S1063" s="18">
        <f t="shared" si="218"/>
        <v>0</v>
      </c>
      <c r="T1063" s="19">
        <f t="shared" si="219"/>
        <v>-10.4</v>
      </c>
      <c r="U1063" s="16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IFERROR(VLOOKUP(Tabela1[[#This Row],[COD.MDE]],'LISTA DE EMBARQUE'!B:M,12,0),"")</f>
        <v/>
      </c>
      <c r="X1063" s="14">
        <f>IFERROR(Tabela1[[#This Row],[QIANTIDADE EXPEDIDA]]*Tabela1[[#This Row],[PESO UNI]],"")</f>
        <v>0</v>
      </c>
      <c r="Y1063" s="14">
        <f t="shared" si="220"/>
        <v>-2</v>
      </c>
      <c r="Z1063" s="20">
        <f>Tabela1[[#This Row],[PESO TOTAL]]-Tabela1[[#This Row],[Peso Expedido]]</f>
        <v>10.4</v>
      </c>
      <c r="AA1063" s="17"/>
      <c r="AB1063" s="33"/>
      <c r="AC1063" s="33"/>
      <c r="AD1063" s="33"/>
      <c r="AE1063" s="33"/>
      <c r="AF1063" s="33"/>
      <c r="AG1063" s="33"/>
      <c r="AH1063" s="33"/>
      <c r="AI1063" s="33"/>
      <c r="AJ1063"/>
      <c r="AK1063"/>
      <c r="AL1063"/>
      <c r="AM1063"/>
      <c r="AN1063"/>
      <c r="AO1063"/>
      <c r="AQ1063" s="200"/>
      <c r="AR1063" s="37"/>
      <c r="AS1063" s="37"/>
      <c r="AT1063" s="37"/>
      <c r="AU1063" s="37"/>
      <c r="AV1063" s="37"/>
      <c r="AW1063" s="37"/>
    </row>
    <row r="1064" spans="1:49" ht="15.75" customHeight="1" x14ac:dyDescent="0.25">
      <c r="A1064" s="21" t="s">
        <v>5332</v>
      </c>
      <c r="B1064" s="21" t="s">
        <v>5333</v>
      </c>
      <c r="C1064" s="195">
        <v>1</v>
      </c>
      <c r="D1064" s="1" t="s">
        <v>5338</v>
      </c>
      <c r="E1064" s="192">
        <v>4710</v>
      </c>
      <c r="F1064" s="195">
        <v>27</v>
      </c>
      <c r="G1064" s="1">
        <v>12.7</v>
      </c>
      <c r="H1064" s="34">
        <f>Tabela1[[#This Row],[PESO UNI]]*Tabela1[[#This Row],[QTE]]</f>
        <v>12.7</v>
      </c>
      <c r="I1064" s="7" t="s">
        <v>5580</v>
      </c>
      <c r="J1064" s="8" t="s">
        <v>4834</v>
      </c>
      <c r="K1064" s="8" t="s">
        <v>4320</v>
      </c>
      <c r="L1064" s="9" t="s">
        <v>3291</v>
      </c>
      <c r="M1064" s="10">
        <v>46259</v>
      </c>
      <c r="N1064" s="8" t="s">
        <v>38</v>
      </c>
      <c r="O1064" s="12"/>
      <c r="P1064" s="13"/>
      <c r="Q1064" s="14">
        <f>Tabela1[[#This Row],[QTDE/ Fabricação]]-Tabela1[[#This Row],[QTE]]</f>
        <v>-1</v>
      </c>
      <c r="R1064" s="18">
        <f t="shared" si="217"/>
        <v>0</v>
      </c>
      <c r="S1064" s="18">
        <f t="shared" si="218"/>
        <v>0</v>
      </c>
      <c r="T1064" s="19">
        <f t="shared" si="219"/>
        <v>-12.7</v>
      </c>
      <c r="U1064" s="16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IFERROR(VLOOKUP(Tabela1[[#This Row],[COD.MDE]],'LISTA DE EMBARQUE'!B:M,12,0),"")</f>
        <v/>
      </c>
      <c r="X1064" s="14">
        <f>IFERROR(Tabela1[[#This Row],[QIANTIDADE EXPEDIDA]]*Tabela1[[#This Row],[PESO UNI]],"")</f>
        <v>0</v>
      </c>
      <c r="Y1064" s="14">
        <f t="shared" si="220"/>
        <v>-1</v>
      </c>
      <c r="Z1064" s="20">
        <f>Tabela1[[#This Row],[PESO TOTAL]]-Tabela1[[#This Row],[Peso Expedido]]</f>
        <v>12.7</v>
      </c>
      <c r="AA1064" s="17"/>
      <c r="AB1064" s="33"/>
      <c r="AC1064" s="33"/>
      <c r="AD1064" s="33"/>
      <c r="AE1064" s="33"/>
      <c r="AF1064" s="33"/>
      <c r="AG1064" s="33"/>
      <c r="AH1064" s="33"/>
      <c r="AI1064" s="33"/>
      <c r="AJ1064"/>
      <c r="AK1064"/>
      <c r="AL1064"/>
      <c r="AM1064"/>
      <c r="AN1064"/>
      <c r="AO1064"/>
      <c r="AQ1064" s="200"/>
      <c r="AR1064" s="37"/>
      <c r="AS1064" s="37"/>
      <c r="AT1064" s="37"/>
      <c r="AU1064" s="37"/>
      <c r="AV1064" s="37"/>
      <c r="AW1064" s="37"/>
    </row>
    <row r="1065" spans="1:49" ht="15.75" customHeight="1" x14ac:dyDescent="0.25">
      <c r="A1065" s="21" t="s">
        <v>5332</v>
      </c>
      <c r="B1065" s="21" t="s">
        <v>5333</v>
      </c>
      <c r="C1065" s="195">
        <v>4</v>
      </c>
      <c r="D1065" s="1" t="s">
        <v>5339</v>
      </c>
      <c r="E1065" s="192">
        <v>4711</v>
      </c>
      <c r="F1065" s="195">
        <v>27</v>
      </c>
      <c r="G1065" s="1">
        <v>0.8</v>
      </c>
      <c r="H1065" s="34">
        <f>Tabela1[[#This Row],[PESO UNI]]*Tabela1[[#This Row],[QTE]]</f>
        <v>3.2</v>
      </c>
      <c r="I1065" s="7" t="s">
        <v>5580</v>
      </c>
      <c r="J1065" s="8" t="s">
        <v>4834</v>
      </c>
      <c r="K1065" s="8" t="s">
        <v>4320</v>
      </c>
      <c r="L1065" s="9" t="s">
        <v>3291</v>
      </c>
      <c r="M1065" s="10">
        <v>46259</v>
      </c>
      <c r="N1065" s="8" t="s">
        <v>38</v>
      </c>
      <c r="O1065" s="12"/>
      <c r="P1065" s="13"/>
      <c r="Q1065" s="14">
        <f>Tabela1[[#This Row],[QTDE/ Fabricação]]-Tabela1[[#This Row],[QTE]]</f>
        <v>-4</v>
      </c>
      <c r="R1065" s="18">
        <f t="shared" si="217"/>
        <v>0</v>
      </c>
      <c r="S1065" s="18">
        <f t="shared" si="218"/>
        <v>0</v>
      </c>
      <c r="T1065" s="19">
        <f t="shared" si="219"/>
        <v>-3.2</v>
      </c>
      <c r="U1065" s="16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IFERROR(VLOOKUP(Tabela1[[#This Row],[COD.MDE]],'LISTA DE EMBARQUE'!B:M,12,0),"")</f>
        <v/>
      </c>
      <c r="X1065" s="14">
        <f>IFERROR(Tabela1[[#This Row],[QIANTIDADE EXPEDIDA]]*Tabela1[[#This Row],[PESO UNI]],"")</f>
        <v>0</v>
      </c>
      <c r="Y1065" s="14">
        <f t="shared" si="220"/>
        <v>-4</v>
      </c>
      <c r="Z1065" s="20">
        <f>Tabela1[[#This Row],[PESO TOTAL]]-Tabela1[[#This Row],[Peso Expedido]]</f>
        <v>3.2</v>
      </c>
      <c r="AA1065" s="17"/>
      <c r="AB1065" s="33"/>
      <c r="AC1065" s="33"/>
      <c r="AD1065" s="33"/>
      <c r="AE1065" s="33"/>
      <c r="AF1065" s="33"/>
      <c r="AG1065" s="33"/>
      <c r="AH1065" s="33"/>
      <c r="AI1065" s="33"/>
      <c r="AJ1065"/>
      <c r="AK1065"/>
      <c r="AL1065"/>
      <c r="AM1065"/>
      <c r="AN1065"/>
      <c r="AO1065"/>
      <c r="AQ1065" s="200"/>
      <c r="AR1065" s="37"/>
      <c r="AS1065" s="37"/>
      <c r="AT1065" s="37"/>
      <c r="AU1065" s="37"/>
      <c r="AV1065" s="37"/>
      <c r="AW1065" s="37"/>
    </row>
    <row r="1066" spans="1:49" ht="15.75" customHeight="1" x14ac:dyDescent="0.25">
      <c r="A1066" s="21" t="s">
        <v>5332</v>
      </c>
      <c r="B1066" s="21" t="s">
        <v>5333</v>
      </c>
      <c r="C1066" s="195">
        <v>2</v>
      </c>
      <c r="D1066" s="1" t="s">
        <v>5340</v>
      </c>
      <c r="E1066" s="192">
        <v>4712</v>
      </c>
      <c r="F1066" s="195">
        <v>27</v>
      </c>
      <c r="G1066" s="1">
        <v>0.4</v>
      </c>
      <c r="H1066" s="34">
        <f>Tabela1[[#This Row],[PESO UNI]]*Tabela1[[#This Row],[QTE]]</f>
        <v>0.8</v>
      </c>
      <c r="I1066" s="7" t="s">
        <v>5580</v>
      </c>
      <c r="J1066" s="8" t="s">
        <v>4834</v>
      </c>
      <c r="K1066" s="8" t="s">
        <v>4320</v>
      </c>
      <c r="L1066" s="9" t="s">
        <v>3291</v>
      </c>
      <c r="M1066" s="10">
        <v>46259</v>
      </c>
      <c r="N1066" s="8" t="s">
        <v>38</v>
      </c>
      <c r="O1066" s="12"/>
      <c r="P1066" s="13"/>
      <c r="Q1066" s="14">
        <f>Tabela1[[#This Row],[QTDE/ Fabricação]]-Tabela1[[#This Row],[QTE]]</f>
        <v>-2</v>
      </c>
      <c r="R1066" s="18">
        <f t="shared" si="217"/>
        <v>0</v>
      </c>
      <c r="S1066" s="18">
        <f t="shared" si="218"/>
        <v>0</v>
      </c>
      <c r="T1066" s="19">
        <f t="shared" si="219"/>
        <v>-0.8</v>
      </c>
      <c r="U1066" s="16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IFERROR(VLOOKUP(Tabela1[[#This Row],[COD.MDE]],'LISTA DE EMBARQUE'!B:M,12,0),"")</f>
        <v/>
      </c>
      <c r="X1066" s="14">
        <f>IFERROR(Tabela1[[#This Row],[QIANTIDADE EXPEDIDA]]*Tabela1[[#This Row],[PESO UNI]],"")</f>
        <v>0</v>
      </c>
      <c r="Y1066" s="14">
        <f t="shared" si="220"/>
        <v>-2</v>
      </c>
      <c r="Z1066" s="20">
        <f>Tabela1[[#This Row],[PESO TOTAL]]-Tabela1[[#This Row],[Peso Expedido]]</f>
        <v>0.8</v>
      </c>
      <c r="AA1066" s="17"/>
      <c r="AB1066" s="33"/>
      <c r="AC1066" s="33"/>
      <c r="AD1066" s="33"/>
      <c r="AE1066" s="33"/>
      <c r="AF1066" s="33"/>
      <c r="AG1066" s="33"/>
      <c r="AH1066" s="33"/>
      <c r="AI1066" s="33"/>
      <c r="AJ1066"/>
      <c r="AK1066"/>
      <c r="AL1066"/>
      <c r="AM1066"/>
      <c r="AN1066"/>
      <c r="AO1066"/>
      <c r="AQ1066" s="200"/>
      <c r="AR1066" s="37"/>
      <c r="AS1066" s="37"/>
      <c r="AT1066" s="37"/>
      <c r="AU1066" s="37"/>
      <c r="AV1066" s="37"/>
      <c r="AW1066" s="37"/>
    </row>
    <row r="1067" spans="1:49" ht="15.75" customHeight="1" x14ac:dyDescent="0.25">
      <c r="A1067" s="21" t="s">
        <v>5332</v>
      </c>
      <c r="B1067" s="21" t="s">
        <v>5333</v>
      </c>
      <c r="C1067" s="195">
        <v>4</v>
      </c>
      <c r="D1067" s="1" t="s">
        <v>5341</v>
      </c>
      <c r="E1067" s="192">
        <v>4713</v>
      </c>
      <c r="F1067" s="195">
        <v>27</v>
      </c>
      <c r="G1067" s="1">
        <v>0.4</v>
      </c>
      <c r="H1067" s="34">
        <f>Tabela1[[#This Row],[PESO UNI]]*Tabela1[[#This Row],[QTE]]</f>
        <v>1.6</v>
      </c>
      <c r="I1067" s="7" t="s">
        <v>5580</v>
      </c>
      <c r="J1067" s="8" t="s">
        <v>4834</v>
      </c>
      <c r="K1067" s="8" t="s">
        <v>4320</v>
      </c>
      <c r="L1067" s="9" t="s">
        <v>3291</v>
      </c>
      <c r="M1067" s="10">
        <v>46259</v>
      </c>
      <c r="N1067" s="8" t="s">
        <v>38</v>
      </c>
      <c r="O1067" s="12"/>
      <c r="P1067" s="13"/>
      <c r="Q1067" s="14">
        <f>Tabela1[[#This Row],[QTDE/ Fabricação]]-Tabela1[[#This Row],[QTE]]</f>
        <v>-4</v>
      </c>
      <c r="R1067" s="18">
        <f t="shared" si="217"/>
        <v>0</v>
      </c>
      <c r="S1067" s="18">
        <f t="shared" si="218"/>
        <v>0</v>
      </c>
      <c r="T1067" s="19">
        <f t="shared" si="219"/>
        <v>-1.6</v>
      </c>
      <c r="U1067" s="16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IFERROR(VLOOKUP(Tabela1[[#This Row],[COD.MDE]],'LISTA DE EMBARQUE'!B:M,12,0),"")</f>
        <v/>
      </c>
      <c r="X1067" s="14">
        <f>IFERROR(Tabela1[[#This Row],[QIANTIDADE EXPEDIDA]]*Tabela1[[#This Row],[PESO UNI]],"")</f>
        <v>0</v>
      </c>
      <c r="Y1067" s="14">
        <f t="shared" si="220"/>
        <v>-4</v>
      </c>
      <c r="Z1067" s="20">
        <f>Tabela1[[#This Row],[PESO TOTAL]]-Tabela1[[#This Row],[Peso Expedido]]</f>
        <v>1.6</v>
      </c>
      <c r="AA1067" s="17"/>
      <c r="AB1067" s="33"/>
      <c r="AC1067" s="33"/>
      <c r="AD1067" s="33"/>
      <c r="AE1067" s="33"/>
      <c r="AF1067" s="33"/>
      <c r="AG1067" s="33"/>
      <c r="AH1067" s="33"/>
      <c r="AI1067" s="33"/>
      <c r="AJ1067"/>
      <c r="AK1067"/>
      <c r="AL1067"/>
      <c r="AM1067"/>
      <c r="AN1067"/>
      <c r="AO1067"/>
      <c r="AQ1067" s="200"/>
      <c r="AR1067" s="37"/>
      <c r="AS1067" s="37"/>
      <c r="AT1067" s="37"/>
      <c r="AU1067" s="37"/>
      <c r="AV1067" s="37"/>
      <c r="AW1067" s="37"/>
    </row>
    <row r="1068" spans="1:49" ht="15.75" customHeight="1" x14ac:dyDescent="0.25">
      <c r="A1068" s="21" t="s">
        <v>5332</v>
      </c>
      <c r="B1068" s="21" t="s">
        <v>5333</v>
      </c>
      <c r="C1068" s="195">
        <v>2</v>
      </c>
      <c r="D1068" s="1" t="s">
        <v>5342</v>
      </c>
      <c r="E1068" s="192">
        <v>4714</v>
      </c>
      <c r="F1068" s="195">
        <v>27</v>
      </c>
      <c r="G1068" s="1">
        <v>0.6</v>
      </c>
      <c r="H1068" s="34">
        <f>Tabela1[[#This Row],[PESO UNI]]*Tabela1[[#This Row],[QTE]]</f>
        <v>1.2</v>
      </c>
      <c r="I1068" s="7" t="s">
        <v>5580</v>
      </c>
      <c r="J1068" s="8" t="s">
        <v>4834</v>
      </c>
      <c r="K1068" s="8" t="s">
        <v>4320</v>
      </c>
      <c r="L1068" s="9" t="s">
        <v>3291</v>
      </c>
      <c r="M1068" s="10">
        <v>46259</v>
      </c>
      <c r="N1068" s="8" t="s">
        <v>38</v>
      </c>
      <c r="O1068" s="12"/>
      <c r="P1068" s="13"/>
      <c r="Q1068" s="14">
        <f>Tabela1[[#This Row],[QTDE/ Fabricação]]-Tabela1[[#This Row],[QTE]]</f>
        <v>-2</v>
      </c>
      <c r="R1068" s="18">
        <f t="shared" ref="R1068:R1097" si="221">IFERROR(H1068*((AA1068*0.25)+(AC1068*0.25)+(AD1068*0.225)+(AE1068*0.225)+(AF1068*0.05)),"")</f>
        <v>0</v>
      </c>
      <c r="S1068" s="18">
        <f t="shared" ref="S1068:S1097" si="222">IFERROR(H1068*AG1068,"")</f>
        <v>0</v>
      </c>
      <c r="T1068" s="19">
        <f t="shared" ref="T1068:T1097" si="223">IFERROR(S1068-H1068,"")</f>
        <v>-1.2</v>
      </c>
      <c r="U1068" s="16">
        <f>IFERROR(SUMIF('LISTA DE EMBARQUE'!B:B,MICRO!E:E,'LISTA DE EMBARQUE'!G:G),"")</f>
        <v>0</v>
      </c>
      <c r="V1068" s="12" t="str">
        <f>IFERROR(VLOOKUP(Tabela1[[#This Row],[COD.MDE]],'LISTA DE EMBARQUE'!B:L,11,0),"")</f>
        <v/>
      </c>
      <c r="W1068" s="13" t="str">
        <f>IFERROR(VLOOKUP(Tabela1[[#This Row],[COD.MDE]],'LISTA DE EMBARQUE'!B:M,12,0),"")</f>
        <v/>
      </c>
      <c r="X1068" s="14">
        <f>IFERROR(Tabela1[[#This Row],[QIANTIDADE EXPEDIDA]]*Tabela1[[#This Row],[PESO UNI]],"")</f>
        <v>0</v>
      </c>
      <c r="Y1068" s="14">
        <f t="shared" ref="Y1068:Y1097" si="224">U1068-C1068</f>
        <v>-2</v>
      </c>
      <c r="Z1068" s="20">
        <f>Tabela1[[#This Row],[PESO TOTAL]]-Tabela1[[#This Row],[Peso Expedido]]</f>
        <v>1.2</v>
      </c>
      <c r="AA1068" s="17"/>
      <c r="AB1068" s="33"/>
      <c r="AC1068" s="33"/>
      <c r="AD1068" s="33"/>
      <c r="AE1068" s="33"/>
      <c r="AF1068" s="33"/>
      <c r="AG1068" s="33"/>
      <c r="AH1068" s="33"/>
      <c r="AI1068" s="33"/>
      <c r="AJ1068"/>
      <c r="AK1068"/>
      <c r="AL1068"/>
      <c r="AM1068"/>
      <c r="AN1068"/>
      <c r="AO1068"/>
      <c r="AQ1068" s="200"/>
      <c r="AR1068" s="37"/>
      <c r="AS1068" s="37"/>
      <c r="AT1068" s="37"/>
      <c r="AU1068" s="37"/>
      <c r="AV1068" s="37"/>
      <c r="AW1068" s="37"/>
    </row>
    <row r="1069" spans="1:49" ht="15.75" customHeight="1" x14ac:dyDescent="0.25">
      <c r="A1069" s="21" t="s">
        <v>5332</v>
      </c>
      <c r="B1069" s="21" t="s">
        <v>5333</v>
      </c>
      <c r="C1069" s="195">
        <v>1</v>
      </c>
      <c r="D1069" s="1" t="s">
        <v>5343</v>
      </c>
      <c r="E1069" s="192">
        <v>4715</v>
      </c>
      <c r="F1069" s="195">
        <v>27</v>
      </c>
      <c r="G1069" s="1">
        <v>104</v>
      </c>
      <c r="H1069" s="34">
        <f>Tabela1[[#This Row],[PESO UNI]]*Tabela1[[#This Row],[QTE]]</f>
        <v>104</v>
      </c>
      <c r="I1069" s="7" t="s">
        <v>5580</v>
      </c>
      <c r="J1069" s="8" t="s">
        <v>4834</v>
      </c>
      <c r="K1069" s="8" t="s">
        <v>4320</v>
      </c>
      <c r="L1069" s="9" t="s">
        <v>3291</v>
      </c>
      <c r="M1069" s="10">
        <v>46259</v>
      </c>
      <c r="N1069" s="8" t="s">
        <v>38</v>
      </c>
      <c r="O1069" s="12"/>
      <c r="P1069" s="13"/>
      <c r="Q1069" s="14">
        <f>Tabela1[[#This Row],[QTDE/ Fabricação]]-Tabela1[[#This Row],[QTE]]</f>
        <v>-1</v>
      </c>
      <c r="R1069" s="18">
        <f t="shared" si="221"/>
        <v>0</v>
      </c>
      <c r="S1069" s="18">
        <f t="shared" si="222"/>
        <v>0</v>
      </c>
      <c r="T1069" s="19">
        <f t="shared" si="223"/>
        <v>-104</v>
      </c>
      <c r="U1069" s="16">
        <f>IFERROR(SUMIF('LISTA DE EMBARQUE'!B:B,MICRO!E:E,'LISTA DE EMBARQUE'!G:G),"")</f>
        <v>0</v>
      </c>
      <c r="V1069" s="12" t="str">
        <f>IFERROR(VLOOKUP(Tabela1[[#This Row],[COD.MDE]],'LISTA DE EMBARQUE'!B:L,11,0),"")</f>
        <v/>
      </c>
      <c r="W1069" s="13" t="str">
        <f>IFERROR(VLOOKUP(Tabela1[[#This Row],[COD.MDE]],'LISTA DE EMBARQUE'!B:M,12,0),"")</f>
        <v/>
      </c>
      <c r="X1069" s="14">
        <f>IFERROR(Tabela1[[#This Row],[QIANTIDADE EXPEDIDA]]*Tabela1[[#This Row],[PESO UNI]],"")</f>
        <v>0</v>
      </c>
      <c r="Y1069" s="14">
        <f t="shared" si="224"/>
        <v>-1</v>
      </c>
      <c r="Z1069" s="20">
        <f>Tabela1[[#This Row],[PESO TOTAL]]-Tabela1[[#This Row],[Peso Expedido]]</f>
        <v>104</v>
      </c>
      <c r="AA1069" s="17"/>
      <c r="AB1069" s="33"/>
      <c r="AC1069" s="33"/>
      <c r="AD1069" s="33"/>
      <c r="AE1069" s="33"/>
      <c r="AF1069" s="33"/>
      <c r="AG1069" s="33"/>
      <c r="AH1069" s="33"/>
      <c r="AI1069" s="33"/>
      <c r="AJ1069"/>
      <c r="AK1069"/>
      <c r="AL1069"/>
      <c r="AM1069"/>
      <c r="AN1069"/>
      <c r="AO1069"/>
      <c r="AQ1069" s="200"/>
      <c r="AR1069" s="37"/>
      <c r="AS1069" s="37"/>
      <c r="AT1069" s="37"/>
      <c r="AU1069" s="37"/>
      <c r="AV1069" s="37"/>
      <c r="AW1069" s="37"/>
    </row>
    <row r="1070" spans="1:49" ht="15.75" customHeight="1" x14ac:dyDescent="0.25">
      <c r="A1070" s="21" t="s">
        <v>5344</v>
      </c>
      <c r="B1070" s="21" t="s">
        <v>5345</v>
      </c>
      <c r="C1070" s="195">
        <v>1</v>
      </c>
      <c r="D1070" s="1" t="s">
        <v>5346</v>
      </c>
      <c r="E1070" s="227">
        <v>4716</v>
      </c>
      <c r="F1070" s="195">
        <v>28</v>
      </c>
      <c r="G1070" s="1">
        <v>254.3</v>
      </c>
      <c r="H1070" s="34">
        <f>Tabela1[[#This Row],[PESO UNI]]*Tabela1[[#This Row],[QTE]]</f>
        <v>254.3</v>
      </c>
      <c r="I1070" s="7" t="s">
        <v>5580</v>
      </c>
      <c r="J1070" s="8" t="s">
        <v>4834</v>
      </c>
      <c r="K1070" s="8" t="s">
        <v>4320</v>
      </c>
      <c r="L1070" s="9" t="s">
        <v>3291</v>
      </c>
      <c r="M1070" s="10">
        <v>46259</v>
      </c>
      <c r="N1070" s="8" t="s">
        <v>38</v>
      </c>
      <c r="O1070" s="12"/>
      <c r="P1070" s="13"/>
      <c r="Q1070" s="14">
        <f>Tabela1[[#This Row],[QTDE/ Fabricação]]-Tabela1[[#This Row],[QTE]]</f>
        <v>-1</v>
      </c>
      <c r="R1070" s="18">
        <f t="shared" si="221"/>
        <v>0</v>
      </c>
      <c r="S1070" s="18">
        <f t="shared" si="222"/>
        <v>0</v>
      </c>
      <c r="T1070" s="19">
        <f t="shared" si="223"/>
        <v>-254.3</v>
      </c>
      <c r="U1070" s="16">
        <f>IFERROR(SUMIF('LISTA DE EMBARQUE'!B:B,MICRO!E:E,'LISTA DE EMBARQUE'!G:G),"")</f>
        <v>0</v>
      </c>
      <c r="V1070" s="12" t="str">
        <f>IFERROR(VLOOKUP(Tabela1[[#This Row],[COD.MDE]],'LISTA DE EMBARQUE'!B:L,11,0),"")</f>
        <v/>
      </c>
      <c r="W1070" s="13" t="str">
        <f>IFERROR(VLOOKUP(Tabela1[[#This Row],[COD.MDE]],'LISTA DE EMBARQUE'!B:M,12,0),"")</f>
        <v/>
      </c>
      <c r="X1070" s="14">
        <f>IFERROR(Tabela1[[#This Row],[QIANTIDADE EXPEDIDA]]*Tabela1[[#This Row],[PESO UNI]],"")</f>
        <v>0</v>
      </c>
      <c r="Y1070" s="14">
        <f t="shared" si="224"/>
        <v>-1</v>
      </c>
      <c r="Z1070" s="20">
        <f>Tabela1[[#This Row],[PESO TOTAL]]-Tabela1[[#This Row],[Peso Expedido]]</f>
        <v>254.3</v>
      </c>
      <c r="AA1070" s="17"/>
      <c r="AB1070" s="33"/>
      <c r="AC1070" s="33"/>
      <c r="AD1070" s="33"/>
      <c r="AE1070" s="33"/>
      <c r="AF1070" s="33"/>
      <c r="AG1070" s="33"/>
      <c r="AH1070" s="33"/>
      <c r="AI1070" s="33"/>
      <c r="AJ1070"/>
      <c r="AK1070"/>
      <c r="AL1070"/>
      <c r="AM1070"/>
      <c r="AN1070"/>
      <c r="AO1070"/>
      <c r="AQ1070" s="200"/>
      <c r="AR1070" s="37"/>
      <c r="AS1070" s="37"/>
      <c r="AT1070" s="37"/>
      <c r="AU1070" s="37"/>
      <c r="AV1070" s="37"/>
      <c r="AW1070" s="37"/>
    </row>
    <row r="1071" spans="1:49" ht="15.75" customHeight="1" x14ac:dyDescent="0.25">
      <c r="A1071" s="21" t="s">
        <v>5344</v>
      </c>
      <c r="B1071" s="21" t="s">
        <v>5345</v>
      </c>
      <c r="C1071" s="195">
        <v>1</v>
      </c>
      <c r="D1071" s="1" t="s">
        <v>5347</v>
      </c>
      <c r="E1071" s="192">
        <v>4717</v>
      </c>
      <c r="F1071" s="195">
        <v>28</v>
      </c>
      <c r="G1071" s="1">
        <v>155.5</v>
      </c>
      <c r="H1071" s="34">
        <f>Tabela1[[#This Row],[PESO UNI]]*Tabela1[[#This Row],[QTE]]</f>
        <v>155.5</v>
      </c>
      <c r="I1071" s="7" t="s">
        <v>5580</v>
      </c>
      <c r="J1071" s="8" t="s">
        <v>4834</v>
      </c>
      <c r="K1071" s="8" t="s">
        <v>4320</v>
      </c>
      <c r="L1071" s="9" t="s">
        <v>3291</v>
      </c>
      <c r="M1071" s="10">
        <v>46259</v>
      </c>
      <c r="N1071" s="8" t="s">
        <v>38</v>
      </c>
      <c r="O1071" s="12"/>
      <c r="P1071" s="13"/>
      <c r="Q1071" s="14">
        <f>Tabela1[[#This Row],[QTDE/ Fabricação]]-Tabela1[[#This Row],[QTE]]</f>
        <v>-1</v>
      </c>
      <c r="R1071" s="18">
        <f t="shared" si="221"/>
        <v>0</v>
      </c>
      <c r="S1071" s="18">
        <f t="shared" si="222"/>
        <v>0</v>
      </c>
      <c r="T1071" s="19">
        <f t="shared" si="223"/>
        <v>-155.5</v>
      </c>
      <c r="U1071" s="16">
        <f>IFERROR(SUMIF('LISTA DE EMBARQUE'!B:B,MICRO!E:E,'LISTA DE EMBARQUE'!G:G),"")</f>
        <v>0</v>
      </c>
      <c r="V1071" s="12" t="str">
        <f>IFERROR(VLOOKUP(Tabela1[[#This Row],[COD.MDE]],'LISTA DE EMBARQUE'!B:L,11,0),"")</f>
        <v/>
      </c>
      <c r="W1071" s="13" t="str">
        <f>IFERROR(VLOOKUP(Tabela1[[#This Row],[COD.MDE]],'LISTA DE EMBARQUE'!B:M,12,0),"")</f>
        <v/>
      </c>
      <c r="X1071" s="14">
        <f>IFERROR(Tabela1[[#This Row],[QIANTIDADE EXPEDIDA]]*Tabela1[[#This Row],[PESO UNI]],"")</f>
        <v>0</v>
      </c>
      <c r="Y1071" s="14">
        <f t="shared" si="224"/>
        <v>-1</v>
      </c>
      <c r="Z1071" s="20">
        <f>Tabela1[[#This Row],[PESO TOTAL]]-Tabela1[[#This Row],[Peso Expedido]]</f>
        <v>155.5</v>
      </c>
      <c r="AA1071" s="17"/>
      <c r="AB1071" s="33"/>
      <c r="AC1071" s="33"/>
      <c r="AD1071" s="33"/>
      <c r="AE1071" s="33"/>
      <c r="AF1071" s="33"/>
      <c r="AG1071" s="33"/>
      <c r="AH1071" s="33"/>
      <c r="AI1071" s="33"/>
      <c r="AJ1071"/>
      <c r="AK1071"/>
      <c r="AL1071"/>
      <c r="AM1071"/>
      <c r="AN1071"/>
      <c r="AO1071"/>
      <c r="AQ1071" s="200"/>
      <c r="AR1071" s="37"/>
      <c r="AS1071" s="37"/>
      <c r="AT1071" s="37"/>
      <c r="AU1071" s="37"/>
      <c r="AV1071" s="37"/>
      <c r="AW1071" s="37"/>
    </row>
    <row r="1072" spans="1:49" ht="15.75" customHeight="1" x14ac:dyDescent="0.25">
      <c r="A1072" s="21" t="s">
        <v>5348</v>
      </c>
      <c r="B1072" s="21" t="s">
        <v>5349</v>
      </c>
      <c r="C1072" s="195">
        <v>1</v>
      </c>
      <c r="D1072" s="1" t="s">
        <v>5350</v>
      </c>
      <c r="E1072" s="227">
        <v>4718</v>
      </c>
      <c r="F1072" s="195">
        <v>29</v>
      </c>
      <c r="G1072" s="1">
        <v>27.4</v>
      </c>
      <c r="H1072" s="34">
        <f>Tabela1[[#This Row],[PESO UNI]]*Tabela1[[#This Row],[QTE]]</f>
        <v>27.4</v>
      </c>
      <c r="I1072" s="7" t="s">
        <v>5580</v>
      </c>
      <c r="J1072" s="8" t="s">
        <v>4834</v>
      </c>
      <c r="K1072" s="8" t="s">
        <v>4320</v>
      </c>
      <c r="L1072" s="9" t="s">
        <v>3291</v>
      </c>
      <c r="M1072" s="10">
        <v>46259</v>
      </c>
      <c r="N1072" s="8" t="s">
        <v>38</v>
      </c>
      <c r="O1072" s="12"/>
      <c r="P1072" s="13"/>
      <c r="Q1072" s="14">
        <f>Tabela1[[#This Row],[QTDE/ Fabricação]]-Tabela1[[#This Row],[QTE]]</f>
        <v>-1</v>
      </c>
      <c r="R1072" s="18">
        <f t="shared" si="221"/>
        <v>0</v>
      </c>
      <c r="S1072" s="18">
        <f t="shared" si="222"/>
        <v>0</v>
      </c>
      <c r="T1072" s="19">
        <f t="shared" si="223"/>
        <v>-27.4</v>
      </c>
      <c r="U1072" s="16">
        <f>IFERROR(SUMIF('LISTA DE EMBARQUE'!B:B,MICRO!E:E,'LISTA DE EMBARQUE'!G:G),"")</f>
        <v>0</v>
      </c>
      <c r="V1072" s="12" t="str">
        <f>IFERROR(VLOOKUP(Tabela1[[#This Row],[COD.MDE]],'LISTA DE EMBARQUE'!B:L,11,0),"")</f>
        <v/>
      </c>
      <c r="W1072" s="13" t="str">
        <f>IFERROR(VLOOKUP(Tabela1[[#This Row],[COD.MDE]],'LISTA DE EMBARQUE'!B:M,12,0),"")</f>
        <v/>
      </c>
      <c r="X1072" s="14">
        <f>IFERROR(Tabela1[[#This Row],[QIANTIDADE EXPEDIDA]]*Tabela1[[#This Row],[PESO UNI]],"")</f>
        <v>0</v>
      </c>
      <c r="Y1072" s="14">
        <f t="shared" si="224"/>
        <v>-1</v>
      </c>
      <c r="Z1072" s="20">
        <f>Tabela1[[#This Row],[PESO TOTAL]]-Tabela1[[#This Row],[Peso Expedido]]</f>
        <v>27.4</v>
      </c>
      <c r="AA1072" s="17"/>
      <c r="AB1072" s="33"/>
      <c r="AC1072" s="33"/>
      <c r="AD1072" s="33"/>
      <c r="AE1072" s="33"/>
      <c r="AF1072" s="33"/>
      <c r="AG1072" s="33"/>
      <c r="AH1072" s="33"/>
      <c r="AI1072" s="33"/>
      <c r="AJ1072"/>
      <c r="AK1072"/>
      <c r="AL1072"/>
      <c r="AM1072"/>
      <c r="AN1072"/>
      <c r="AO1072"/>
      <c r="AQ1072" s="200"/>
      <c r="AR1072" s="37"/>
      <c r="AS1072" s="37"/>
      <c r="AT1072" s="37"/>
      <c r="AU1072" s="37"/>
      <c r="AV1072" s="37"/>
      <c r="AW1072" s="37"/>
    </row>
    <row r="1073" spans="1:49" ht="15.75" customHeight="1" x14ac:dyDescent="0.25">
      <c r="A1073" s="21" t="s">
        <v>5348</v>
      </c>
      <c r="B1073" s="21" t="s">
        <v>5349</v>
      </c>
      <c r="C1073" s="195">
        <v>1</v>
      </c>
      <c r="D1073" s="1" t="s">
        <v>5351</v>
      </c>
      <c r="E1073" s="192">
        <v>4719</v>
      </c>
      <c r="F1073" s="195">
        <v>29</v>
      </c>
      <c r="G1073" s="1">
        <v>13.2</v>
      </c>
      <c r="H1073" s="34">
        <f>Tabela1[[#This Row],[PESO UNI]]*Tabela1[[#This Row],[QTE]]</f>
        <v>13.2</v>
      </c>
      <c r="I1073" s="7" t="s">
        <v>5580</v>
      </c>
      <c r="J1073" s="8" t="s">
        <v>4834</v>
      </c>
      <c r="K1073" s="8" t="s">
        <v>4320</v>
      </c>
      <c r="L1073" s="9" t="s">
        <v>3291</v>
      </c>
      <c r="M1073" s="10">
        <v>46259</v>
      </c>
      <c r="N1073" s="8" t="s">
        <v>38</v>
      </c>
      <c r="O1073" s="12"/>
      <c r="P1073" s="13"/>
      <c r="Q1073" s="14">
        <f>Tabela1[[#This Row],[QTDE/ Fabricação]]-Tabela1[[#This Row],[QTE]]</f>
        <v>-1</v>
      </c>
      <c r="R1073" s="18">
        <f t="shared" si="221"/>
        <v>0</v>
      </c>
      <c r="S1073" s="18">
        <f t="shared" si="222"/>
        <v>0</v>
      </c>
      <c r="T1073" s="19">
        <f t="shared" si="223"/>
        <v>-13.2</v>
      </c>
      <c r="U1073" s="16">
        <f>IFERROR(SUMIF('LISTA DE EMBARQUE'!B:B,MICRO!E:E,'LISTA DE EMBARQUE'!G:G),"")</f>
        <v>0</v>
      </c>
      <c r="V1073" s="12" t="str">
        <f>IFERROR(VLOOKUP(Tabela1[[#This Row],[COD.MDE]],'LISTA DE EMBARQUE'!B:L,11,0),"")</f>
        <v/>
      </c>
      <c r="W1073" s="13" t="str">
        <f>IFERROR(VLOOKUP(Tabela1[[#This Row],[COD.MDE]],'LISTA DE EMBARQUE'!B:M,12,0),"")</f>
        <v/>
      </c>
      <c r="X1073" s="14">
        <f>IFERROR(Tabela1[[#This Row],[QIANTIDADE EXPEDIDA]]*Tabela1[[#This Row],[PESO UNI]],"")</f>
        <v>0</v>
      </c>
      <c r="Y1073" s="14">
        <f t="shared" si="224"/>
        <v>-1</v>
      </c>
      <c r="Z1073" s="20">
        <f>Tabela1[[#This Row],[PESO TOTAL]]-Tabela1[[#This Row],[Peso Expedido]]</f>
        <v>13.2</v>
      </c>
      <c r="AA1073" s="17"/>
      <c r="AB1073" s="33"/>
      <c r="AC1073" s="33"/>
      <c r="AD1073" s="33"/>
      <c r="AE1073" s="33"/>
      <c r="AF1073" s="33"/>
      <c r="AG1073" s="33"/>
      <c r="AH1073" s="33"/>
      <c r="AI1073" s="33"/>
      <c r="AJ1073"/>
      <c r="AK1073"/>
      <c r="AL1073"/>
      <c r="AM1073"/>
      <c r="AN1073"/>
      <c r="AO1073"/>
      <c r="AQ1073" s="200"/>
      <c r="AR1073" s="37"/>
      <c r="AS1073" s="37"/>
      <c r="AT1073" s="37"/>
      <c r="AU1073" s="37"/>
      <c r="AV1073" s="37"/>
      <c r="AW1073" s="37"/>
    </row>
    <row r="1074" spans="1:49" ht="15.75" customHeight="1" x14ac:dyDescent="0.25">
      <c r="A1074" s="21" t="s">
        <v>5348</v>
      </c>
      <c r="B1074" s="21" t="s">
        <v>5349</v>
      </c>
      <c r="C1074" s="195">
        <v>1</v>
      </c>
      <c r="D1074" s="1" t="s">
        <v>5352</v>
      </c>
      <c r="E1074" s="192">
        <v>4720</v>
      </c>
      <c r="F1074" s="195">
        <v>29</v>
      </c>
      <c r="G1074" s="1">
        <v>9.6</v>
      </c>
      <c r="H1074" s="34">
        <f>Tabela1[[#This Row],[PESO UNI]]*Tabela1[[#This Row],[QTE]]</f>
        <v>9.6</v>
      </c>
      <c r="I1074" s="7" t="s">
        <v>5580</v>
      </c>
      <c r="J1074" s="8" t="s">
        <v>4834</v>
      </c>
      <c r="K1074" s="8" t="s">
        <v>4320</v>
      </c>
      <c r="L1074" s="9" t="s">
        <v>3291</v>
      </c>
      <c r="M1074" s="10">
        <v>46259</v>
      </c>
      <c r="N1074" s="8" t="s">
        <v>38</v>
      </c>
      <c r="O1074" s="12"/>
      <c r="P1074" s="13"/>
      <c r="Q1074" s="14">
        <f>Tabela1[[#This Row],[QTDE/ Fabricação]]-Tabela1[[#This Row],[QTE]]</f>
        <v>-1</v>
      </c>
      <c r="R1074" s="18">
        <f t="shared" si="221"/>
        <v>0</v>
      </c>
      <c r="S1074" s="18">
        <f t="shared" si="222"/>
        <v>0</v>
      </c>
      <c r="T1074" s="19">
        <f t="shared" si="223"/>
        <v>-9.6</v>
      </c>
      <c r="U1074" s="16">
        <f>IFERROR(SUMIF('LISTA DE EMBARQUE'!B:B,MICRO!E:E,'LISTA DE EMBARQUE'!G:G),"")</f>
        <v>0</v>
      </c>
      <c r="V1074" s="12" t="str">
        <f>IFERROR(VLOOKUP(Tabela1[[#This Row],[COD.MDE]],'LISTA DE EMBARQUE'!B:L,11,0),"")</f>
        <v/>
      </c>
      <c r="W1074" s="13" t="str">
        <f>IFERROR(VLOOKUP(Tabela1[[#This Row],[COD.MDE]],'LISTA DE EMBARQUE'!B:M,12,0),"")</f>
        <v/>
      </c>
      <c r="X1074" s="14">
        <f>IFERROR(Tabela1[[#This Row],[QIANTIDADE EXPEDIDA]]*Tabela1[[#This Row],[PESO UNI]],"")</f>
        <v>0</v>
      </c>
      <c r="Y1074" s="14">
        <f t="shared" si="224"/>
        <v>-1</v>
      </c>
      <c r="Z1074" s="20">
        <f>Tabela1[[#This Row],[PESO TOTAL]]-Tabela1[[#This Row],[Peso Expedido]]</f>
        <v>9.6</v>
      </c>
      <c r="AA1074" s="17"/>
      <c r="AB1074" s="33"/>
      <c r="AC1074" s="33"/>
      <c r="AD1074" s="33"/>
      <c r="AE1074" s="33"/>
      <c r="AF1074" s="33"/>
      <c r="AG1074" s="33"/>
      <c r="AH1074" s="33"/>
      <c r="AI1074" s="33"/>
      <c r="AJ1074"/>
      <c r="AK1074"/>
      <c r="AL1074"/>
      <c r="AM1074"/>
      <c r="AN1074"/>
      <c r="AO1074"/>
      <c r="AQ1074" s="200"/>
      <c r="AR1074" s="37"/>
      <c r="AS1074" s="37"/>
      <c r="AT1074" s="37"/>
      <c r="AU1074" s="37"/>
      <c r="AV1074" s="37"/>
      <c r="AW1074" s="37"/>
    </row>
    <row r="1075" spans="1:49" ht="15.75" customHeight="1" x14ac:dyDescent="0.25">
      <c r="A1075" s="21" t="s">
        <v>5348</v>
      </c>
      <c r="B1075" s="21" t="s">
        <v>5349</v>
      </c>
      <c r="C1075" s="195">
        <v>1</v>
      </c>
      <c r="D1075" s="1" t="s">
        <v>5353</v>
      </c>
      <c r="E1075" s="192">
        <v>4721</v>
      </c>
      <c r="F1075" s="195">
        <v>29</v>
      </c>
      <c r="G1075" s="1">
        <v>20.2</v>
      </c>
      <c r="H1075" s="34">
        <f>Tabela1[[#This Row],[PESO UNI]]*Tabela1[[#This Row],[QTE]]</f>
        <v>20.2</v>
      </c>
      <c r="I1075" s="7" t="s">
        <v>5580</v>
      </c>
      <c r="J1075" s="8" t="s">
        <v>4834</v>
      </c>
      <c r="K1075" s="8" t="s">
        <v>4320</v>
      </c>
      <c r="L1075" s="9" t="s">
        <v>3291</v>
      </c>
      <c r="M1075" s="10">
        <v>46259</v>
      </c>
      <c r="N1075" s="8" t="s">
        <v>38</v>
      </c>
      <c r="O1075" s="12"/>
      <c r="P1075" s="13"/>
      <c r="Q1075" s="14">
        <f>Tabela1[[#This Row],[QTDE/ Fabricação]]-Tabela1[[#This Row],[QTE]]</f>
        <v>-1</v>
      </c>
      <c r="R1075" s="18">
        <f t="shared" si="221"/>
        <v>0</v>
      </c>
      <c r="S1075" s="18">
        <f t="shared" si="222"/>
        <v>0</v>
      </c>
      <c r="T1075" s="19">
        <f t="shared" si="223"/>
        <v>-20.2</v>
      </c>
      <c r="U1075" s="16">
        <f>IFERROR(SUMIF('LISTA DE EMBARQUE'!B:B,MICRO!E:E,'LISTA DE EMBARQUE'!G:G),"")</f>
        <v>0</v>
      </c>
      <c r="V1075" s="12" t="str">
        <f>IFERROR(VLOOKUP(Tabela1[[#This Row],[COD.MDE]],'LISTA DE EMBARQUE'!B:L,11,0),"")</f>
        <v/>
      </c>
      <c r="W1075" s="13" t="str">
        <f>IFERROR(VLOOKUP(Tabela1[[#This Row],[COD.MDE]],'LISTA DE EMBARQUE'!B:M,12,0),"")</f>
        <v/>
      </c>
      <c r="X1075" s="14">
        <f>IFERROR(Tabela1[[#This Row],[QIANTIDADE EXPEDIDA]]*Tabela1[[#This Row],[PESO UNI]],"")</f>
        <v>0</v>
      </c>
      <c r="Y1075" s="14">
        <f t="shared" si="224"/>
        <v>-1</v>
      </c>
      <c r="Z1075" s="20">
        <f>Tabela1[[#This Row],[PESO TOTAL]]-Tabela1[[#This Row],[Peso Expedido]]</f>
        <v>20.2</v>
      </c>
      <c r="AA1075" s="17"/>
      <c r="AB1075" s="33"/>
      <c r="AC1075" s="33"/>
      <c r="AD1075" s="33"/>
      <c r="AE1075" s="33"/>
      <c r="AF1075" s="33"/>
      <c r="AG1075" s="33"/>
      <c r="AH1075" s="33"/>
      <c r="AI1075" s="33"/>
      <c r="AJ1075"/>
      <c r="AK1075"/>
      <c r="AL1075"/>
      <c r="AM1075"/>
      <c r="AN1075"/>
      <c r="AO1075"/>
      <c r="AQ1075" s="200"/>
      <c r="AR1075" s="37"/>
      <c r="AS1075" s="37"/>
      <c r="AT1075" s="37"/>
      <c r="AU1075" s="37"/>
      <c r="AV1075" s="37"/>
      <c r="AW1075" s="37"/>
    </row>
    <row r="1076" spans="1:49" ht="15.75" customHeight="1" x14ac:dyDescent="0.25">
      <c r="A1076" s="21" t="s">
        <v>5348</v>
      </c>
      <c r="B1076" s="21" t="s">
        <v>5349</v>
      </c>
      <c r="C1076" s="195">
        <v>1</v>
      </c>
      <c r="D1076" s="1" t="s">
        <v>5354</v>
      </c>
      <c r="E1076" s="192">
        <v>4722</v>
      </c>
      <c r="F1076" s="195">
        <v>29</v>
      </c>
      <c r="G1076" s="1">
        <v>11</v>
      </c>
      <c r="H1076" s="34">
        <f>Tabela1[[#This Row],[PESO UNI]]*Tabela1[[#This Row],[QTE]]</f>
        <v>11</v>
      </c>
      <c r="I1076" s="7" t="s">
        <v>5580</v>
      </c>
      <c r="J1076" s="8" t="s">
        <v>4834</v>
      </c>
      <c r="K1076" s="8" t="s">
        <v>4320</v>
      </c>
      <c r="L1076" s="9" t="s">
        <v>3291</v>
      </c>
      <c r="M1076" s="10">
        <v>46259</v>
      </c>
      <c r="N1076" s="8" t="s">
        <v>38</v>
      </c>
      <c r="O1076" s="12"/>
      <c r="P1076" s="13"/>
      <c r="Q1076" s="14">
        <f>Tabela1[[#This Row],[QTDE/ Fabricação]]-Tabela1[[#This Row],[QTE]]</f>
        <v>-1</v>
      </c>
      <c r="R1076" s="18">
        <f t="shared" si="221"/>
        <v>0</v>
      </c>
      <c r="S1076" s="18">
        <f t="shared" si="222"/>
        <v>0</v>
      </c>
      <c r="T1076" s="19">
        <f t="shared" si="223"/>
        <v>-11</v>
      </c>
      <c r="U1076" s="16">
        <f>IFERROR(SUMIF('LISTA DE EMBARQUE'!B:B,MICRO!E:E,'LISTA DE EMBARQUE'!G:G),"")</f>
        <v>0</v>
      </c>
      <c r="V1076" s="12" t="str">
        <f>IFERROR(VLOOKUP(Tabela1[[#This Row],[COD.MDE]],'LISTA DE EMBARQUE'!B:L,11,0),"")</f>
        <v/>
      </c>
      <c r="W1076" s="13" t="str">
        <f>IFERROR(VLOOKUP(Tabela1[[#This Row],[COD.MDE]],'LISTA DE EMBARQUE'!B:M,12,0),"")</f>
        <v/>
      </c>
      <c r="X1076" s="14">
        <f>IFERROR(Tabela1[[#This Row],[QIANTIDADE EXPEDIDA]]*Tabela1[[#This Row],[PESO UNI]],"")</f>
        <v>0</v>
      </c>
      <c r="Y1076" s="14">
        <f t="shared" si="224"/>
        <v>-1</v>
      </c>
      <c r="Z1076" s="20">
        <f>Tabela1[[#This Row],[PESO TOTAL]]-Tabela1[[#This Row],[Peso Expedido]]</f>
        <v>11</v>
      </c>
      <c r="AA1076" s="17"/>
      <c r="AB1076" s="33"/>
      <c r="AC1076" s="33"/>
      <c r="AD1076" s="33"/>
      <c r="AE1076" s="33"/>
      <c r="AF1076" s="33"/>
      <c r="AG1076" s="33"/>
      <c r="AH1076" s="33"/>
      <c r="AI1076" s="33"/>
      <c r="AJ1076"/>
      <c r="AK1076"/>
      <c r="AL1076"/>
      <c r="AM1076"/>
      <c r="AN1076"/>
      <c r="AO1076"/>
      <c r="AQ1076" s="200"/>
      <c r="AR1076" s="37"/>
      <c r="AS1076" s="37"/>
      <c r="AT1076" s="37"/>
      <c r="AU1076" s="37"/>
      <c r="AV1076" s="37"/>
      <c r="AW1076" s="37"/>
    </row>
    <row r="1077" spans="1:49" ht="15.75" customHeight="1" x14ac:dyDescent="0.25">
      <c r="A1077" s="21" t="s">
        <v>5348</v>
      </c>
      <c r="B1077" s="21" t="s">
        <v>5349</v>
      </c>
      <c r="C1077" s="195">
        <v>1</v>
      </c>
      <c r="D1077" s="1" t="s">
        <v>5355</v>
      </c>
      <c r="E1077" s="192">
        <v>4723</v>
      </c>
      <c r="F1077" s="195">
        <v>29</v>
      </c>
      <c r="G1077" s="1">
        <v>36.200000000000003</v>
      </c>
      <c r="H1077" s="34">
        <f>Tabela1[[#This Row],[PESO UNI]]*Tabela1[[#This Row],[QTE]]</f>
        <v>36.200000000000003</v>
      </c>
      <c r="I1077" s="7" t="s">
        <v>5580</v>
      </c>
      <c r="J1077" s="8" t="s">
        <v>4834</v>
      </c>
      <c r="K1077" s="8" t="s">
        <v>4320</v>
      </c>
      <c r="L1077" s="9" t="s">
        <v>3291</v>
      </c>
      <c r="M1077" s="10">
        <v>46259</v>
      </c>
      <c r="N1077" s="8" t="s">
        <v>38</v>
      </c>
      <c r="O1077" s="12"/>
      <c r="P1077" s="13"/>
      <c r="Q1077" s="14">
        <f>Tabela1[[#This Row],[QTDE/ Fabricação]]-Tabela1[[#This Row],[QTE]]</f>
        <v>-1</v>
      </c>
      <c r="R1077" s="18">
        <f t="shared" si="221"/>
        <v>0</v>
      </c>
      <c r="S1077" s="18">
        <f t="shared" si="222"/>
        <v>0</v>
      </c>
      <c r="T1077" s="19">
        <f t="shared" si="223"/>
        <v>-36.200000000000003</v>
      </c>
      <c r="U1077" s="16">
        <f>IFERROR(SUMIF('LISTA DE EMBARQUE'!B:B,MICRO!E:E,'LISTA DE EMBARQUE'!G:G),"")</f>
        <v>0</v>
      </c>
      <c r="V1077" s="12" t="str">
        <f>IFERROR(VLOOKUP(Tabela1[[#This Row],[COD.MDE]],'LISTA DE EMBARQUE'!B:L,11,0),"")</f>
        <v/>
      </c>
      <c r="W1077" s="13" t="str">
        <f>IFERROR(VLOOKUP(Tabela1[[#This Row],[COD.MDE]],'LISTA DE EMBARQUE'!B:M,12,0),"")</f>
        <v/>
      </c>
      <c r="X1077" s="14">
        <f>IFERROR(Tabela1[[#This Row],[QIANTIDADE EXPEDIDA]]*Tabela1[[#This Row],[PESO UNI]],"")</f>
        <v>0</v>
      </c>
      <c r="Y1077" s="14">
        <f t="shared" si="224"/>
        <v>-1</v>
      </c>
      <c r="Z1077" s="20">
        <f>Tabela1[[#This Row],[PESO TOTAL]]-Tabela1[[#This Row],[Peso Expedido]]</f>
        <v>36.200000000000003</v>
      </c>
      <c r="AA1077" s="17"/>
      <c r="AB1077" s="33"/>
      <c r="AC1077" s="33"/>
      <c r="AD1077" s="33"/>
      <c r="AE1077" s="33"/>
      <c r="AF1077" s="33"/>
      <c r="AG1077" s="33"/>
      <c r="AH1077" s="33"/>
      <c r="AI1077" s="33"/>
      <c r="AJ1077"/>
      <c r="AK1077"/>
      <c r="AL1077"/>
      <c r="AM1077"/>
      <c r="AN1077"/>
      <c r="AO1077"/>
      <c r="AQ1077" s="200"/>
      <c r="AR1077" s="37"/>
      <c r="AS1077" s="37"/>
      <c r="AT1077" s="37"/>
      <c r="AU1077" s="37"/>
      <c r="AV1077" s="37"/>
      <c r="AW1077" s="37"/>
    </row>
    <row r="1078" spans="1:49" ht="15.75" customHeight="1" x14ac:dyDescent="0.25">
      <c r="A1078" s="21" t="s">
        <v>5348</v>
      </c>
      <c r="B1078" s="21" t="s">
        <v>5349</v>
      </c>
      <c r="C1078" s="195">
        <v>1</v>
      </c>
      <c r="D1078" s="1" t="s">
        <v>5356</v>
      </c>
      <c r="E1078" s="192">
        <v>4724</v>
      </c>
      <c r="F1078" s="195">
        <v>29</v>
      </c>
      <c r="G1078" s="1">
        <v>0.4</v>
      </c>
      <c r="H1078" s="34">
        <f>Tabela1[[#This Row],[PESO UNI]]*Tabela1[[#This Row],[QTE]]</f>
        <v>0.4</v>
      </c>
      <c r="I1078" s="7" t="s">
        <v>5580</v>
      </c>
      <c r="J1078" s="8" t="s">
        <v>4834</v>
      </c>
      <c r="K1078" s="8" t="s">
        <v>4320</v>
      </c>
      <c r="L1078" s="9" t="s">
        <v>3291</v>
      </c>
      <c r="M1078" s="10">
        <v>46259</v>
      </c>
      <c r="N1078" s="8" t="s">
        <v>38</v>
      </c>
      <c r="O1078" s="12"/>
      <c r="P1078" s="13"/>
      <c r="Q1078" s="14">
        <f>Tabela1[[#This Row],[QTDE/ Fabricação]]-Tabela1[[#This Row],[QTE]]</f>
        <v>-1</v>
      </c>
      <c r="R1078" s="18">
        <f t="shared" si="221"/>
        <v>0</v>
      </c>
      <c r="S1078" s="18">
        <f t="shared" si="222"/>
        <v>0</v>
      </c>
      <c r="T1078" s="19">
        <f t="shared" si="223"/>
        <v>-0.4</v>
      </c>
      <c r="U1078" s="16">
        <f>IFERROR(SUMIF('LISTA DE EMBARQUE'!B:B,MICRO!E:E,'LISTA DE EMBARQUE'!G:G),"")</f>
        <v>0</v>
      </c>
      <c r="V1078" s="12" t="str">
        <f>IFERROR(VLOOKUP(Tabela1[[#This Row],[COD.MDE]],'LISTA DE EMBARQUE'!B:L,11,0),"")</f>
        <v/>
      </c>
      <c r="W1078" s="13" t="str">
        <f>IFERROR(VLOOKUP(Tabela1[[#This Row],[COD.MDE]],'LISTA DE EMBARQUE'!B:M,12,0),"")</f>
        <v/>
      </c>
      <c r="X1078" s="14">
        <f>IFERROR(Tabela1[[#This Row],[QIANTIDADE EXPEDIDA]]*Tabela1[[#This Row],[PESO UNI]],"")</f>
        <v>0</v>
      </c>
      <c r="Y1078" s="14">
        <f t="shared" si="224"/>
        <v>-1</v>
      </c>
      <c r="Z1078" s="20">
        <f>Tabela1[[#This Row],[PESO TOTAL]]-Tabela1[[#This Row],[Peso Expedido]]</f>
        <v>0.4</v>
      </c>
      <c r="AA1078" s="17"/>
      <c r="AB1078" s="33"/>
      <c r="AC1078" s="33"/>
      <c r="AD1078" s="33"/>
      <c r="AE1078" s="33"/>
      <c r="AF1078" s="33"/>
      <c r="AG1078" s="33"/>
      <c r="AH1078" s="33"/>
      <c r="AI1078" s="33"/>
      <c r="AJ1078"/>
      <c r="AK1078"/>
      <c r="AL1078"/>
      <c r="AM1078"/>
      <c r="AN1078"/>
      <c r="AO1078"/>
      <c r="AQ1078" s="200"/>
      <c r="AR1078" s="37"/>
      <c r="AS1078" s="37"/>
      <c r="AT1078" s="37"/>
      <c r="AU1078" s="37"/>
      <c r="AV1078" s="37"/>
      <c r="AW1078" s="37"/>
    </row>
    <row r="1079" spans="1:49" s="21" customFormat="1" ht="15.75" customHeight="1" x14ac:dyDescent="0.25">
      <c r="A1079" s="21" t="s">
        <v>5357</v>
      </c>
      <c r="B1079" s="21" t="s">
        <v>5358</v>
      </c>
      <c r="C1079" s="21">
        <v>1</v>
      </c>
      <c r="D1079" s="1" t="s">
        <v>5359</v>
      </c>
      <c r="E1079" s="21">
        <v>4725</v>
      </c>
      <c r="F1079" s="21">
        <v>30</v>
      </c>
      <c r="G1079" s="1">
        <v>91</v>
      </c>
      <c r="H1079" s="34">
        <f>Tabela1[[#This Row],[PESO UNI]]*Tabela1[[#This Row],[QTE]]</f>
        <v>91</v>
      </c>
      <c r="I1079" s="7" t="s">
        <v>5580</v>
      </c>
      <c r="J1079" s="8" t="s">
        <v>4834</v>
      </c>
      <c r="K1079" s="8" t="s">
        <v>4320</v>
      </c>
      <c r="L1079" s="9" t="s">
        <v>3291</v>
      </c>
      <c r="M1079" s="10">
        <v>46259</v>
      </c>
      <c r="N1079" s="8" t="s">
        <v>38</v>
      </c>
      <c r="O1079" s="12"/>
      <c r="P1079" s="13"/>
      <c r="Q1079" s="14">
        <f>Tabela1[[#This Row],[QTDE/ Fabricação]]-Tabela1[[#This Row],[QTE]]</f>
        <v>-1</v>
      </c>
      <c r="R1079" s="18">
        <f t="shared" si="221"/>
        <v>36.4</v>
      </c>
      <c r="S1079" s="18">
        <f t="shared" si="222"/>
        <v>0</v>
      </c>
      <c r="T1079" s="19">
        <f t="shared" si="223"/>
        <v>-91</v>
      </c>
      <c r="U1079" s="16">
        <f>IFERROR(SUMIF('LISTA DE EMBARQUE'!B:B,MICRO!E:E,'LISTA DE EMBARQUE'!G:G),"")</f>
        <v>0</v>
      </c>
      <c r="V1079" s="12" t="str">
        <f>IFERROR(VLOOKUP(Tabela1[[#This Row],[COD.MDE]],'LISTA DE EMBARQUE'!B:L,11,0),"")</f>
        <v/>
      </c>
      <c r="W1079" s="13" t="str">
        <f>IFERROR(VLOOKUP(Tabela1[[#This Row],[COD.MDE]],'LISTA DE EMBARQUE'!B:M,12,0),"")</f>
        <v/>
      </c>
      <c r="X1079" s="14">
        <f>IFERROR(Tabela1[[#This Row],[QIANTIDADE EXPEDIDA]]*Tabela1[[#This Row],[PESO UNI]],"")</f>
        <v>0</v>
      </c>
      <c r="Y1079" s="14">
        <f t="shared" si="224"/>
        <v>-1</v>
      </c>
      <c r="Z1079" s="20">
        <f>Tabela1[[#This Row],[PESO TOTAL]]-Tabela1[[#This Row],[Peso Expedido]]</f>
        <v>91</v>
      </c>
      <c r="AA1079" s="17">
        <v>0.8</v>
      </c>
      <c r="AB1079" s="33"/>
      <c r="AC1079" s="33">
        <v>0.8</v>
      </c>
      <c r="AD1079" s="33"/>
      <c r="AE1079" s="33"/>
      <c r="AF1079" s="33"/>
      <c r="AG1079" s="33"/>
      <c r="AH1079" s="33"/>
      <c r="AI1079" s="33"/>
      <c r="AJ1079"/>
      <c r="AK1079"/>
      <c r="AL1079"/>
      <c r="AM1079"/>
      <c r="AN1079"/>
      <c r="AO1079"/>
      <c r="AP1079" s="28"/>
      <c r="AQ1079" s="200"/>
    </row>
    <row r="1080" spans="1:49" s="21" customFormat="1" ht="15.75" customHeight="1" x14ac:dyDescent="0.25">
      <c r="A1080" s="21" t="s">
        <v>5357</v>
      </c>
      <c r="B1080" s="21" t="s">
        <v>5358</v>
      </c>
      <c r="C1080" s="21">
        <v>2</v>
      </c>
      <c r="D1080" s="1" t="s">
        <v>5360</v>
      </c>
      <c r="E1080" s="21">
        <v>4726</v>
      </c>
      <c r="F1080" s="21">
        <v>30</v>
      </c>
      <c r="G1080" s="1">
        <v>13.25</v>
      </c>
      <c r="H1080" s="34">
        <f>Tabela1[[#This Row],[PESO UNI]]*Tabela1[[#This Row],[QTE]]</f>
        <v>26.5</v>
      </c>
      <c r="I1080" s="7" t="s">
        <v>5580</v>
      </c>
      <c r="J1080" s="8" t="s">
        <v>4834</v>
      </c>
      <c r="K1080" s="8" t="s">
        <v>4320</v>
      </c>
      <c r="L1080" s="9" t="s">
        <v>3291</v>
      </c>
      <c r="M1080" s="10">
        <v>46259</v>
      </c>
      <c r="N1080" s="8" t="s">
        <v>38</v>
      </c>
      <c r="O1080" s="12"/>
      <c r="P1080" s="13"/>
      <c r="Q1080" s="14">
        <f>Tabela1[[#This Row],[QTDE/ Fabricação]]-Tabela1[[#This Row],[QTE]]</f>
        <v>-2</v>
      </c>
      <c r="R1080" s="18">
        <f t="shared" si="221"/>
        <v>10.600000000000001</v>
      </c>
      <c r="S1080" s="18">
        <f t="shared" si="222"/>
        <v>0</v>
      </c>
      <c r="T1080" s="19">
        <f t="shared" si="223"/>
        <v>-26.5</v>
      </c>
      <c r="U1080" s="16">
        <f>IFERROR(SUMIF('LISTA DE EMBARQUE'!B:B,MICRO!E:E,'LISTA DE EMBARQUE'!G:G),"")</f>
        <v>0</v>
      </c>
      <c r="V1080" s="12" t="str">
        <f>IFERROR(VLOOKUP(Tabela1[[#This Row],[COD.MDE]],'LISTA DE EMBARQUE'!B:L,11,0),"")</f>
        <v/>
      </c>
      <c r="W1080" s="13" t="str">
        <f>IFERROR(VLOOKUP(Tabela1[[#This Row],[COD.MDE]],'LISTA DE EMBARQUE'!B:M,12,0),"")</f>
        <v/>
      </c>
      <c r="X1080" s="14">
        <f>IFERROR(Tabela1[[#This Row],[QIANTIDADE EXPEDIDA]]*Tabela1[[#This Row],[PESO UNI]],"")</f>
        <v>0</v>
      </c>
      <c r="Y1080" s="14">
        <f t="shared" si="224"/>
        <v>-2</v>
      </c>
      <c r="Z1080" s="20">
        <f>Tabela1[[#This Row],[PESO TOTAL]]-Tabela1[[#This Row],[Peso Expedido]]</f>
        <v>26.5</v>
      </c>
      <c r="AA1080" s="17">
        <v>0.8</v>
      </c>
      <c r="AB1080" s="33"/>
      <c r="AC1080" s="33">
        <v>0.8</v>
      </c>
      <c r="AD1080" s="33"/>
      <c r="AE1080" s="33"/>
      <c r="AF1080" s="33"/>
      <c r="AG1080" s="33"/>
      <c r="AH1080" s="33"/>
      <c r="AI1080" s="33"/>
      <c r="AJ1080"/>
      <c r="AK1080"/>
      <c r="AL1080"/>
      <c r="AM1080"/>
      <c r="AN1080"/>
      <c r="AO1080"/>
      <c r="AP1080" s="28"/>
      <c r="AQ1080" s="200"/>
    </row>
    <row r="1081" spans="1:49" s="21" customFormat="1" ht="15.75" customHeight="1" x14ac:dyDescent="0.25">
      <c r="A1081" s="21" t="s">
        <v>5357</v>
      </c>
      <c r="B1081" s="21" t="s">
        <v>5358</v>
      </c>
      <c r="C1081" s="21">
        <v>18</v>
      </c>
      <c r="D1081" s="1" t="s">
        <v>5361</v>
      </c>
      <c r="E1081" s="21">
        <v>4727</v>
      </c>
      <c r="F1081" s="21">
        <v>30</v>
      </c>
      <c r="G1081" s="1">
        <v>1.2</v>
      </c>
      <c r="H1081" s="34">
        <f>Tabela1[[#This Row],[PESO UNI]]*Tabela1[[#This Row],[QTE]]</f>
        <v>21.599999999999998</v>
      </c>
      <c r="I1081" s="7" t="s">
        <v>5580</v>
      </c>
      <c r="J1081" s="8" t="s">
        <v>4834</v>
      </c>
      <c r="K1081" s="8" t="s">
        <v>4320</v>
      </c>
      <c r="L1081" s="9" t="s">
        <v>3291</v>
      </c>
      <c r="M1081" s="10">
        <v>46259</v>
      </c>
      <c r="N1081" s="8" t="s">
        <v>38</v>
      </c>
      <c r="O1081" s="12"/>
      <c r="P1081" s="13"/>
      <c r="Q1081" s="14">
        <f>Tabela1[[#This Row],[QTDE/ Fabricação]]-Tabela1[[#This Row],[QTE]]</f>
        <v>-18</v>
      </c>
      <c r="R1081" s="18">
        <f t="shared" si="221"/>
        <v>8.6399999999999988</v>
      </c>
      <c r="S1081" s="18">
        <f t="shared" si="222"/>
        <v>0</v>
      </c>
      <c r="T1081" s="19">
        <f t="shared" si="223"/>
        <v>-21.599999999999998</v>
      </c>
      <c r="U1081" s="16">
        <f>IFERROR(SUMIF('LISTA DE EMBARQUE'!B:B,MICRO!E:E,'LISTA DE EMBARQUE'!G:G),"")</f>
        <v>0</v>
      </c>
      <c r="V1081" s="12" t="str">
        <f>IFERROR(VLOOKUP(Tabela1[[#This Row],[COD.MDE]],'LISTA DE EMBARQUE'!B:L,11,0),"")</f>
        <v/>
      </c>
      <c r="W1081" s="13" t="str">
        <f>IFERROR(VLOOKUP(Tabela1[[#This Row],[COD.MDE]],'LISTA DE EMBARQUE'!B:M,12,0),"")</f>
        <v/>
      </c>
      <c r="X1081" s="14">
        <f>IFERROR(Tabela1[[#This Row],[QIANTIDADE EXPEDIDA]]*Tabela1[[#This Row],[PESO UNI]],"")</f>
        <v>0</v>
      </c>
      <c r="Y1081" s="14">
        <f t="shared" si="224"/>
        <v>-18</v>
      </c>
      <c r="Z1081" s="20">
        <f>Tabela1[[#This Row],[PESO TOTAL]]-Tabela1[[#This Row],[Peso Expedido]]</f>
        <v>21.599999999999998</v>
      </c>
      <c r="AA1081" s="17">
        <v>0.8</v>
      </c>
      <c r="AB1081" s="33"/>
      <c r="AC1081" s="33">
        <v>0.8</v>
      </c>
      <c r="AD1081" s="33"/>
      <c r="AE1081" s="33"/>
      <c r="AF1081" s="33"/>
      <c r="AG1081" s="33"/>
      <c r="AH1081" s="33"/>
      <c r="AI1081" s="33"/>
      <c r="AJ1081"/>
      <c r="AK1081"/>
      <c r="AL1081"/>
      <c r="AM1081"/>
      <c r="AN1081"/>
      <c r="AO1081"/>
      <c r="AP1081" s="28"/>
      <c r="AQ1081" s="200"/>
    </row>
    <row r="1082" spans="1:49" s="21" customFormat="1" ht="15.75" customHeight="1" x14ac:dyDescent="0.25">
      <c r="A1082" s="21" t="s">
        <v>5357</v>
      </c>
      <c r="B1082" s="21" t="s">
        <v>5358</v>
      </c>
      <c r="C1082" s="21">
        <v>2</v>
      </c>
      <c r="D1082" s="1" t="s">
        <v>5750</v>
      </c>
      <c r="E1082" s="21">
        <v>4913</v>
      </c>
      <c r="F1082" s="21">
        <v>30</v>
      </c>
      <c r="G1082" s="1">
        <v>19.5</v>
      </c>
      <c r="H1082" s="34">
        <f>Tabela1[[#This Row],[PESO UNI]]*Tabela1[[#This Row],[QTE]]</f>
        <v>39</v>
      </c>
      <c r="I1082" s="7" t="s">
        <v>5580</v>
      </c>
      <c r="J1082" s="8" t="s">
        <v>4834</v>
      </c>
      <c r="K1082" s="8" t="s">
        <v>4320</v>
      </c>
      <c r="L1082" s="9" t="s">
        <v>3291</v>
      </c>
      <c r="M1082" s="10">
        <v>46259</v>
      </c>
      <c r="N1082" s="8" t="s">
        <v>38</v>
      </c>
      <c r="O1082" s="12"/>
      <c r="P1082" s="13"/>
      <c r="Q1082" s="14">
        <f>Tabela1[[#This Row],[QTDE/ Fabricação]]-Tabela1[[#This Row],[QTE]]</f>
        <v>-2</v>
      </c>
      <c r="R1082" s="18">
        <f t="shared" ref="R1082" si="225">IFERROR(H1082*((AA1082*0.25)+(AC1082*0.25)+(AD1082*0.225)+(AE1082*0.225)+(AF1082*0.05)),"")</f>
        <v>15.600000000000001</v>
      </c>
      <c r="S1082" s="18">
        <f t="shared" ref="S1082" si="226">IFERROR(H1082*AG1082,"")</f>
        <v>0</v>
      </c>
      <c r="T1082" s="19">
        <f t="shared" ref="T1082" si="227">IFERROR(S1082-H1082,"")</f>
        <v>-39</v>
      </c>
      <c r="U1082" s="16">
        <f>IFERROR(SUMIF('LISTA DE EMBARQUE'!B:B,MICRO!E:E,'LISTA DE EMBARQUE'!G:G),"")</f>
        <v>0</v>
      </c>
      <c r="V1082" s="12" t="str">
        <f>IFERROR(VLOOKUP(Tabela1[[#This Row],[COD.MDE]],'LISTA DE EMBARQUE'!B:L,11,0),"")</f>
        <v/>
      </c>
      <c r="W1082" s="13" t="str">
        <f>IFERROR(VLOOKUP(Tabela1[[#This Row],[COD.MDE]],'LISTA DE EMBARQUE'!B:M,12,0),"")</f>
        <v/>
      </c>
      <c r="X1082" s="14">
        <f>IFERROR(Tabela1[[#This Row],[QIANTIDADE EXPEDIDA]]*Tabela1[[#This Row],[PESO UNI]],"")</f>
        <v>0</v>
      </c>
      <c r="Y1082" s="14">
        <f t="shared" ref="Y1082" si="228">U1082-C1082</f>
        <v>-2</v>
      </c>
      <c r="Z1082" s="20">
        <f>Tabela1[[#This Row],[PESO TOTAL]]-Tabela1[[#This Row],[Peso Expedido]]</f>
        <v>39</v>
      </c>
      <c r="AA1082" s="17">
        <v>0.8</v>
      </c>
      <c r="AB1082" s="33"/>
      <c r="AC1082" s="33">
        <v>0.8</v>
      </c>
      <c r="AD1082" s="33"/>
      <c r="AE1082" s="33"/>
      <c r="AF1082" s="33"/>
      <c r="AG1082" s="33"/>
      <c r="AH1082" s="33"/>
      <c r="AI1082" s="33"/>
      <c r="AJ1082"/>
      <c r="AK1082"/>
      <c r="AL1082"/>
      <c r="AM1082"/>
      <c r="AN1082"/>
      <c r="AO1082"/>
      <c r="AP1082" s="28"/>
      <c r="AQ1082" s="200"/>
    </row>
    <row r="1083" spans="1:49" s="21" customFormat="1" ht="15.75" customHeight="1" x14ac:dyDescent="0.25">
      <c r="A1083" s="21" t="s">
        <v>5357</v>
      </c>
      <c r="B1083" s="21" t="s">
        <v>5358</v>
      </c>
      <c r="C1083" s="21">
        <v>2</v>
      </c>
      <c r="D1083" s="1" t="s">
        <v>5751</v>
      </c>
      <c r="E1083" s="21">
        <v>4914</v>
      </c>
      <c r="F1083" s="21">
        <v>30</v>
      </c>
      <c r="G1083" s="1">
        <v>1.9</v>
      </c>
      <c r="H1083" s="34">
        <f>Tabela1[[#This Row],[PESO UNI]]*Tabela1[[#This Row],[QTE]]</f>
        <v>3.8</v>
      </c>
      <c r="I1083" s="7" t="s">
        <v>5580</v>
      </c>
      <c r="J1083" s="8" t="s">
        <v>4834</v>
      </c>
      <c r="K1083" s="8" t="s">
        <v>4320</v>
      </c>
      <c r="L1083" s="9" t="s">
        <v>3291</v>
      </c>
      <c r="M1083" s="10">
        <v>46259</v>
      </c>
      <c r="N1083" s="8" t="s">
        <v>38</v>
      </c>
      <c r="O1083" s="12"/>
      <c r="P1083" s="13"/>
      <c r="Q1083" s="14">
        <f>Tabela1[[#This Row],[QTDE/ Fabricação]]-Tabela1[[#This Row],[QTE]]</f>
        <v>-2</v>
      </c>
      <c r="R1083" s="18">
        <f t="shared" ref="R1083" si="229">IFERROR(H1083*((AA1083*0.25)+(AC1083*0.25)+(AD1083*0.225)+(AE1083*0.225)+(AF1083*0.05)),"")</f>
        <v>1.52</v>
      </c>
      <c r="S1083" s="18">
        <f t="shared" ref="S1083" si="230">IFERROR(H1083*AG1083,"")</f>
        <v>0</v>
      </c>
      <c r="T1083" s="19">
        <f t="shared" ref="T1083" si="231">IFERROR(S1083-H1083,"")</f>
        <v>-3.8</v>
      </c>
      <c r="U1083" s="16">
        <f>IFERROR(SUMIF('LISTA DE EMBARQUE'!B:B,MICRO!E:E,'LISTA DE EMBARQUE'!G:G),"")</f>
        <v>0</v>
      </c>
      <c r="V1083" s="12" t="str">
        <f>IFERROR(VLOOKUP(Tabela1[[#This Row],[COD.MDE]],'LISTA DE EMBARQUE'!B:L,11,0),"")</f>
        <v/>
      </c>
      <c r="W1083" s="13" t="str">
        <f>IFERROR(VLOOKUP(Tabela1[[#This Row],[COD.MDE]],'LISTA DE EMBARQUE'!B:M,12,0),"")</f>
        <v/>
      </c>
      <c r="X1083" s="14">
        <f>IFERROR(Tabela1[[#This Row],[QIANTIDADE EXPEDIDA]]*Tabela1[[#This Row],[PESO UNI]],"")</f>
        <v>0</v>
      </c>
      <c r="Y1083" s="14">
        <f t="shared" ref="Y1083" si="232">U1083-C1083</f>
        <v>-2</v>
      </c>
      <c r="Z1083" s="20">
        <f>Tabela1[[#This Row],[PESO TOTAL]]-Tabela1[[#This Row],[Peso Expedido]]</f>
        <v>3.8</v>
      </c>
      <c r="AA1083" s="17">
        <v>0.8</v>
      </c>
      <c r="AB1083" s="33"/>
      <c r="AC1083" s="33">
        <v>0.8</v>
      </c>
      <c r="AD1083" s="33"/>
      <c r="AE1083" s="33"/>
      <c r="AF1083" s="33"/>
      <c r="AG1083" s="33"/>
      <c r="AH1083" s="33"/>
      <c r="AI1083" s="33"/>
      <c r="AJ1083"/>
      <c r="AK1083"/>
      <c r="AL1083"/>
      <c r="AM1083"/>
      <c r="AN1083"/>
      <c r="AO1083"/>
      <c r="AP1083" s="28"/>
      <c r="AQ1083" s="200"/>
    </row>
    <row r="1084" spans="1:49" s="36" customFormat="1" ht="15.75" customHeight="1" x14ac:dyDescent="0.25">
      <c r="A1084" s="21" t="s">
        <v>5362</v>
      </c>
      <c r="B1084" s="21" t="s">
        <v>5363</v>
      </c>
      <c r="C1084" s="192">
        <v>2</v>
      </c>
      <c r="D1084" s="1" t="s">
        <v>5364</v>
      </c>
      <c r="E1084" s="227">
        <v>4728</v>
      </c>
      <c r="F1084" s="192">
        <v>31</v>
      </c>
      <c r="G1084" s="1">
        <v>93.6</v>
      </c>
      <c r="H1084" s="34">
        <f>Tabela1[[#This Row],[PESO UNI]]*Tabela1[[#This Row],[QTE]]</f>
        <v>187.2</v>
      </c>
      <c r="I1084" s="7" t="s">
        <v>5580</v>
      </c>
      <c r="J1084" s="8" t="s">
        <v>4834</v>
      </c>
      <c r="K1084" s="8" t="s">
        <v>4320</v>
      </c>
      <c r="L1084" s="9" t="s">
        <v>3291</v>
      </c>
      <c r="M1084" s="10">
        <v>46259</v>
      </c>
      <c r="N1084" s="8" t="s">
        <v>38</v>
      </c>
      <c r="O1084" s="12"/>
      <c r="P1084" s="13"/>
      <c r="Q1084" s="14">
        <f>Tabela1[[#This Row],[QTDE/ Fabricação]]-Tabela1[[#This Row],[QTE]]</f>
        <v>-2</v>
      </c>
      <c r="R1084" s="18">
        <f t="shared" si="221"/>
        <v>93.6</v>
      </c>
      <c r="S1084" s="18">
        <f t="shared" si="222"/>
        <v>0</v>
      </c>
      <c r="T1084" s="19">
        <f t="shared" si="223"/>
        <v>-187.2</v>
      </c>
      <c r="U1084" s="16">
        <f>IFERROR(SUMIF('LISTA DE EMBARQUE'!B:B,MICRO!E:E,'LISTA DE EMBARQUE'!G:G),"")</f>
        <v>0</v>
      </c>
      <c r="V1084" s="12" t="str">
        <f>IFERROR(VLOOKUP(Tabela1[[#This Row],[COD.MDE]],'LISTA DE EMBARQUE'!B:L,11,0),"")</f>
        <v/>
      </c>
      <c r="W1084" s="13" t="str">
        <f>IFERROR(VLOOKUP(Tabela1[[#This Row],[COD.MDE]],'LISTA DE EMBARQUE'!B:M,12,0),"")</f>
        <v/>
      </c>
      <c r="X1084" s="14">
        <f>IFERROR(Tabela1[[#This Row],[QIANTIDADE EXPEDIDA]]*Tabela1[[#This Row],[PESO UNI]],"")</f>
        <v>0</v>
      </c>
      <c r="Y1084" s="14">
        <f t="shared" si="224"/>
        <v>-2</v>
      </c>
      <c r="Z1084" s="20">
        <f>Tabela1[[#This Row],[PESO TOTAL]]-Tabela1[[#This Row],[Peso Expedido]]</f>
        <v>187.2</v>
      </c>
      <c r="AA1084" s="17">
        <v>1</v>
      </c>
      <c r="AB1084" s="33"/>
      <c r="AC1084" s="33">
        <v>1</v>
      </c>
      <c r="AD1084" s="33"/>
      <c r="AE1084" s="33"/>
      <c r="AF1084" s="33"/>
      <c r="AG1084" s="33"/>
      <c r="AH1084" s="33"/>
      <c r="AI1084" s="33"/>
      <c r="AJ1084"/>
      <c r="AK1084"/>
      <c r="AL1084"/>
      <c r="AM1084"/>
      <c r="AN1084"/>
      <c r="AO1084"/>
      <c r="AP1084" s="28"/>
      <c r="AQ1084" s="200"/>
      <c r="AR1084" s="21"/>
      <c r="AS1084" s="21"/>
      <c r="AT1084" s="228"/>
      <c r="AU1084" s="228"/>
      <c r="AV1084" s="228"/>
      <c r="AW1084" s="228"/>
    </row>
    <row r="1085" spans="1:49" s="36" customFormat="1" ht="15.75" customHeight="1" x14ac:dyDescent="0.25">
      <c r="A1085" s="21" t="s">
        <v>5362</v>
      </c>
      <c r="B1085" s="21" t="s">
        <v>5363</v>
      </c>
      <c r="C1085" s="192">
        <v>18</v>
      </c>
      <c r="D1085" s="1" t="s">
        <v>5365</v>
      </c>
      <c r="E1085" s="192">
        <v>4729</v>
      </c>
      <c r="F1085" s="192">
        <v>31</v>
      </c>
      <c r="G1085" s="1">
        <v>36.200000000000003</v>
      </c>
      <c r="H1085" s="34">
        <f>Tabela1[[#This Row],[PESO UNI]]*Tabela1[[#This Row],[QTE]]</f>
        <v>651.6</v>
      </c>
      <c r="I1085" s="7" t="s">
        <v>5580</v>
      </c>
      <c r="J1085" s="8" t="s">
        <v>4834</v>
      </c>
      <c r="K1085" s="8" t="s">
        <v>4320</v>
      </c>
      <c r="L1085" s="9" t="s">
        <v>3291</v>
      </c>
      <c r="M1085" s="10">
        <v>46259</v>
      </c>
      <c r="N1085" s="8" t="s">
        <v>38</v>
      </c>
      <c r="O1085" s="12"/>
      <c r="P1085" s="13"/>
      <c r="Q1085" s="14">
        <f>Tabela1[[#This Row],[QTDE/ Fabricação]]-Tabela1[[#This Row],[QTE]]</f>
        <v>-18</v>
      </c>
      <c r="R1085" s="18">
        <f t="shared" si="221"/>
        <v>325.8</v>
      </c>
      <c r="S1085" s="18">
        <f t="shared" si="222"/>
        <v>0</v>
      </c>
      <c r="T1085" s="19">
        <f t="shared" si="223"/>
        <v>-651.6</v>
      </c>
      <c r="U1085" s="16">
        <f>IFERROR(SUMIF('LISTA DE EMBARQUE'!B:B,MICRO!E:E,'LISTA DE EMBARQUE'!G:G),"")</f>
        <v>0</v>
      </c>
      <c r="V1085" s="12" t="str">
        <f>IFERROR(VLOOKUP(Tabela1[[#This Row],[COD.MDE]],'LISTA DE EMBARQUE'!B:L,11,0),"")</f>
        <v/>
      </c>
      <c r="W1085" s="13" t="str">
        <f>IFERROR(VLOOKUP(Tabela1[[#This Row],[COD.MDE]],'LISTA DE EMBARQUE'!B:M,12,0),"")</f>
        <v/>
      </c>
      <c r="X1085" s="14">
        <f>IFERROR(Tabela1[[#This Row],[QIANTIDADE EXPEDIDA]]*Tabela1[[#This Row],[PESO UNI]],"")</f>
        <v>0</v>
      </c>
      <c r="Y1085" s="14">
        <f t="shared" si="224"/>
        <v>-18</v>
      </c>
      <c r="Z1085" s="20">
        <f>Tabela1[[#This Row],[PESO TOTAL]]-Tabela1[[#This Row],[Peso Expedido]]</f>
        <v>651.6</v>
      </c>
      <c r="AA1085" s="17">
        <v>1</v>
      </c>
      <c r="AB1085" s="33"/>
      <c r="AC1085" s="33">
        <v>1</v>
      </c>
      <c r="AD1085" s="33"/>
      <c r="AE1085" s="33"/>
      <c r="AF1085" s="33"/>
      <c r="AG1085" s="33"/>
      <c r="AH1085" s="33"/>
      <c r="AI1085" s="33"/>
      <c r="AJ1085"/>
      <c r="AK1085"/>
      <c r="AL1085"/>
      <c r="AM1085"/>
      <c r="AN1085"/>
      <c r="AO1085"/>
      <c r="AP1085" s="28"/>
      <c r="AQ1085" s="200"/>
      <c r="AR1085" s="21"/>
      <c r="AS1085" s="21"/>
      <c r="AT1085" s="228"/>
      <c r="AU1085" s="228"/>
      <c r="AV1085" s="228"/>
      <c r="AW1085" s="228"/>
    </row>
    <row r="1086" spans="1:49" s="36" customFormat="1" ht="15.75" customHeight="1" x14ac:dyDescent="0.25">
      <c r="A1086" s="21" t="s">
        <v>5366</v>
      </c>
      <c r="B1086" s="21" t="s">
        <v>5367</v>
      </c>
      <c r="C1086" s="192">
        <v>1</v>
      </c>
      <c r="D1086" s="1" t="s">
        <v>5368</v>
      </c>
      <c r="E1086" s="227">
        <v>4730</v>
      </c>
      <c r="F1086" s="192">
        <v>31</v>
      </c>
      <c r="G1086" s="1">
        <v>36</v>
      </c>
      <c r="H1086" s="34">
        <f>Tabela1[[#This Row],[PESO UNI]]*Tabela1[[#This Row],[QTE]]</f>
        <v>36</v>
      </c>
      <c r="I1086" s="7" t="s">
        <v>5580</v>
      </c>
      <c r="J1086" s="8" t="s">
        <v>4834</v>
      </c>
      <c r="K1086" s="8" t="s">
        <v>4320</v>
      </c>
      <c r="L1086" s="9" t="s">
        <v>3291</v>
      </c>
      <c r="M1086" s="10">
        <v>46259</v>
      </c>
      <c r="N1086" s="8" t="s">
        <v>38</v>
      </c>
      <c r="O1086" s="12"/>
      <c r="P1086" s="13"/>
      <c r="Q1086" s="14">
        <f>Tabela1[[#This Row],[QTDE/ Fabricação]]-Tabela1[[#This Row],[QTE]]</f>
        <v>-1</v>
      </c>
      <c r="R1086" s="18">
        <f t="shared" si="221"/>
        <v>0</v>
      </c>
      <c r="S1086" s="18">
        <f t="shared" si="222"/>
        <v>0</v>
      </c>
      <c r="T1086" s="19">
        <f t="shared" si="223"/>
        <v>-36</v>
      </c>
      <c r="U1086" s="16">
        <f>IFERROR(SUMIF('LISTA DE EMBARQUE'!B:B,MICRO!E:E,'LISTA DE EMBARQUE'!G:G),"")</f>
        <v>0</v>
      </c>
      <c r="V1086" s="12" t="str">
        <f>IFERROR(VLOOKUP(Tabela1[[#This Row],[COD.MDE]],'LISTA DE EMBARQUE'!B:L,11,0),"")</f>
        <v/>
      </c>
      <c r="W1086" s="13" t="str">
        <f>IFERROR(VLOOKUP(Tabela1[[#This Row],[COD.MDE]],'LISTA DE EMBARQUE'!B:M,12,0),"")</f>
        <v/>
      </c>
      <c r="X1086" s="14">
        <f>IFERROR(Tabela1[[#This Row],[QIANTIDADE EXPEDIDA]]*Tabela1[[#This Row],[PESO UNI]],"")</f>
        <v>0</v>
      </c>
      <c r="Y1086" s="14">
        <f t="shared" si="224"/>
        <v>-1</v>
      </c>
      <c r="Z1086" s="20">
        <f>Tabela1[[#This Row],[PESO TOTAL]]-Tabela1[[#This Row],[Peso Expedido]]</f>
        <v>36</v>
      </c>
      <c r="AA1086" s="17"/>
      <c r="AB1086" s="33"/>
      <c r="AC1086" s="33"/>
      <c r="AD1086" s="33"/>
      <c r="AE1086" s="33"/>
      <c r="AF1086" s="33"/>
      <c r="AG1086" s="33"/>
      <c r="AH1086" s="33"/>
      <c r="AI1086" s="33"/>
      <c r="AJ1086"/>
      <c r="AK1086"/>
      <c r="AL1086"/>
      <c r="AM1086"/>
      <c r="AN1086"/>
      <c r="AO1086"/>
      <c r="AP1086" s="28"/>
      <c r="AQ1086" s="200"/>
      <c r="AR1086" s="21"/>
      <c r="AS1086" s="21"/>
      <c r="AT1086" s="228"/>
      <c r="AU1086" s="228"/>
      <c r="AV1086" s="228"/>
      <c r="AW1086" s="228"/>
    </row>
    <row r="1087" spans="1:49" s="36" customFormat="1" ht="15.75" customHeight="1" x14ac:dyDescent="0.25">
      <c r="A1087" s="21" t="s">
        <v>5366</v>
      </c>
      <c r="B1087" s="21" t="s">
        <v>5367</v>
      </c>
      <c r="C1087" s="192">
        <v>2</v>
      </c>
      <c r="D1087" s="1" t="s">
        <v>5369</v>
      </c>
      <c r="E1087" s="192">
        <v>4731</v>
      </c>
      <c r="F1087" s="192">
        <v>31</v>
      </c>
      <c r="G1087" s="1">
        <v>79.900000000000006</v>
      </c>
      <c r="H1087" s="34">
        <f>Tabela1[[#This Row],[PESO UNI]]*Tabela1[[#This Row],[QTE]]</f>
        <v>159.80000000000001</v>
      </c>
      <c r="I1087" s="7" t="s">
        <v>5580</v>
      </c>
      <c r="J1087" s="8" t="s">
        <v>4834</v>
      </c>
      <c r="K1087" s="8" t="s">
        <v>4320</v>
      </c>
      <c r="L1087" s="9" t="s">
        <v>3291</v>
      </c>
      <c r="M1087" s="10">
        <v>46259</v>
      </c>
      <c r="N1087" s="8" t="s">
        <v>38</v>
      </c>
      <c r="O1087" s="12"/>
      <c r="P1087" s="13"/>
      <c r="Q1087" s="14">
        <f>Tabela1[[#This Row],[QTDE/ Fabricação]]-Tabela1[[#This Row],[QTE]]</f>
        <v>-2</v>
      </c>
      <c r="R1087" s="18">
        <f t="shared" si="221"/>
        <v>0</v>
      </c>
      <c r="S1087" s="18">
        <f t="shared" si="222"/>
        <v>0</v>
      </c>
      <c r="T1087" s="19">
        <f t="shared" si="223"/>
        <v>-159.80000000000001</v>
      </c>
      <c r="U1087" s="16">
        <f>IFERROR(SUMIF('LISTA DE EMBARQUE'!B:B,MICRO!E:E,'LISTA DE EMBARQUE'!G:G),"")</f>
        <v>0</v>
      </c>
      <c r="V1087" s="12" t="str">
        <f>IFERROR(VLOOKUP(Tabela1[[#This Row],[COD.MDE]],'LISTA DE EMBARQUE'!B:L,11,0),"")</f>
        <v/>
      </c>
      <c r="W1087" s="13" t="str">
        <f>IFERROR(VLOOKUP(Tabela1[[#This Row],[COD.MDE]],'LISTA DE EMBARQUE'!B:M,12,0),"")</f>
        <v/>
      </c>
      <c r="X1087" s="14">
        <f>IFERROR(Tabela1[[#This Row],[QIANTIDADE EXPEDIDA]]*Tabela1[[#This Row],[PESO UNI]],"")</f>
        <v>0</v>
      </c>
      <c r="Y1087" s="14">
        <f t="shared" si="224"/>
        <v>-2</v>
      </c>
      <c r="Z1087" s="20">
        <f>Tabela1[[#This Row],[PESO TOTAL]]-Tabela1[[#This Row],[Peso Expedido]]</f>
        <v>159.80000000000001</v>
      </c>
      <c r="AA1087" s="17"/>
      <c r="AB1087" s="33"/>
      <c r="AC1087" s="33"/>
      <c r="AD1087" s="33"/>
      <c r="AE1087" s="33"/>
      <c r="AF1087" s="33"/>
      <c r="AG1087" s="33"/>
      <c r="AH1087" s="33"/>
      <c r="AI1087" s="33"/>
      <c r="AJ1087"/>
      <c r="AK1087"/>
      <c r="AL1087"/>
      <c r="AM1087"/>
      <c r="AN1087"/>
      <c r="AO1087"/>
      <c r="AP1087" s="28"/>
      <c r="AQ1087" s="200"/>
      <c r="AR1087" s="21"/>
      <c r="AS1087" s="21"/>
      <c r="AT1087" s="228"/>
      <c r="AU1087" s="228"/>
      <c r="AV1087" s="228"/>
      <c r="AW1087" s="228"/>
    </row>
    <row r="1088" spans="1:49" s="36" customFormat="1" ht="15.75" customHeight="1" x14ac:dyDescent="0.25">
      <c r="A1088" s="21" t="s">
        <v>5366</v>
      </c>
      <c r="B1088" s="21" t="s">
        <v>5367</v>
      </c>
      <c r="C1088" s="192">
        <v>4</v>
      </c>
      <c r="D1088" s="1" t="s">
        <v>5370</v>
      </c>
      <c r="E1088" s="192">
        <v>4732</v>
      </c>
      <c r="F1088" s="192">
        <v>31</v>
      </c>
      <c r="G1088" s="1">
        <v>240.9</v>
      </c>
      <c r="H1088" s="34">
        <f>Tabela1[[#This Row],[PESO UNI]]*Tabela1[[#This Row],[QTE]]</f>
        <v>963.6</v>
      </c>
      <c r="I1088" s="7" t="s">
        <v>5580</v>
      </c>
      <c r="J1088" s="8" t="s">
        <v>4834</v>
      </c>
      <c r="K1088" s="8" t="s">
        <v>4320</v>
      </c>
      <c r="L1088" s="9" t="s">
        <v>3291</v>
      </c>
      <c r="M1088" s="10">
        <v>46259</v>
      </c>
      <c r="N1088" s="8" t="s">
        <v>38</v>
      </c>
      <c r="O1088" s="12"/>
      <c r="P1088" s="13"/>
      <c r="Q1088" s="14">
        <f>Tabela1[[#This Row],[QTDE/ Fabricação]]-Tabela1[[#This Row],[QTE]]</f>
        <v>-4</v>
      </c>
      <c r="R1088" s="18">
        <f t="shared" si="221"/>
        <v>0</v>
      </c>
      <c r="S1088" s="18">
        <f t="shared" si="222"/>
        <v>0</v>
      </c>
      <c r="T1088" s="19">
        <f t="shared" si="223"/>
        <v>-963.6</v>
      </c>
      <c r="U1088" s="16">
        <f>IFERROR(SUMIF('LISTA DE EMBARQUE'!B:B,MICRO!E:E,'LISTA DE EMBARQUE'!G:G),"")</f>
        <v>0</v>
      </c>
      <c r="V1088" s="12" t="str">
        <f>IFERROR(VLOOKUP(Tabela1[[#This Row],[COD.MDE]],'LISTA DE EMBARQUE'!B:L,11,0),"")</f>
        <v/>
      </c>
      <c r="W1088" s="13" t="str">
        <f>IFERROR(VLOOKUP(Tabela1[[#This Row],[COD.MDE]],'LISTA DE EMBARQUE'!B:M,12,0),"")</f>
        <v/>
      </c>
      <c r="X1088" s="14">
        <f>IFERROR(Tabela1[[#This Row],[QIANTIDADE EXPEDIDA]]*Tabela1[[#This Row],[PESO UNI]],"")</f>
        <v>0</v>
      </c>
      <c r="Y1088" s="14">
        <f t="shared" si="224"/>
        <v>-4</v>
      </c>
      <c r="Z1088" s="20">
        <f>Tabela1[[#This Row],[PESO TOTAL]]-Tabela1[[#This Row],[Peso Expedido]]</f>
        <v>963.6</v>
      </c>
      <c r="AA1088" s="17"/>
      <c r="AB1088" s="33"/>
      <c r="AC1088" s="33"/>
      <c r="AD1088" s="33"/>
      <c r="AE1088" s="33"/>
      <c r="AF1088" s="33"/>
      <c r="AG1088" s="33"/>
      <c r="AH1088" s="33"/>
      <c r="AI1088" s="33"/>
      <c r="AJ1088"/>
      <c r="AK1088"/>
      <c r="AL1088"/>
      <c r="AM1088"/>
      <c r="AN1088"/>
      <c r="AO1088"/>
      <c r="AP1088" s="28"/>
      <c r="AQ1088" s="200"/>
      <c r="AR1088" s="21"/>
      <c r="AS1088" s="21"/>
      <c r="AT1088" s="228"/>
      <c r="AU1088" s="228"/>
      <c r="AV1088" s="228"/>
      <c r="AW1088" s="228"/>
    </row>
    <row r="1089" spans="1:49" s="36" customFormat="1" ht="15.75" customHeight="1" x14ac:dyDescent="0.25">
      <c r="A1089" s="21" t="s">
        <v>5366</v>
      </c>
      <c r="B1089" s="21" t="s">
        <v>5367</v>
      </c>
      <c r="C1089" s="192">
        <v>2</v>
      </c>
      <c r="D1089" s="1" t="s">
        <v>5371</v>
      </c>
      <c r="E1089" s="192">
        <v>4733</v>
      </c>
      <c r="F1089" s="192">
        <v>31</v>
      </c>
      <c r="G1089" s="1">
        <v>90.5</v>
      </c>
      <c r="H1089" s="34">
        <f>Tabela1[[#This Row],[PESO UNI]]*Tabela1[[#This Row],[QTE]]</f>
        <v>181</v>
      </c>
      <c r="I1089" s="7" t="s">
        <v>5580</v>
      </c>
      <c r="J1089" s="8" t="s">
        <v>4834</v>
      </c>
      <c r="K1089" s="8" t="s">
        <v>4320</v>
      </c>
      <c r="L1089" s="9" t="s">
        <v>3291</v>
      </c>
      <c r="M1089" s="10">
        <v>46259</v>
      </c>
      <c r="N1089" s="8" t="s">
        <v>38</v>
      </c>
      <c r="O1089" s="12"/>
      <c r="P1089" s="13"/>
      <c r="Q1089" s="14">
        <f>Tabela1[[#This Row],[QTDE/ Fabricação]]-Tabela1[[#This Row],[QTE]]</f>
        <v>-2</v>
      </c>
      <c r="R1089" s="18">
        <f t="shared" si="221"/>
        <v>0</v>
      </c>
      <c r="S1089" s="18">
        <f t="shared" si="222"/>
        <v>0</v>
      </c>
      <c r="T1089" s="19">
        <f t="shared" si="223"/>
        <v>-181</v>
      </c>
      <c r="U1089" s="16">
        <f>IFERROR(SUMIF('LISTA DE EMBARQUE'!B:B,MICRO!E:E,'LISTA DE EMBARQUE'!G:G),"")</f>
        <v>0</v>
      </c>
      <c r="V1089" s="12" t="str">
        <f>IFERROR(VLOOKUP(Tabela1[[#This Row],[COD.MDE]],'LISTA DE EMBARQUE'!B:L,11,0),"")</f>
        <v/>
      </c>
      <c r="W1089" s="13" t="str">
        <f>IFERROR(VLOOKUP(Tabela1[[#This Row],[COD.MDE]],'LISTA DE EMBARQUE'!B:M,12,0),"")</f>
        <v/>
      </c>
      <c r="X1089" s="14">
        <f>IFERROR(Tabela1[[#This Row],[QIANTIDADE EXPEDIDA]]*Tabela1[[#This Row],[PESO UNI]],"")</f>
        <v>0</v>
      </c>
      <c r="Y1089" s="14">
        <f t="shared" si="224"/>
        <v>-2</v>
      </c>
      <c r="Z1089" s="20">
        <f>Tabela1[[#This Row],[PESO TOTAL]]-Tabela1[[#This Row],[Peso Expedido]]</f>
        <v>181</v>
      </c>
      <c r="AA1089" s="17"/>
      <c r="AB1089" s="33"/>
      <c r="AC1089" s="33"/>
      <c r="AD1089" s="33"/>
      <c r="AE1089" s="33"/>
      <c r="AF1089" s="33"/>
      <c r="AG1089" s="33"/>
      <c r="AH1089" s="33"/>
      <c r="AI1089" s="33"/>
      <c r="AJ1089"/>
      <c r="AK1089"/>
      <c r="AL1089"/>
      <c r="AM1089"/>
      <c r="AN1089"/>
      <c r="AO1089"/>
      <c r="AP1089" s="28"/>
      <c r="AQ1089" s="200"/>
      <c r="AR1089" s="21"/>
      <c r="AS1089" s="21"/>
      <c r="AT1089" s="228"/>
      <c r="AU1089" s="228"/>
      <c r="AV1089" s="228"/>
      <c r="AW1089" s="228"/>
    </row>
    <row r="1090" spans="1:49" s="36" customFormat="1" ht="15.75" customHeight="1" x14ac:dyDescent="0.25">
      <c r="A1090" s="21" t="s">
        <v>5372</v>
      </c>
      <c r="B1090" s="21" t="s">
        <v>5373</v>
      </c>
      <c r="C1090" s="192">
        <v>4</v>
      </c>
      <c r="D1090" s="1" t="s">
        <v>5374</v>
      </c>
      <c r="E1090" s="227">
        <v>4734</v>
      </c>
      <c r="F1090" s="192">
        <v>31</v>
      </c>
      <c r="G1090" s="1">
        <v>102.4</v>
      </c>
      <c r="H1090" s="34">
        <f>Tabela1[[#This Row],[PESO UNI]]*Tabela1[[#This Row],[QTE]]</f>
        <v>409.6</v>
      </c>
      <c r="I1090" s="7" t="s">
        <v>5580</v>
      </c>
      <c r="J1090" s="8" t="s">
        <v>4834</v>
      </c>
      <c r="K1090" s="8" t="s">
        <v>4320</v>
      </c>
      <c r="L1090" s="9" t="s">
        <v>3291</v>
      </c>
      <c r="M1090" s="10">
        <v>46259</v>
      </c>
      <c r="N1090" s="8" t="s">
        <v>38</v>
      </c>
      <c r="O1090" s="12"/>
      <c r="P1090" s="13"/>
      <c r="Q1090" s="14">
        <f>Tabela1[[#This Row],[QTDE/ Fabricação]]-Tabela1[[#This Row],[QTE]]</f>
        <v>-4</v>
      </c>
      <c r="R1090" s="18">
        <f t="shared" si="221"/>
        <v>0</v>
      </c>
      <c r="S1090" s="18">
        <f t="shared" si="222"/>
        <v>0</v>
      </c>
      <c r="T1090" s="19">
        <f t="shared" si="223"/>
        <v>-409.6</v>
      </c>
      <c r="U1090" s="16">
        <f>IFERROR(SUMIF('LISTA DE EMBARQUE'!B:B,MICRO!E:E,'LISTA DE EMBARQUE'!G:G),"")</f>
        <v>0</v>
      </c>
      <c r="V1090" s="12" t="str">
        <f>IFERROR(VLOOKUP(Tabela1[[#This Row],[COD.MDE]],'LISTA DE EMBARQUE'!B:L,11,0),"")</f>
        <v/>
      </c>
      <c r="W1090" s="13" t="str">
        <f>IFERROR(VLOOKUP(Tabela1[[#This Row],[COD.MDE]],'LISTA DE EMBARQUE'!B:M,12,0),"")</f>
        <v/>
      </c>
      <c r="X1090" s="14">
        <f>IFERROR(Tabela1[[#This Row],[QIANTIDADE EXPEDIDA]]*Tabela1[[#This Row],[PESO UNI]],"")</f>
        <v>0</v>
      </c>
      <c r="Y1090" s="14">
        <f t="shared" si="224"/>
        <v>-4</v>
      </c>
      <c r="Z1090" s="20">
        <f>Tabela1[[#This Row],[PESO TOTAL]]-Tabela1[[#This Row],[Peso Expedido]]</f>
        <v>409.6</v>
      </c>
      <c r="AA1090" s="17"/>
      <c r="AB1090" s="33"/>
      <c r="AC1090" s="33"/>
      <c r="AD1090" s="33"/>
      <c r="AE1090" s="33"/>
      <c r="AF1090" s="33"/>
      <c r="AG1090" s="33"/>
      <c r="AH1090" s="33"/>
      <c r="AI1090" s="33"/>
      <c r="AJ1090"/>
      <c r="AK1090"/>
      <c r="AL1090"/>
      <c r="AM1090"/>
      <c r="AN1090"/>
      <c r="AO1090"/>
      <c r="AP1090" s="28"/>
      <c r="AQ1090" s="200"/>
      <c r="AR1090" s="228"/>
      <c r="AS1090" s="228"/>
      <c r="AT1090" s="228"/>
      <c r="AU1090" s="228"/>
      <c r="AV1090" s="228"/>
      <c r="AW1090" s="228"/>
    </row>
    <row r="1091" spans="1:49" s="36" customFormat="1" ht="15.75" customHeight="1" x14ac:dyDescent="0.25">
      <c r="A1091" s="21" t="s">
        <v>5372</v>
      </c>
      <c r="B1091" s="21" t="s">
        <v>5373</v>
      </c>
      <c r="C1091" s="192">
        <v>2</v>
      </c>
      <c r="D1091" s="1" t="s">
        <v>5375</v>
      </c>
      <c r="E1091" s="192">
        <v>4735</v>
      </c>
      <c r="F1091" s="192">
        <v>31</v>
      </c>
      <c r="G1091" s="1">
        <v>92.4</v>
      </c>
      <c r="H1091" s="34">
        <f>Tabela1[[#This Row],[PESO UNI]]*Tabela1[[#This Row],[QTE]]</f>
        <v>184.8</v>
      </c>
      <c r="I1091" s="7" t="s">
        <v>5580</v>
      </c>
      <c r="J1091" s="8" t="s">
        <v>4834</v>
      </c>
      <c r="K1091" s="8" t="s">
        <v>4320</v>
      </c>
      <c r="L1091" s="9" t="s">
        <v>3291</v>
      </c>
      <c r="M1091" s="10">
        <v>46259</v>
      </c>
      <c r="N1091" s="8" t="s">
        <v>38</v>
      </c>
      <c r="O1091" s="12"/>
      <c r="P1091" s="13"/>
      <c r="Q1091" s="14">
        <f>Tabela1[[#This Row],[QTDE/ Fabricação]]-Tabela1[[#This Row],[QTE]]</f>
        <v>-2</v>
      </c>
      <c r="R1091" s="18">
        <f t="shared" si="221"/>
        <v>0</v>
      </c>
      <c r="S1091" s="18">
        <f t="shared" si="222"/>
        <v>0</v>
      </c>
      <c r="T1091" s="19">
        <f t="shared" si="223"/>
        <v>-184.8</v>
      </c>
      <c r="U1091" s="16">
        <f>IFERROR(SUMIF('LISTA DE EMBARQUE'!B:B,MICRO!E:E,'LISTA DE EMBARQUE'!G:G),"")</f>
        <v>0</v>
      </c>
      <c r="V1091" s="12" t="str">
        <f>IFERROR(VLOOKUP(Tabela1[[#This Row],[COD.MDE]],'LISTA DE EMBARQUE'!B:L,11,0),"")</f>
        <v/>
      </c>
      <c r="W1091" s="13" t="str">
        <f>IFERROR(VLOOKUP(Tabela1[[#This Row],[COD.MDE]],'LISTA DE EMBARQUE'!B:M,12,0),"")</f>
        <v/>
      </c>
      <c r="X1091" s="14">
        <f>IFERROR(Tabela1[[#This Row],[QIANTIDADE EXPEDIDA]]*Tabela1[[#This Row],[PESO UNI]],"")</f>
        <v>0</v>
      </c>
      <c r="Y1091" s="14">
        <f t="shared" si="224"/>
        <v>-2</v>
      </c>
      <c r="Z1091" s="20">
        <f>Tabela1[[#This Row],[PESO TOTAL]]-Tabela1[[#This Row],[Peso Expedido]]</f>
        <v>184.8</v>
      </c>
      <c r="AA1091" s="17"/>
      <c r="AB1091" s="33"/>
      <c r="AC1091" s="33"/>
      <c r="AD1091" s="33"/>
      <c r="AE1091" s="33"/>
      <c r="AF1091" s="33"/>
      <c r="AG1091" s="33"/>
      <c r="AH1091" s="33"/>
      <c r="AI1091" s="33"/>
      <c r="AJ1091"/>
      <c r="AK1091"/>
      <c r="AL1091"/>
      <c r="AM1091"/>
      <c r="AN1091"/>
      <c r="AO1091"/>
      <c r="AP1091" s="28"/>
      <c r="AQ1091" s="200"/>
      <c r="AR1091" s="228"/>
      <c r="AS1091" s="228"/>
      <c r="AT1091" s="228"/>
      <c r="AU1091" s="228"/>
      <c r="AV1091" s="228"/>
      <c r="AW1091" s="228"/>
    </row>
    <row r="1092" spans="1:49" s="36" customFormat="1" ht="15.75" customHeight="1" x14ac:dyDescent="0.25">
      <c r="A1092" s="21" t="s">
        <v>5372</v>
      </c>
      <c r="B1092" s="21" t="s">
        <v>5373</v>
      </c>
      <c r="C1092" s="192">
        <v>2</v>
      </c>
      <c r="D1092" s="1" t="s">
        <v>5376</v>
      </c>
      <c r="E1092" s="192">
        <v>4736</v>
      </c>
      <c r="F1092" s="192">
        <v>31</v>
      </c>
      <c r="G1092" s="1">
        <v>49.4</v>
      </c>
      <c r="H1092" s="34">
        <f>Tabela1[[#This Row],[PESO UNI]]*Tabela1[[#This Row],[QTE]]</f>
        <v>98.8</v>
      </c>
      <c r="I1092" s="7" t="s">
        <v>5580</v>
      </c>
      <c r="J1092" s="8" t="s">
        <v>4834</v>
      </c>
      <c r="K1092" s="8" t="s">
        <v>4320</v>
      </c>
      <c r="L1092" s="9" t="s">
        <v>3291</v>
      </c>
      <c r="M1092" s="10">
        <v>46259</v>
      </c>
      <c r="N1092" s="8" t="s">
        <v>38</v>
      </c>
      <c r="O1092" s="12"/>
      <c r="P1092" s="13"/>
      <c r="Q1092" s="14">
        <f>Tabela1[[#This Row],[QTDE/ Fabricação]]-Tabela1[[#This Row],[QTE]]</f>
        <v>-2</v>
      </c>
      <c r="R1092" s="18">
        <f t="shared" si="221"/>
        <v>0</v>
      </c>
      <c r="S1092" s="18">
        <f t="shared" si="222"/>
        <v>0</v>
      </c>
      <c r="T1092" s="19">
        <f t="shared" si="223"/>
        <v>-98.8</v>
      </c>
      <c r="U1092" s="16">
        <f>IFERROR(SUMIF('LISTA DE EMBARQUE'!B:B,MICRO!E:E,'LISTA DE EMBARQUE'!G:G),"")</f>
        <v>0</v>
      </c>
      <c r="V1092" s="12" t="str">
        <f>IFERROR(VLOOKUP(Tabela1[[#This Row],[COD.MDE]],'LISTA DE EMBARQUE'!B:L,11,0),"")</f>
        <v/>
      </c>
      <c r="W1092" s="13" t="str">
        <f>IFERROR(VLOOKUP(Tabela1[[#This Row],[COD.MDE]],'LISTA DE EMBARQUE'!B:M,12,0),"")</f>
        <v/>
      </c>
      <c r="X1092" s="14">
        <f>IFERROR(Tabela1[[#This Row],[QIANTIDADE EXPEDIDA]]*Tabela1[[#This Row],[PESO UNI]],"")</f>
        <v>0</v>
      </c>
      <c r="Y1092" s="14">
        <f t="shared" si="224"/>
        <v>-2</v>
      </c>
      <c r="Z1092" s="20">
        <f>Tabela1[[#This Row],[PESO TOTAL]]-Tabela1[[#This Row],[Peso Expedido]]</f>
        <v>98.8</v>
      </c>
      <c r="AA1092" s="17"/>
      <c r="AB1092" s="33"/>
      <c r="AC1092" s="33"/>
      <c r="AD1092" s="33"/>
      <c r="AE1092" s="33"/>
      <c r="AF1092" s="33"/>
      <c r="AG1092" s="33"/>
      <c r="AH1092" s="33"/>
      <c r="AI1092" s="33"/>
      <c r="AJ1092"/>
      <c r="AK1092"/>
      <c r="AL1092"/>
      <c r="AM1092"/>
      <c r="AN1092"/>
      <c r="AO1092"/>
      <c r="AP1092" s="28"/>
      <c r="AQ1092" s="200"/>
      <c r="AR1092" s="228"/>
      <c r="AS1092" s="228"/>
      <c r="AT1092" s="228"/>
      <c r="AU1092" s="228"/>
      <c r="AV1092" s="228"/>
      <c r="AW1092" s="228"/>
    </row>
    <row r="1093" spans="1:49" s="36" customFormat="1" ht="15.75" customHeight="1" x14ac:dyDescent="0.25">
      <c r="A1093" s="21" t="s">
        <v>5372</v>
      </c>
      <c r="B1093" s="21" t="s">
        <v>5373</v>
      </c>
      <c r="C1093" s="192">
        <v>1</v>
      </c>
      <c r="D1093" s="1" t="s">
        <v>5377</v>
      </c>
      <c r="E1093" s="192">
        <v>4737</v>
      </c>
      <c r="F1093" s="192">
        <v>31</v>
      </c>
      <c r="G1093" s="1">
        <v>57.6</v>
      </c>
      <c r="H1093" s="34">
        <f>Tabela1[[#This Row],[PESO UNI]]*Tabela1[[#This Row],[QTE]]</f>
        <v>57.6</v>
      </c>
      <c r="I1093" s="7" t="s">
        <v>5580</v>
      </c>
      <c r="J1093" s="8" t="s">
        <v>4834</v>
      </c>
      <c r="K1093" s="8" t="s">
        <v>4320</v>
      </c>
      <c r="L1093" s="9" t="s">
        <v>3291</v>
      </c>
      <c r="M1093" s="10">
        <v>46259</v>
      </c>
      <c r="N1093" s="8" t="s">
        <v>38</v>
      </c>
      <c r="O1093" s="12"/>
      <c r="P1093" s="13"/>
      <c r="Q1093" s="14">
        <f>Tabela1[[#This Row],[QTDE/ Fabricação]]-Tabela1[[#This Row],[QTE]]</f>
        <v>-1</v>
      </c>
      <c r="R1093" s="18">
        <f t="shared" si="221"/>
        <v>0</v>
      </c>
      <c r="S1093" s="18">
        <f t="shared" si="222"/>
        <v>0</v>
      </c>
      <c r="T1093" s="19">
        <f t="shared" si="223"/>
        <v>-57.6</v>
      </c>
      <c r="U1093" s="16">
        <f>IFERROR(SUMIF('LISTA DE EMBARQUE'!B:B,MICRO!E:E,'LISTA DE EMBARQUE'!G:G),"")</f>
        <v>0</v>
      </c>
      <c r="V1093" s="12" t="str">
        <f>IFERROR(VLOOKUP(Tabela1[[#This Row],[COD.MDE]],'LISTA DE EMBARQUE'!B:L,11,0),"")</f>
        <v/>
      </c>
      <c r="W1093" s="13" t="str">
        <f>IFERROR(VLOOKUP(Tabela1[[#This Row],[COD.MDE]],'LISTA DE EMBARQUE'!B:M,12,0),"")</f>
        <v/>
      </c>
      <c r="X1093" s="14">
        <f>IFERROR(Tabela1[[#This Row],[QIANTIDADE EXPEDIDA]]*Tabela1[[#This Row],[PESO UNI]],"")</f>
        <v>0</v>
      </c>
      <c r="Y1093" s="14">
        <f t="shared" si="224"/>
        <v>-1</v>
      </c>
      <c r="Z1093" s="20">
        <f>Tabela1[[#This Row],[PESO TOTAL]]-Tabela1[[#This Row],[Peso Expedido]]</f>
        <v>57.6</v>
      </c>
      <c r="AA1093" s="17"/>
      <c r="AB1093" s="33"/>
      <c r="AC1093" s="33"/>
      <c r="AD1093" s="33"/>
      <c r="AE1093" s="33"/>
      <c r="AF1093" s="33"/>
      <c r="AG1093" s="33"/>
      <c r="AH1093" s="33"/>
      <c r="AI1093" s="33"/>
      <c r="AJ1093"/>
      <c r="AK1093"/>
      <c r="AL1093"/>
      <c r="AM1093"/>
      <c r="AN1093"/>
      <c r="AO1093"/>
      <c r="AP1093" s="28"/>
      <c r="AQ1093" s="200"/>
      <c r="AR1093" s="228"/>
      <c r="AS1093" s="228"/>
      <c r="AT1093" s="228"/>
      <c r="AU1093" s="228"/>
      <c r="AV1093" s="228"/>
      <c r="AW1093" s="228"/>
    </row>
    <row r="1094" spans="1:49" s="36" customFormat="1" ht="15.75" customHeight="1" x14ac:dyDescent="0.25">
      <c r="A1094" s="21" t="s">
        <v>5372</v>
      </c>
      <c r="B1094" s="21" t="s">
        <v>5373</v>
      </c>
      <c r="C1094" s="192">
        <v>1</v>
      </c>
      <c r="D1094" s="1" t="s">
        <v>5378</v>
      </c>
      <c r="E1094" s="192">
        <v>4738</v>
      </c>
      <c r="F1094" s="192">
        <v>31</v>
      </c>
      <c r="G1094" s="1">
        <v>57.6</v>
      </c>
      <c r="H1094" s="34">
        <f>Tabela1[[#This Row],[PESO UNI]]*Tabela1[[#This Row],[QTE]]</f>
        <v>57.6</v>
      </c>
      <c r="I1094" s="7" t="s">
        <v>5580</v>
      </c>
      <c r="J1094" s="8" t="s">
        <v>4834</v>
      </c>
      <c r="K1094" s="8" t="s">
        <v>4320</v>
      </c>
      <c r="L1094" s="9" t="s">
        <v>3291</v>
      </c>
      <c r="M1094" s="10">
        <v>46259</v>
      </c>
      <c r="N1094" s="8" t="s">
        <v>38</v>
      </c>
      <c r="O1094" s="12"/>
      <c r="P1094" s="13"/>
      <c r="Q1094" s="14">
        <f>Tabela1[[#This Row],[QTDE/ Fabricação]]-Tabela1[[#This Row],[QTE]]</f>
        <v>-1</v>
      </c>
      <c r="R1094" s="18">
        <f t="shared" si="221"/>
        <v>0</v>
      </c>
      <c r="S1094" s="18">
        <f t="shared" si="222"/>
        <v>0</v>
      </c>
      <c r="T1094" s="19">
        <f t="shared" si="223"/>
        <v>-57.6</v>
      </c>
      <c r="U1094" s="16">
        <f>IFERROR(SUMIF('LISTA DE EMBARQUE'!B:B,MICRO!E:E,'LISTA DE EMBARQUE'!G:G),"")</f>
        <v>0</v>
      </c>
      <c r="V1094" s="12" t="str">
        <f>IFERROR(VLOOKUP(Tabela1[[#This Row],[COD.MDE]],'LISTA DE EMBARQUE'!B:L,11,0),"")</f>
        <v/>
      </c>
      <c r="W1094" s="13" t="str">
        <f>IFERROR(VLOOKUP(Tabela1[[#This Row],[COD.MDE]],'LISTA DE EMBARQUE'!B:M,12,0),"")</f>
        <v/>
      </c>
      <c r="X1094" s="14">
        <f>IFERROR(Tabela1[[#This Row],[QIANTIDADE EXPEDIDA]]*Tabela1[[#This Row],[PESO UNI]],"")</f>
        <v>0</v>
      </c>
      <c r="Y1094" s="14">
        <f t="shared" si="224"/>
        <v>-1</v>
      </c>
      <c r="Z1094" s="20">
        <f>Tabela1[[#This Row],[PESO TOTAL]]-Tabela1[[#This Row],[Peso Expedido]]</f>
        <v>57.6</v>
      </c>
      <c r="AA1094" s="17"/>
      <c r="AB1094" s="33"/>
      <c r="AC1094" s="33"/>
      <c r="AD1094" s="33"/>
      <c r="AE1094" s="33"/>
      <c r="AF1094" s="33"/>
      <c r="AG1094" s="33"/>
      <c r="AH1094" s="33"/>
      <c r="AI1094" s="33"/>
      <c r="AJ1094"/>
      <c r="AK1094"/>
      <c r="AL1094"/>
      <c r="AM1094"/>
      <c r="AN1094"/>
      <c r="AO1094"/>
      <c r="AP1094" s="28"/>
      <c r="AQ1094" s="200"/>
      <c r="AR1094" s="228"/>
      <c r="AS1094" s="228"/>
      <c r="AT1094" s="228"/>
      <c r="AU1094" s="228"/>
      <c r="AV1094" s="228"/>
      <c r="AW1094" s="228"/>
    </row>
    <row r="1095" spans="1:49" s="36" customFormat="1" ht="15.75" customHeight="1" x14ac:dyDescent="0.25">
      <c r="A1095" s="21" t="s">
        <v>5372</v>
      </c>
      <c r="B1095" s="21" t="s">
        <v>5373</v>
      </c>
      <c r="C1095" s="192">
        <v>1</v>
      </c>
      <c r="D1095" s="1" t="s">
        <v>5379</v>
      </c>
      <c r="E1095" s="192">
        <v>4739</v>
      </c>
      <c r="F1095" s="192">
        <v>31</v>
      </c>
      <c r="G1095" s="1">
        <v>79.5</v>
      </c>
      <c r="H1095" s="34">
        <f>Tabela1[[#This Row],[PESO UNI]]*Tabela1[[#This Row],[QTE]]</f>
        <v>79.5</v>
      </c>
      <c r="I1095" s="7" t="s">
        <v>5580</v>
      </c>
      <c r="J1095" s="8" t="s">
        <v>4834</v>
      </c>
      <c r="K1095" s="8" t="s">
        <v>4320</v>
      </c>
      <c r="L1095" s="9" t="s">
        <v>3291</v>
      </c>
      <c r="M1095" s="10">
        <v>46259</v>
      </c>
      <c r="N1095" s="8" t="s">
        <v>38</v>
      </c>
      <c r="O1095" s="12"/>
      <c r="P1095" s="13"/>
      <c r="Q1095" s="14">
        <f>Tabela1[[#This Row],[QTDE/ Fabricação]]-Tabela1[[#This Row],[QTE]]</f>
        <v>-1</v>
      </c>
      <c r="R1095" s="18">
        <f t="shared" si="221"/>
        <v>0</v>
      </c>
      <c r="S1095" s="18">
        <f t="shared" si="222"/>
        <v>0</v>
      </c>
      <c r="T1095" s="19">
        <f t="shared" si="223"/>
        <v>-79.5</v>
      </c>
      <c r="U1095" s="16">
        <f>IFERROR(SUMIF('LISTA DE EMBARQUE'!B:B,MICRO!E:E,'LISTA DE EMBARQUE'!G:G),"")</f>
        <v>0</v>
      </c>
      <c r="V1095" s="12" t="str">
        <f>IFERROR(VLOOKUP(Tabela1[[#This Row],[COD.MDE]],'LISTA DE EMBARQUE'!B:L,11,0),"")</f>
        <v/>
      </c>
      <c r="W1095" s="13" t="str">
        <f>IFERROR(VLOOKUP(Tabela1[[#This Row],[COD.MDE]],'LISTA DE EMBARQUE'!B:M,12,0),"")</f>
        <v/>
      </c>
      <c r="X1095" s="14">
        <f>IFERROR(Tabela1[[#This Row],[QIANTIDADE EXPEDIDA]]*Tabela1[[#This Row],[PESO UNI]],"")</f>
        <v>0</v>
      </c>
      <c r="Y1095" s="14">
        <f t="shared" si="224"/>
        <v>-1</v>
      </c>
      <c r="Z1095" s="20">
        <f>Tabela1[[#This Row],[PESO TOTAL]]-Tabela1[[#This Row],[Peso Expedido]]</f>
        <v>79.5</v>
      </c>
      <c r="AA1095" s="17"/>
      <c r="AB1095" s="33"/>
      <c r="AC1095" s="33"/>
      <c r="AD1095" s="33"/>
      <c r="AE1095" s="33"/>
      <c r="AF1095" s="33"/>
      <c r="AG1095" s="33"/>
      <c r="AH1095" s="33"/>
      <c r="AI1095" s="33"/>
      <c r="AJ1095"/>
      <c r="AK1095"/>
      <c r="AL1095"/>
      <c r="AM1095"/>
      <c r="AN1095"/>
      <c r="AO1095"/>
      <c r="AP1095" s="28"/>
      <c r="AQ1095" s="200"/>
      <c r="AR1095" s="228"/>
      <c r="AS1095" s="228"/>
      <c r="AT1095" s="228"/>
      <c r="AU1095" s="228"/>
      <c r="AV1095" s="228"/>
      <c r="AW1095" s="228"/>
    </row>
    <row r="1096" spans="1:49" s="36" customFormat="1" ht="15.75" customHeight="1" x14ac:dyDescent="0.25">
      <c r="A1096" s="21" t="s">
        <v>5372</v>
      </c>
      <c r="B1096" s="21" t="s">
        <v>5373</v>
      </c>
      <c r="C1096" s="192">
        <v>2</v>
      </c>
      <c r="D1096" s="1" t="s">
        <v>5380</v>
      </c>
      <c r="E1096" s="192">
        <v>4740</v>
      </c>
      <c r="F1096" s="192">
        <v>31</v>
      </c>
      <c r="G1096" s="1">
        <v>68.400000000000006</v>
      </c>
      <c r="H1096" s="34">
        <f>Tabela1[[#This Row],[PESO UNI]]*Tabela1[[#This Row],[QTE]]</f>
        <v>136.80000000000001</v>
      </c>
      <c r="I1096" s="7" t="s">
        <v>5580</v>
      </c>
      <c r="J1096" s="8" t="s">
        <v>4834</v>
      </c>
      <c r="K1096" s="8" t="s">
        <v>4320</v>
      </c>
      <c r="L1096" s="9" t="s">
        <v>3291</v>
      </c>
      <c r="M1096" s="10">
        <v>46259</v>
      </c>
      <c r="N1096" s="8" t="s">
        <v>38</v>
      </c>
      <c r="O1096" s="12"/>
      <c r="P1096" s="13"/>
      <c r="Q1096" s="14">
        <f>Tabela1[[#This Row],[QTDE/ Fabricação]]-Tabela1[[#This Row],[QTE]]</f>
        <v>-2</v>
      </c>
      <c r="R1096" s="18">
        <f t="shared" si="221"/>
        <v>0</v>
      </c>
      <c r="S1096" s="18">
        <f t="shared" si="222"/>
        <v>0</v>
      </c>
      <c r="T1096" s="19">
        <f t="shared" si="223"/>
        <v>-136.80000000000001</v>
      </c>
      <c r="U1096" s="16">
        <f>IFERROR(SUMIF('LISTA DE EMBARQUE'!B:B,MICRO!E:E,'LISTA DE EMBARQUE'!G:G),"")</f>
        <v>0</v>
      </c>
      <c r="V1096" s="12" t="str">
        <f>IFERROR(VLOOKUP(Tabela1[[#This Row],[COD.MDE]],'LISTA DE EMBARQUE'!B:L,11,0),"")</f>
        <v/>
      </c>
      <c r="W1096" s="13" t="str">
        <f>IFERROR(VLOOKUP(Tabela1[[#This Row],[COD.MDE]],'LISTA DE EMBARQUE'!B:M,12,0),"")</f>
        <v/>
      </c>
      <c r="X1096" s="14">
        <f>IFERROR(Tabela1[[#This Row],[QIANTIDADE EXPEDIDA]]*Tabela1[[#This Row],[PESO UNI]],"")</f>
        <v>0</v>
      </c>
      <c r="Y1096" s="14">
        <f t="shared" si="224"/>
        <v>-2</v>
      </c>
      <c r="Z1096" s="20">
        <f>Tabela1[[#This Row],[PESO TOTAL]]-Tabela1[[#This Row],[Peso Expedido]]</f>
        <v>136.80000000000001</v>
      </c>
      <c r="AA1096" s="17"/>
      <c r="AB1096" s="33"/>
      <c r="AC1096" s="33"/>
      <c r="AD1096" s="33"/>
      <c r="AE1096" s="33"/>
      <c r="AF1096" s="33"/>
      <c r="AG1096" s="33"/>
      <c r="AH1096" s="33"/>
      <c r="AI1096" s="33"/>
      <c r="AJ1096"/>
      <c r="AK1096"/>
      <c r="AL1096"/>
      <c r="AM1096"/>
      <c r="AN1096"/>
      <c r="AO1096"/>
      <c r="AP1096" s="28"/>
      <c r="AQ1096" s="200"/>
      <c r="AR1096" s="228"/>
      <c r="AS1096" s="228"/>
      <c r="AT1096" s="228"/>
      <c r="AU1096" s="228"/>
      <c r="AV1096" s="228"/>
      <c r="AW1096" s="228"/>
    </row>
    <row r="1097" spans="1:49" s="36" customFormat="1" ht="15.75" customHeight="1" x14ac:dyDescent="0.25">
      <c r="A1097" s="21" t="s">
        <v>5372</v>
      </c>
      <c r="B1097" s="21" t="s">
        <v>5373</v>
      </c>
      <c r="C1097" s="192">
        <v>2</v>
      </c>
      <c r="D1097" s="1" t="s">
        <v>5381</v>
      </c>
      <c r="E1097" s="192">
        <v>4741</v>
      </c>
      <c r="F1097" s="192">
        <v>31</v>
      </c>
      <c r="G1097" s="1">
        <v>52.7</v>
      </c>
      <c r="H1097" s="34">
        <f>Tabela1[[#This Row],[PESO UNI]]*Tabela1[[#This Row],[QTE]]</f>
        <v>105.4</v>
      </c>
      <c r="I1097" s="7" t="s">
        <v>5580</v>
      </c>
      <c r="J1097" s="8" t="s">
        <v>4834</v>
      </c>
      <c r="K1097" s="8" t="s">
        <v>4320</v>
      </c>
      <c r="L1097" s="9" t="s">
        <v>3291</v>
      </c>
      <c r="M1097" s="10">
        <v>46259</v>
      </c>
      <c r="N1097" s="8" t="s">
        <v>38</v>
      </c>
      <c r="O1097" s="12"/>
      <c r="P1097" s="13"/>
      <c r="Q1097" s="14">
        <f>Tabela1[[#This Row],[QTDE/ Fabricação]]-Tabela1[[#This Row],[QTE]]</f>
        <v>-2</v>
      </c>
      <c r="R1097" s="18">
        <f t="shared" si="221"/>
        <v>0</v>
      </c>
      <c r="S1097" s="18">
        <f t="shared" si="222"/>
        <v>0</v>
      </c>
      <c r="T1097" s="19">
        <f t="shared" si="223"/>
        <v>-105.4</v>
      </c>
      <c r="U1097" s="16">
        <f>IFERROR(SUMIF('LISTA DE EMBARQUE'!B:B,MICRO!E:E,'LISTA DE EMBARQUE'!G:G),"")</f>
        <v>0</v>
      </c>
      <c r="V1097" s="12" t="str">
        <f>IFERROR(VLOOKUP(Tabela1[[#This Row],[COD.MDE]],'LISTA DE EMBARQUE'!B:L,11,0),"")</f>
        <v/>
      </c>
      <c r="W1097" s="13" t="str">
        <f>IFERROR(VLOOKUP(Tabela1[[#This Row],[COD.MDE]],'LISTA DE EMBARQUE'!B:M,12,0),"")</f>
        <v/>
      </c>
      <c r="X1097" s="14">
        <f>IFERROR(Tabela1[[#This Row],[QIANTIDADE EXPEDIDA]]*Tabela1[[#This Row],[PESO UNI]],"")</f>
        <v>0</v>
      </c>
      <c r="Y1097" s="14">
        <f t="shared" si="224"/>
        <v>-2</v>
      </c>
      <c r="Z1097" s="20">
        <f>Tabela1[[#This Row],[PESO TOTAL]]-Tabela1[[#This Row],[Peso Expedido]]</f>
        <v>105.4</v>
      </c>
      <c r="AA1097" s="17"/>
      <c r="AB1097" s="33"/>
      <c r="AC1097" s="33"/>
      <c r="AD1097" s="33"/>
      <c r="AE1097" s="33"/>
      <c r="AF1097" s="33"/>
      <c r="AG1097" s="33"/>
      <c r="AH1097" s="33"/>
      <c r="AI1097" s="33"/>
      <c r="AJ1097"/>
      <c r="AK1097"/>
      <c r="AL1097"/>
      <c r="AM1097"/>
      <c r="AN1097"/>
      <c r="AO1097"/>
      <c r="AP1097" s="28"/>
      <c r="AQ1097" s="200"/>
      <c r="AR1097" s="228"/>
      <c r="AS1097" s="228"/>
      <c r="AT1097" s="228"/>
      <c r="AU1097" s="228"/>
      <c r="AV1097" s="228"/>
      <c r="AW1097" s="228"/>
    </row>
    <row r="1098" spans="1:49" s="36" customFormat="1" ht="15.75" customHeight="1" x14ac:dyDescent="0.25">
      <c r="A1098" s="21" t="s">
        <v>137</v>
      </c>
      <c r="B1098" s="21"/>
      <c r="C1098" s="192">
        <v>30</v>
      </c>
      <c r="D1098" s="1" t="s">
        <v>5383</v>
      </c>
      <c r="E1098" s="192">
        <v>4742</v>
      </c>
      <c r="F1098" s="192">
        <v>1</v>
      </c>
      <c r="G1098" s="1">
        <v>4.0999999999999996</v>
      </c>
      <c r="H1098" s="34">
        <f>Tabela1[[#This Row],[PESO UNI]]*Tabela1[[#This Row],[QTE]]</f>
        <v>122.99999999999999</v>
      </c>
      <c r="I1098" s="7">
        <v>0</v>
      </c>
      <c r="J1098" s="8" t="s">
        <v>5384</v>
      </c>
      <c r="K1098" s="8" t="s">
        <v>23</v>
      </c>
      <c r="L1098" s="9" t="s">
        <v>5385</v>
      </c>
      <c r="M1098" s="10">
        <v>46259</v>
      </c>
      <c r="N1098" s="8" t="s">
        <v>38</v>
      </c>
      <c r="O1098" s="12"/>
      <c r="P1098" s="13"/>
      <c r="Q1098" s="14">
        <f>Tabela1[[#This Row],[QTDE/ Fabricação]]-Tabela1[[#This Row],[QTE]]</f>
        <v>-30</v>
      </c>
      <c r="R1098" s="18">
        <f>IFERROR(H1098*((AA1098*0.25)+(AC1098*0.25)+(AD1098*0.225)+(AE1098*0.225)+(AF1098*0.05)),"")</f>
        <v>0</v>
      </c>
      <c r="S1098" s="18">
        <f>IFERROR(H1098*AG1098,"")</f>
        <v>0</v>
      </c>
      <c r="T1098" s="19">
        <f>IFERROR(S1098-H1098,"")</f>
        <v>-122.99999999999999</v>
      </c>
      <c r="U1098" s="16">
        <f>IFERROR(SUMIF('LISTA DE EMBARQUE'!B:B,MICRO!E:E,'LISTA DE EMBARQUE'!G:G),"")</f>
        <v>0</v>
      </c>
      <c r="V1098" s="12" t="str">
        <f>IFERROR(VLOOKUP(Tabela1[[#This Row],[COD.MDE]],'LISTA DE EMBARQUE'!B:L,11,0),"")</f>
        <v/>
      </c>
      <c r="W1098" s="13" t="str">
        <f>IFERROR(VLOOKUP(Tabela1[[#This Row],[COD.MDE]],'LISTA DE EMBARQUE'!B:M,12,0),"")</f>
        <v/>
      </c>
      <c r="X1098" s="14">
        <f>IFERROR(Tabela1[[#This Row],[QIANTIDADE EXPEDIDA]]*Tabela1[[#This Row],[PESO UNI]],"")</f>
        <v>0</v>
      </c>
      <c r="Y1098" s="14">
        <f>U1098-C1098</f>
        <v>-30</v>
      </c>
      <c r="Z1098" s="20">
        <f>Tabela1[[#This Row],[PESO TOTAL]]-Tabela1[[#This Row],[Peso Expedido]]</f>
        <v>122.99999999999999</v>
      </c>
      <c r="AA1098" s="17"/>
      <c r="AB1098" s="33"/>
      <c r="AC1098" s="33"/>
      <c r="AD1098" s="33"/>
      <c r="AE1098" s="33"/>
      <c r="AF1098" s="33"/>
      <c r="AG1098" s="33"/>
      <c r="AH1098" s="33"/>
      <c r="AI1098" s="33"/>
      <c r="AJ1098"/>
      <c r="AK1098"/>
      <c r="AL1098"/>
      <c r="AM1098"/>
      <c r="AN1098"/>
      <c r="AO1098"/>
      <c r="AP1098" s="28"/>
      <c r="AQ1098" s="200"/>
      <c r="AR1098" s="228"/>
      <c r="AS1098" s="228"/>
      <c r="AT1098" s="228"/>
      <c r="AU1098" s="228"/>
      <c r="AV1098" s="228"/>
      <c r="AW1098" s="228"/>
    </row>
    <row r="1099" spans="1:49" ht="15.75" customHeight="1" x14ac:dyDescent="0.25">
      <c r="A1099" s="1" t="s">
        <v>5402</v>
      </c>
      <c r="B1099" s="21" t="s">
        <v>5403</v>
      </c>
      <c r="C1099" s="1">
        <v>1</v>
      </c>
      <c r="D1099" s="1" t="s">
        <v>5404</v>
      </c>
      <c r="E1099" s="7">
        <v>4743</v>
      </c>
      <c r="F1099" s="7">
        <v>64</v>
      </c>
      <c r="G1099" s="1">
        <v>35.1</v>
      </c>
      <c r="H1099" s="34">
        <f>Tabela1[[#This Row],[PESO UNI]]*Tabela1[[#This Row],[QTE]]</f>
        <v>35.1</v>
      </c>
      <c r="I1099" s="7" t="s">
        <v>5642</v>
      </c>
      <c r="J1099" s="8" t="s">
        <v>3093</v>
      </c>
      <c r="K1099" s="8" t="s">
        <v>4320</v>
      </c>
      <c r="L1099" s="9" t="s">
        <v>2984</v>
      </c>
      <c r="M1099" s="10">
        <v>46260</v>
      </c>
      <c r="N1099" s="8" t="s">
        <v>5105</v>
      </c>
      <c r="O1099" s="12"/>
      <c r="P1099" s="13"/>
      <c r="Q1099" s="14">
        <f>Tabela1[[#This Row],[QTDE/ Fabricação]]-Tabela1[[#This Row],[QTE]]</f>
        <v>-1</v>
      </c>
      <c r="R1099" s="18">
        <f t="shared" ref="R1099" si="233">IFERROR(H1099*((AA1099*0.25)+(AC1099*0.25)+(AD1099*0.225)+(AE1099*0.225)+(AF1099*0.05)),"")</f>
        <v>29.308499999999999</v>
      </c>
      <c r="S1099" s="18">
        <f t="shared" ref="S1099" si="234">IFERROR(H1099*AG1099,"")</f>
        <v>12.285</v>
      </c>
      <c r="T1099" s="19">
        <f t="shared" ref="T1099" si="235">IFERROR(S1099-H1099,"")</f>
        <v>-22.815000000000001</v>
      </c>
      <c r="U1099" s="16">
        <f>IFERROR(SUMIF('LISTA DE EMBARQUE'!B:B,MICRO!E:E,'LISTA DE EMBARQUE'!G:G),"")</f>
        <v>0</v>
      </c>
      <c r="V1099" s="12" t="str">
        <f>IFERROR(VLOOKUP(Tabela1[[#This Row],[COD.MDE]],'LISTA DE EMBARQUE'!B:L,11,0),"")</f>
        <v/>
      </c>
      <c r="W1099" s="13" t="str">
        <f>IFERROR(VLOOKUP(Tabela1[[#This Row],[COD.MDE]],'LISTA DE EMBARQUE'!B:M,12,0),"")</f>
        <v/>
      </c>
      <c r="X1099" s="14">
        <f>IFERROR(Tabela1[[#This Row],[QIANTIDADE EXPEDIDA]]*Tabela1[[#This Row],[PESO UNI]],"")</f>
        <v>0</v>
      </c>
      <c r="Y1099" s="14">
        <f t="shared" ref="Y1099" si="236">U1099-C1099</f>
        <v>-1</v>
      </c>
      <c r="Z1099" s="20">
        <f>Tabela1[[#This Row],[PESO TOTAL]]-Tabela1[[#This Row],[Peso Expedido]]</f>
        <v>35.1</v>
      </c>
      <c r="AA1099" s="17">
        <v>1</v>
      </c>
      <c r="AB1099" s="33"/>
      <c r="AC1099" s="33">
        <v>1</v>
      </c>
      <c r="AD1099" s="33">
        <v>0.7</v>
      </c>
      <c r="AE1099" s="33">
        <v>0.7</v>
      </c>
      <c r="AF1099" s="33">
        <v>0.4</v>
      </c>
      <c r="AG1099" s="33">
        <v>0.35</v>
      </c>
      <c r="AH1099" s="33"/>
      <c r="AI1099" s="33"/>
      <c r="AJ1099"/>
      <c r="AK1099"/>
      <c r="AL1099"/>
      <c r="AM1099"/>
      <c r="AN1099"/>
      <c r="AO1099"/>
      <c r="AP1099"/>
      <c r="AQ1099" s="22"/>
      <c r="AR1099" s="24"/>
      <c r="AS1099" s="37"/>
      <c r="AT1099" s="37"/>
      <c r="AU1099" s="37"/>
      <c r="AV1099" s="37"/>
      <c r="AW1099" s="37"/>
    </row>
    <row r="1100" spans="1:49" ht="15.75" customHeight="1" x14ac:dyDescent="0.25">
      <c r="A1100" s="1" t="s">
        <v>5402</v>
      </c>
      <c r="B1100" s="21" t="s">
        <v>5403</v>
      </c>
      <c r="C1100" s="1">
        <v>1</v>
      </c>
      <c r="D1100" s="1" t="s">
        <v>5405</v>
      </c>
      <c r="E1100" s="7">
        <v>4744</v>
      </c>
      <c r="F1100" s="7">
        <v>64</v>
      </c>
      <c r="G1100" s="1">
        <v>36.6</v>
      </c>
      <c r="H1100" s="34">
        <f>Tabela1[[#This Row],[PESO UNI]]*Tabela1[[#This Row],[QTE]]</f>
        <v>36.6</v>
      </c>
      <c r="I1100" s="7" t="s">
        <v>5642</v>
      </c>
      <c r="J1100" s="8" t="s">
        <v>3093</v>
      </c>
      <c r="K1100" s="8" t="s">
        <v>4320</v>
      </c>
      <c r="L1100" s="9" t="s">
        <v>2984</v>
      </c>
      <c r="M1100" s="10">
        <v>46260</v>
      </c>
      <c r="N1100" s="8" t="s">
        <v>5105</v>
      </c>
      <c r="O1100" s="12"/>
      <c r="P1100" s="13"/>
      <c r="Q1100" s="14">
        <f>Tabela1[[#This Row],[QTDE/ Fabricação]]-Tabela1[[#This Row],[QTE]]</f>
        <v>-1</v>
      </c>
      <c r="R1100" s="18">
        <f t="shared" ref="R1100" si="237">IFERROR(H1100*((AA1100*0.25)+(AC1100*0.25)+(AD1100*0.225)+(AE1100*0.225)+(AF1100*0.05)),"")</f>
        <v>30.561</v>
      </c>
      <c r="S1100" s="18">
        <f t="shared" ref="S1100" si="238">IFERROR(H1100*AG1100,"")</f>
        <v>12.81</v>
      </c>
      <c r="T1100" s="19">
        <f t="shared" ref="T1100" si="239">IFERROR(S1100-H1100,"")</f>
        <v>-23.79</v>
      </c>
      <c r="U1100" s="16">
        <f>IFERROR(SUMIF('LISTA DE EMBARQUE'!B:B,MICRO!E:E,'LISTA DE EMBARQUE'!G:G),"")</f>
        <v>0</v>
      </c>
      <c r="V1100" s="12" t="str">
        <f>IFERROR(VLOOKUP(Tabela1[[#This Row],[COD.MDE]],'LISTA DE EMBARQUE'!B:L,11,0),"")</f>
        <v/>
      </c>
      <c r="W1100" s="13" t="str">
        <f>IFERROR(VLOOKUP(Tabela1[[#This Row],[COD.MDE]],'LISTA DE EMBARQUE'!B:M,12,0),"")</f>
        <v/>
      </c>
      <c r="X1100" s="14">
        <f>IFERROR(Tabela1[[#This Row],[QIANTIDADE EXPEDIDA]]*Tabela1[[#This Row],[PESO UNI]],"")</f>
        <v>0</v>
      </c>
      <c r="Y1100" s="14">
        <f t="shared" ref="Y1100" si="240">U1100-C1100</f>
        <v>-1</v>
      </c>
      <c r="Z1100" s="20">
        <f>Tabela1[[#This Row],[PESO TOTAL]]-Tabela1[[#This Row],[Peso Expedido]]</f>
        <v>36.6</v>
      </c>
      <c r="AA1100" s="17">
        <v>1</v>
      </c>
      <c r="AB1100" s="33"/>
      <c r="AC1100" s="33">
        <v>1</v>
      </c>
      <c r="AD1100" s="33">
        <v>0.7</v>
      </c>
      <c r="AE1100" s="33">
        <v>0.7</v>
      </c>
      <c r="AF1100" s="33">
        <v>0.4</v>
      </c>
      <c r="AG1100" s="33">
        <v>0.35</v>
      </c>
      <c r="AH1100" s="33"/>
      <c r="AI1100" s="33"/>
      <c r="AJ1100"/>
      <c r="AK1100"/>
      <c r="AL1100"/>
      <c r="AM1100"/>
      <c r="AN1100"/>
      <c r="AO1100"/>
      <c r="AP1100"/>
      <c r="AQ1100" s="22"/>
      <c r="AR1100" s="24"/>
      <c r="AS1100" s="37"/>
      <c r="AT1100" s="37"/>
      <c r="AU1100" s="37"/>
      <c r="AV1100" s="37"/>
      <c r="AW1100" s="37"/>
    </row>
    <row r="1101" spans="1:49" ht="15.75" customHeight="1" x14ac:dyDescent="0.25">
      <c r="A1101" s="1" t="s">
        <v>5402</v>
      </c>
      <c r="B1101" s="21" t="s">
        <v>5403</v>
      </c>
      <c r="C1101" s="1">
        <v>1</v>
      </c>
      <c r="D1101" s="1" t="s">
        <v>5406</v>
      </c>
      <c r="E1101" s="7">
        <v>4745</v>
      </c>
      <c r="F1101" s="7">
        <v>64</v>
      </c>
      <c r="G1101" s="1">
        <v>54.3</v>
      </c>
      <c r="H1101" s="34">
        <f>Tabela1[[#This Row],[PESO UNI]]*Tabela1[[#This Row],[QTE]]</f>
        <v>54.3</v>
      </c>
      <c r="I1101" s="7" t="s">
        <v>5642</v>
      </c>
      <c r="J1101" s="8" t="s">
        <v>3093</v>
      </c>
      <c r="K1101" s="8" t="s">
        <v>4320</v>
      </c>
      <c r="L1101" s="9" t="s">
        <v>2984</v>
      </c>
      <c r="M1101" s="10">
        <v>46260</v>
      </c>
      <c r="N1101" s="8" t="s">
        <v>5105</v>
      </c>
      <c r="O1101" s="12"/>
      <c r="P1101" s="13"/>
      <c r="Q1101" s="14">
        <f>Tabela1[[#This Row],[QTDE/ Fabricação]]-Tabela1[[#This Row],[QTE]]</f>
        <v>-1</v>
      </c>
      <c r="R1101" s="18">
        <f t="shared" ref="R1101" si="241">IFERROR(H1101*((AA1101*0.25)+(AC1101*0.25)+(AD1101*0.225)+(AE1101*0.225)+(AF1101*0.05)),"")</f>
        <v>45.340499999999999</v>
      </c>
      <c r="S1101" s="18">
        <f t="shared" ref="S1101" si="242">IFERROR(H1101*AG1101,"")</f>
        <v>19.004999999999999</v>
      </c>
      <c r="T1101" s="19">
        <f t="shared" ref="T1101" si="243">IFERROR(S1101-H1101,"")</f>
        <v>-35.295000000000002</v>
      </c>
      <c r="U1101" s="16">
        <f>IFERROR(SUMIF('LISTA DE EMBARQUE'!B:B,MICRO!E:E,'LISTA DE EMBARQUE'!G:G),"")</f>
        <v>0</v>
      </c>
      <c r="V1101" s="12" t="str">
        <f>IFERROR(VLOOKUP(Tabela1[[#This Row],[COD.MDE]],'LISTA DE EMBARQUE'!B:L,11,0),"")</f>
        <v/>
      </c>
      <c r="W1101" s="13" t="str">
        <f>IFERROR(VLOOKUP(Tabela1[[#This Row],[COD.MDE]],'LISTA DE EMBARQUE'!B:M,12,0),"")</f>
        <v/>
      </c>
      <c r="X1101" s="14">
        <f>IFERROR(Tabela1[[#This Row],[QIANTIDADE EXPEDIDA]]*Tabela1[[#This Row],[PESO UNI]],"")</f>
        <v>0</v>
      </c>
      <c r="Y1101" s="14">
        <f t="shared" ref="Y1101" si="244">U1101-C1101</f>
        <v>-1</v>
      </c>
      <c r="Z1101" s="20">
        <f>Tabela1[[#This Row],[PESO TOTAL]]-Tabela1[[#This Row],[Peso Expedido]]</f>
        <v>54.3</v>
      </c>
      <c r="AA1101" s="17">
        <v>1</v>
      </c>
      <c r="AB1101" s="33"/>
      <c r="AC1101" s="33">
        <v>1</v>
      </c>
      <c r="AD1101" s="33">
        <v>0.7</v>
      </c>
      <c r="AE1101" s="33">
        <v>0.7</v>
      </c>
      <c r="AF1101" s="33">
        <v>0.4</v>
      </c>
      <c r="AG1101" s="33">
        <v>0.35</v>
      </c>
      <c r="AH1101" s="33"/>
      <c r="AI1101" s="33"/>
      <c r="AJ1101"/>
      <c r="AK1101"/>
      <c r="AL1101"/>
      <c r="AM1101"/>
      <c r="AN1101"/>
      <c r="AO1101"/>
      <c r="AP1101"/>
      <c r="AQ1101" s="22"/>
      <c r="AR1101" s="24"/>
      <c r="AS1101" s="37"/>
      <c r="AT1101" s="37"/>
      <c r="AU1101" s="37"/>
      <c r="AV1101" s="37"/>
      <c r="AW1101" s="37"/>
    </row>
    <row r="1102" spans="1:49" ht="15.75" customHeight="1" x14ac:dyDescent="0.25">
      <c r="A1102" s="1" t="s">
        <v>5402</v>
      </c>
      <c r="B1102" s="21" t="s">
        <v>5403</v>
      </c>
      <c r="C1102" s="1">
        <v>1</v>
      </c>
      <c r="D1102" s="1" t="s">
        <v>5407</v>
      </c>
      <c r="E1102" s="7">
        <v>4746</v>
      </c>
      <c r="F1102" s="7">
        <v>64</v>
      </c>
      <c r="G1102" s="1">
        <v>36.6</v>
      </c>
      <c r="H1102" s="34">
        <f>Tabela1[[#This Row],[PESO UNI]]*Tabela1[[#This Row],[QTE]]</f>
        <v>36.6</v>
      </c>
      <c r="I1102" s="7" t="s">
        <v>5642</v>
      </c>
      <c r="J1102" s="8" t="s">
        <v>3093</v>
      </c>
      <c r="K1102" s="8" t="s">
        <v>4320</v>
      </c>
      <c r="L1102" s="9" t="s">
        <v>2984</v>
      </c>
      <c r="M1102" s="10">
        <v>46260</v>
      </c>
      <c r="N1102" s="8" t="s">
        <v>5105</v>
      </c>
      <c r="O1102" s="12"/>
      <c r="P1102" s="13"/>
      <c r="Q1102" s="14">
        <f>Tabela1[[#This Row],[QTDE/ Fabricação]]-Tabela1[[#This Row],[QTE]]</f>
        <v>-1</v>
      </c>
      <c r="R1102" s="18">
        <f t="shared" ref="R1102" si="245">IFERROR(H1102*((AA1102*0.25)+(AC1102*0.25)+(AD1102*0.225)+(AE1102*0.225)+(AF1102*0.05)),"")</f>
        <v>30.561</v>
      </c>
      <c r="S1102" s="18">
        <f t="shared" ref="S1102" si="246">IFERROR(H1102*AG1102,"")</f>
        <v>12.81</v>
      </c>
      <c r="T1102" s="19">
        <f t="shared" ref="T1102" si="247">IFERROR(S1102-H1102,"")</f>
        <v>-23.79</v>
      </c>
      <c r="U1102" s="16">
        <f>IFERROR(SUMIF('LISTA DE EMBARQUE'!B:B,MICRO!E:E,'LISTA DE EMBARQUE'!G:G),"")</f>
        <v>0</v>
      </c>
      <c r="V1102" s="12" t="str">
        <f>IFERROR(VLOOKUP(Tabela1[[#This Row],[COD.MDE]],'LISTA DE EMBARQUE'!B:L,11,0),"")</f>
        <v/>
      </c>
      <c r="W1102" s="13" t="str">
        <f>IFERROR(VLOOKUP(Tabela1[[#This Row],[COD.MDE]],'LISTA DE EMBARQUE'!B:M,12,0),"")</f>
        <v/>
      </c>
      <c r="X1102" s="14">
        <f>IFERROR(Tabela1[[#This Row],[QIANTIDADE EXPEDIDA]]*Tabela1[[#This Row],[PESO UNI]],"")</f>
        <v>0</v>
      </c>
      <c r="Y1102" s="14">
        <f t="shared" ref="Y1102" si="248">U1102-C1102</f>
        <v>-1</v>
      </c>
      <c r="Z1102" s="20">
        <f>Tabela1[[#This Row],[PESO TOTAL]]-Tabela1[[#This Row],[Peso Expedido]]</f>
        <v>36.6</v>
      </c>
      <c r="AA1102" s="17">
        <v>1</v>
      </c>
      <c r="AB1102" s="33"/>
      <c r="AC1102" s="33">
        <v>1</v>
      </c>
      <c r="AD1102" s="33">
        <v>0.7</v>
      </c>
      <c r="AE1102" s="33">
        <v>0.7</v>
      </c>
      <c r="AF1102" s="33">
        <v>0.4</v>
      </c>
      <c r="AG1102" s="33">
        <v>0.35</v>
      </c>
      <c r="AH1102" s="33"/>
      <c r="AI1102" s="33"/>
      <c r="AJ1102"/>
      <c r="AK1102"/>
      <c r="AL1102"/>
      <c r="AM1102"/>
      <c r="AN1102"/>
      <c r="AO1102"/>
      <c r="AP1102"/>
      <c r="AQ1102" s="22"/>
      <c r="AR1102" s="24"/>
      <c r="AS1102" s="37"/>
      <c r="AT1102" s="37"/>
      <c r="AU1102" s="37"/>
      <c r="AV1102" s="37"/>
      <c r="AW1102" s="37"/>
    </row>
    <row r="1103" spans="1:49" ht="15.75" customHeight="1" x14ac:dyDescent="0.25">
      <c r="A1103" s="1" t="s">
        <v>5402</v>
      </c>
      <c r="B1103" s="21" t="s">
        <v>5403</v>
      </c>
      <c r="C1103" s="1">
        <v>1</v>
      </c>
      <c r="D1103" s="1" t="s">
        <v>5408</v>
      </c>
      <c r="E1103" s="7">
        <v>4747</v>
      </c>
      <c r="F1103" s="7">
        <v>64</v>
      </c>
      <c r="G1103" s="1">
        <v>54.3</v>
      </c>
      <c r="H1103" s="34">
        <f>Tabela1[[#This Row],[PESO UNI]]*Tabela1[[#This Row],[QTE]]</f>
        <v>54.3</v>
      </c>
      <c r="I1103" s="7" t="s">
        <v>5642</v>
      </c>
      <c r="J1103" s="8" t="s">
        <v>3093</v>
      </c>
      <c r="K1103" s="8" t="s">
        <v>4320</v>
      </c>
      <c r="L1103" s="9" t="s">
        <v>2984</v>
      </c>
      <c r="M1103" s="10">
        <v>46260</v>
      </c>
      <c r="N1103" s="8" t="s">
        <v>5105</v>
      </c>
      <c r="O1103" s="12"/>
      <c r="P1103" s="13"/>
      <c r="Q1103" s="14">
        <f>Tabela1[[#This Row],[QTDE/ Fabricação]]-Tabela1[[#This Row],[QTE]]</f>
        <v>-1</v>
      </c>
      <c r="R1103" s="18">
        <f t="shared" ref="R1103" si="249">IFERROR(H1103*((AA1103*0.25)+(AC1103*0.25)+(AD1103*0.225)+(AE1103*0.225)+(AF1103*0.05)),"")</f>
        <v>45.340499999999999</v>
      </c>
      <c r="S1103" s="18">
        <f t="shared" ref="S1103" si="250">IFERROR(H1103*AG1103,"")</f>
        <v>19.004999999999999</v>
      </c>
      <c r="T1103" s="19">
        <f t="shared" ref="T1103" si="251">IFERROR(S1103-H1103,"")</f>
        <v>-35.295000000000002</v>
      </c>
      <c r="U1103" s="16">
        <f>IFERROR(SUMIF('LISTA DE EMBARQUE'!B:B,MICRO!E:E,'LISTA DE EMBARQUE'!G:G),"")</f>
        <v>0</v>
      </c>
      <c r="V1103" s="12" t="str">
        <f>IFERROR(VLOOKUP(Tabela1[[#This Row],[COD.MDE]],'LISTA DE EMBARQUE'!B:L,11,0),"")</f>
        <v/>
      </c>
      <c r="W1103" s="13" t="str">
        <f>IFERROR(VLOOKUP(Tabela1[[#This Row],[COD.MDE]],'LISTA DE EMBARQUE'!B:M,12,0),"")</f>
        <v/>
      </c>
      <c r="X1103" s="14">
        <f>IFERROR(Tabela1[[#This Row],[QIANTIDADE EXPEDIDA]]*Tabela1[[#This Row],[PESO UNI]],"")</f>
        <v>0</v>
      </c>
      <c r="Y1103" s="14">
        <f t="shared" ref="Y1103" si="252">U1103-C1103</f>
        <v>-1</v>
      </c>
      <c r="Z1103" s="20">
        <f>Tabela1[[#This Row],[PESO TOTAL]]-Tabela1[[#This Row],[Peso Expedido]]</f>
        <v>54.3</v>
      </c>
      <c r="AA1103" s="17">
        <v>1</v>
      </c>
      <c r="AB1103" s="33"/>
      <c r="AC1103" s="33">
        <v>1</v>
      </c>
      <c r="AD1103" s="33">
        <v>0.7</v>
      </c>
      <c r="AE1103" s="33">
        <v>0.7</v>
      </c>
      <c r="AF1103" s="33">
        <v>0.4</v>
      </c>
      <c r="AG1103" s="33">
        <v>0.35</v>
      </c>
      <c r="AH1103" s="33"/>
      <c r="AI1103" s="33"/>
      <c r="AJ1103"/>
      <c r="AK1103"/>
      <c r="AL1103"/>
      <c r="AM1103"/>
      <c r="AN1103"/>
      <c r="AO1103"/>
      <c r="AP1103"/>
      <c r="AQ1103" s="22"/>
      <c r="AR1103" s="24"/>
      <c r="AS1103" s="37"/>
      <c r="AT1103" s="37"/>
      <c r="AU1103" s="37"/>
      <c r="AV1103" s="37"/>
      <c r="AW1103" s="37"/>
    </row>
    <row r="1104" spans="1:49" ht="15.75" customHeight="1" x14ac:dyDescent="0.25">
      <c r="A1104" s="1" t="s">
        <v>5402</v>
      </c>
      <c r="B1104" s="21" t="s">
        <v>5403</v>
      </c>
      <c r="C1104" s="1">
        <v>1</v>
      </c>
      <c r="D1104" s="1" t="s">
        <v>5615</v>
      </c>
      <c r="E1104" s="7">
        <v>4826</v>
      </c>
      <c r="F1104" s="7">
        <v>64</v>
      </c>
      <c r="G1104" s="1">
        <v>36.6</v>
      </c>
      <c r="H1104" s="34">
        <f>Tabela1[[#This Row],[PESO UNI]]*Tabela1[[#This Row],[QTE]]</f>
        <v>36.6</v>
      </c>
      <c r="I1104" s="7" t="s">
        <v>5642</v>
      </c>
      <c r="J1104" s="8" t="s">
        <v>3093</v>
      </c>
      <c r="K1104" s="8" t="s">
        <v>4320</v>
      </c>
      <c r="L1104" s="9" t="s">
        <v>2984</v>
      </c>
      <c r="M1104" s="10">
        <v>46260</v>
      </c>
      <c r="N1104" s="8" t="s">
        <v>5105</v>
      </c>
      <c r="O1104" s="12"/>
      <c r="P1104" s="13"/>
      <c r="Q1104" s="14">
        <f>Tabela1[[#This Row],[QTDE/ Fabricação]]-Tabela1[[#This Row],[QTE]]</f>
        <v>-1</v>
      </c>
      <c r="R1104" s="18">
        <f t="shared" ref="R1104:R1111" si="253">IFERROR(H1104*((AA1104*0.25)+(AC1104*0.25)+(AD1104*0.225)+(AE1104*0.225)+(AF1104*0.05)),"")</f>
        <v>30.561</v>
      </c>
      <c r="S1104" s="18">
        <f t="shared" ref="S1104:S1111" si="254">IFERROR(H1104*AG1104,"")</f>
        <v>12.81</v>
      </c>
      <c r="T1104" s="19">
        <f t="shared" ref="T1104:T1111" si="255">IFERROR(S1104-H1104,"")</f>
        <v>-23.79</v>
      </c>
      <c r="U1104" s="16">
        <f>IFERROR(SUMIF('LISTA DE EMBARQUE'!B:B,MICRO!E:E,'LISTA DE EMBARQUE'!G:G),"")</f>
        <v>0</v>
      </c>
      <c r="V1104" s="12" t="str">
        <f>IFERROR(VLOOKUP(Tabela1[[#This Row],[COD.MDE]],'LISTA DE EMBARQUE'!B:L,11,0),"")</f>
        <v/>
      </c>
      <c r="W1104" s="13" t="str">
        <f>IFERROR(VLOOKUP(Tabela1[[#This Row],[COD.MDE]],'LISTA DE EMBARQUE'!B:M,12,0),"")</f>
        <v/>
      </c>
      <c r="X1104" s="14">
        <f>IFERROR(Tabela1[[#This Row],[QIANTIDADE EXPEDIDA]]*Tabela1[[#This Row],[PESO UNI]],"")</f>
        <v>0</v>
      </c>
      <c r="Y1104" s="14">
        <f t="shared" ref="Y1104:Y1111" si="256">U1104-C1104</f>
        <v>-1</v>
      </c>
      <c r="Z1104" s="20">
        <f>Tabela1[[#This Row],[PESO TOTAL]]-Tabela1[[#This Row],[Peso Expedido]]</f>
        <v>36.6</v>
      </c>
      <c r="AA1104" s="17">
        <v>1</v>
      </c>
      <c r="AB1104" s="33"/>
      <c r="AC1104" s="33">
        <v>1</v>
      </c>
      <c r="AD1104" s="33">
        <v>0.7</v>
      </c>
      <c r="AE1104" s="33">
        <v>0.7</v>
      </c>
      <c r="AF1104" s="33">
        <v>0.4</v>
      </c>
      <c r="AG1104" s="33">
        <v>0.35</v>
      </c>
      <c r="AH1104" s="33"/>
      <c r="AI1104" s="33"/>
      <c r="AJ1104"/>
      <c r="AK1104"/>
      <c r="AL1104"/>
      <c r="AM1104"/>
      <c r="AN1104"/>
      <c r="AO1104"/>
      <c r="AP1104"/>
      <c r="AQ1104" s="22"/>
      <c r="AR1104" s="24"/>
      <c r="AS1104" s="37"/>
      <c r="AT1104" s="37"/>
      <c r="AU1104" s="37"/>
      <c r="AV1104" s="37"/>
      <c r="AW1104" s="37"/>
    </row>
    <row r="1105" spans="1:49" ht="15.75" customHeight="1" x14ac:dyDescent="0.25">
      <c r="A1105" s="1" t="s">
        <v>5402</v>
      </c>
      <c r="B1105" s="21" t="s">
        <v>5403</v>
      </c>
      <c r="C1105" s="1">
        <v>1</v>
      </c>
      <c r="D1105" s="1" t="s">
        <v>5616</v>
      </c>
      <c r="E1105" s="7">
        <v>4827</v>
      </c>
      <c r="F1105" s="7">
        <v>64</v>
      </c>
      <c r="G1105" s="1">
        <v>54.3</v>
      </c>
      <c r="H1105" s="34">
        <f>Tabela1[[#This Row],[PESO UNI]]*Tabela1[[#This Row],[QTE]]</f>
        <v>54.3</v>
      </c>
      <c r="I1105" s="7" t="s">
        <v>5642</v>
      </c>
      <c r="J1105" s="8" t="s">
        <v>3093</v>
      </c>
      <c r="K1105" s="8" t="s">
        <v>4320</v>
      </c>
      <c r="L1105" s="9" t="s">
        <v>2984</v>
      </c>
      <c r="M1105" s="10">
        <v>46260</v>
      </c>
      <c r="N1105" s="8" t="s">
        <v>5105</v>
      </c>
      <c r="O1105" s="12"/>
      <c r="P1105" s="13"/>
      <c r="Q1105" s="14">
        <f>Tabela1[[#This Row],[QTDE/ Fabricação]]-Tabela1[[#This Row],[QTE]]</f>
        <v>-1</v>
      </c>
      <c r="R1105" s="18">
        <f t="shared" si="253"/>
        <v>45.340499999999999</v>
      </c>
      <c r="S1105" s="18">
        <f t="shared" si="254"/>
        <v>19.004999999999999</v>
      </c>
      <c r="T1105" s="19">
        <f t="shared" si="255"/>
        <v>-35.295000000000002</v>
      </c>
      <c r="U1105" s="16">
        <f>IFERROR(SUMIF('LISTA DE EMBARQUE'!B:B,MICRO!E:E,'LISTA DE EMBARQUE'!G:G),"")</f>
        <v>0</v>
      </c>
      <c r="V1105" s="12" t="str">
        <f>IFERROR(VLOOKUP(Tabela1[[#This Row],[COD.MDE]],'LISTA DE EMBARQUE'!B:L,11,0),"")</f>
        <v/>
      </c>
      <c r="W1105" s="13" t="str">
        <f>IFERROR(VLOOKUP(Tabela1[[#This Row],[COD.MDE]],'LISTA DE EMBARQUE'!B:M,12,0),"")</f>
        <v/>
      </c>
      <c r="X1105" s="14">
        <f>IFERROR(Tabela1[[#This Row],[QIANTIDADE EXPEDIDA]]*Tabela1[[#This Row],[PESO UNI]],"")</f>
        <v>0</v>
      </c>
      <c r="Y1105" s="14">
        <f t="shared" si="256"/>
        <v>-1</v>
      </c>
      <c r="Z1105" s="20">
        <f>Tabela1[[#This Row],[PESO TOTAL]]-Tabela1[[#This Row],[Peso Expedido]]</f>
        <v>54.3</v>
      </c>
      <c r="AA1105" s="17">
        <v>1</v>
      </c>
      <c r="AB1105" s="33"/>
      <c r="AC1105" s="33">
        <v>1</v>
      </c>
      <c r="AD1105" s="33">
        <v>0.7</v>
      </c>
      <c r="AE1105" s="33">
        <v>0.7</v>
      </c>
      <c r="AF1105" s="33">
        <v>0.4</v>
      </c>
      <c r="AG1105" s="33">
        <v>0.35</v>
      </c>
      <c r="AH1105" s="33"/>
      <c r="AI1105" s="33"/>
      <c r="AJ1105"/>
      <c r="AK1105"/>
      <c r="AL1105"/>
      <c r="AM1105"/>
      <c r="AN1105"/>
      <c r="AO1105"/>
      <c r="AP1105"/>
      <c r="AQ1105" s="22"/>
      <c r="AR1105" s="24"/>
      <c r="AS1105" s="37"/>
      <c r="AT1105" s="37"/>
      <c r="AU1105" s="37"/>
      <c r="AV1105" s="37"/>
      <c r="AW1105" s="37"/>
    </row>
    <row r="1106" spans="1:49" ht="15.75" customHeight="1" x14ac:dyDescent="0.25">
      <c r="A1106" s="1" t="s">
        <v>5402</v>
      </c>
      <c r="B1106" s="21" t="s">
        <v>5403</v>
      </c>
      <c r="C1106" s="1">
        <v>1</v>
      </c>
      <c r="D1106" s="1" t="s">
        <v>5617</v>
      </c>
      <c r="E1106" s="7">
        <v>4828</v>
      </c>
      <c r="F1106" s="7">
        <v>64</v>
      </c>
      <c r="G1106" s="1">
        <v>54.3</v>
      </c>
      <c r="H1106" s="34">
        <f>Tabela1[[#This Row],[PESO UNI]]*Tabela1[[#This Row],[QTE]]</f>
        <v>54.3</v>
      </c>
      <c r="I1106" s="7" t="s">
        <v>5642</v>
      </c>
      <c r="J1106" s="8" t="s">
        <v>3093</v>
      </c>
      <c r="K1106" s="8" t="s">
        <v>4320</v>
      </c>
      <c r="L1106" s="9" t="s">
        <v>2984</v>
      </c>
      <c r="M1106" s="10">
        <v>46260</v>
      </c>
      <c r="N1106" s="8" t="s">
        <v>5105</v>
      </c>
      <c r="O1106" s="12"/>
      <c r="P1106" s="13"/>
      <c r="Q1106" s="14">
        <f>Tabela1[[#This Row],[QTDE/ Fabricação]]-Tabela1[[#This Row],[QTE]]</f>
        <v>-1</v>
      </c>
      <c r="R1106" s="18">
        <f t="shared" si="253"/>
        <v>45.340499999999999</v>
      </c>
      <c r="S1106" s="18">
        <f t="shared" si="254"/>
        <v>19.004999999999999</v>
      </c>
      <c r="T1106" s="19">
        <f t="shared" si="255"/>
        <v>-35.295000000000002</v>
      </c>
      <c r="U1106" s="16">
        <f>IFERROR(SUMIF('LISTA DE EMBARQUE'!B:B,MICRO!E:E,'LISTA DE EMBARQUE'!G:G),"")</f>
        <v>0</v>
      </c>
      <c r="V1106" s="12" t="str">
        <f>IFERROR(VLOOKUP(Tabela1[[#This Row],[COD.MDE]],'LISTA DE EMBARQUE'!B:L,11,0),"")</f>
        <v/>
      </c>
      <c r="W1106" s="13" t="str">
        <f>IFERROR(VLOOKUP(Tabela1[[#This Row],[COD.MDE]],'LISTA DE EMBARQUE'!B:M,12,0),"")</f>
        <v/>
      </c>
      <c r="X1106" s="14">
        <f>IFERROR(Tabela1[[#This Row],[QIANTIDADE EXPEDIDA]]*Tabela1[[#This Row],[PESO UNI]],"")</f>
        <v>0</v>
      </c>
      <c r="Y1106" s="14">
        <f t="shared" si="256"/>
        <v>-1</v>
      </c>
      <c r="Z1106" s="20">
        <f>Tabela1[[#This Row],[PESO TOTAL]]-Tabela1[[#This Row],[Peso Expedido]]</f>
        <v>54.3</v>
      </c>
      <c r="AA1106" s="17">
        <v>1</v>
      </c>
      <c r="AB1106" s="33"/>
      <c r="AC1106" s="33">
        <v>1</v>
      </c>
      <c r="AD1106" s="33">
        <v>0.7</v>
      </c>
      <c r="AE1106" s="33">
        <v>0.7</v>
      </c>
      <c r="AF1106" s="33">
        <v>0.4</v>
      </c>
      <c r="AG1106" s="33">
        <v>0.35</v>
      </c>
      <c r="AH1106" s="33"/>
      <c r="AI1106" s="33"/>
      <c r="AJ1106"/>
      <c r="AK1106"/>
      <c r="AL1106"/>
      <c r="AM1106"/>
      <c r="AN1106"/>
      <c r="AO1106"/>
      <c r="AP1106"/>
      <c r="AQ1106" s="22"/>
      <c r="AR1106" s="24"/>
      <c r="AS1106" s="37"/>
      <c r="AT1106" s="37"/>
      <c r="AU1106" s="37"/>
      <c r="AV1106" s="37"/>
      <c r="AW1106" s="37"/>
    </row>
    <row r="1107" spans="1:49" ht="15.75" customHeight="1" x14ac:dyDescent="0.25">
      <c r="A1107" s="1" t="s">
        <v>5402</v>
      </c>
      <c r="B1107" s="21" t="s">
        <v>5403</v>
      </c>
      <c r="C1107" s="1">
        <v>1</v>
      </c>
      <c r="D1107" s="1" t="s">
        <v>5618</v>
      </c>
      <c r="E1107" s="7">
        <v>4839</v>
      </c>
      <c r="F1107" s="7">
        <v>64</v>
      </c>
      <c r="G1107" s="1">
        <v>53.6</v>
      </c>
      <c r="H1107" s="34">
        <f>Tabela1[[#This Row],[PESO UNI]]*Tabela1[[#This Row],[QTE]]</f>
        <v>53.6</v>
      </c>
      <c r="I1107" s="7" t="s">
        <v>5642</v>
      </c>
      <c r="J1107" s="8" t="s">
        <v>3093</v>
      </c>
      <c r="K1107" s="8" t="s">
        <v>4320</v>
      </c>
      <c r="L1107" s="9" t="s">
        <v>2984</v>
      </c>
      <c r="M1107" s="10">
        <v>46260</v>
      </c>
      <c r="N1107" s="8" t="s">
        <v>5105</v>
      </c>
      <c r="O1107" s="12"/>
      <c r="P1107" s="13"/>
      <c r="Q1107" s="14">
        <f>Tabela1[[#This Row],[QTDE/ Fabricação]]-Tabela1[[#This Row],[QTE]]</f>
        <v>-1</v>
      </c>
      <c r="R1107" s="18">
        <f t="shared" si="253"/>
        <v>44.756</v>
      </c>
      <c r="S1107" s="18">
        <f t="shared" si="254"/>
        <v>18.759999999999998</v>
      </c>
      <c r="T1107" s="19">
        <f t="shared" si="255"/>
        <v>-34.840000000000003</v>
      </c>
      <c r="U1107" s="16">
        <f>IFERROR(SUMIF('LISTA DE EMBARQUE'!B:B,MICRO!E:E,'LISTA DE EMBARQUE'!G:G),"")</f>
        <v>0</v>
      </c>
      <c r="V1107" s="12" t="str">
        <f>IFERROR(VLOOKUP(Tabela1[[#This Row],[COD.MDE]],'LISTA DE EMBARQUE'!B:L,11,0),"")</f>
        <v/>
      </c>
      <c r="W1107" s="13" t="str">
        <f>IFERROR(VLOOKUP(Tabela1[[#This Row],[COD.MDE]],'LISTA DE EMBARQUE'!B:M,12,0),"")</f>
        <v/>
      </c>
      <c r="X1107" s="14">
        <f>IFERROR(Tabela1[[#This Row],[QIANTIDADE EXPEDIDA]]*Tabela1[[#This Row],[PESO UNI]],"")</f>
        <v>0</v>
      </c>
      <c r="Y1107" s="14">
        <f t="shared" si="256"/>
        <v>-1</v>
      </c>
      <c r="Z1107" s="20">
        <f>Tabela1[[#This Row],[PESO TOTAL]]-Tabela1[[#This Row],[Peso Expedido]]</f>
        <v>53.6</v>
      </c>
      <c r="AA1107" s="17">
        <v>1</v>
      </c>
      <c r="AB1107" s="33"/>
      <c r="AC1107" s="33">
        <v>1</v>
      </c>
      <c r="AD1107" s="33">
        <v>0.7</v>
      </c>
      <c r="AE1107" s="33">
        <v>0.7</v>
      </c>
      <c r="AF1107" s="33">
        <v>0.4</v>
      </c>
      <c r="AG1107" s="33">
        <v>0.35</v>
      </c>
      <c r="AH1107" s="33"/>
      <c r="AI1107" s="33"/>
      <c r="AJ1107"/>
      <c r="AK1107"/>
      <c r="AL1107"/>
      <c r="AM1107"/>
      <c r="AN1107"/>
      <c r="AO1107"/>
      <c r="AP1107"/>
      <c r="AQ1107" s="22"/>
      <c r="AR1107" s="24"/>
      <c r="AS1107" s="37"/>
      <c r="AT1107" s="37"/>
      <c r="AU1107" s="37"/>
      <c r="AV1107" s="37"/>
      <c r="AW1107" s="37"/>
    </row>
    <row r="1108" spans="1:49" ht="15.75" customHeight="1" x14ac:dyDescent="0.25">
      <c r="A1108" s="1" t="s">
        <v>5402</v>
      </c>
      <c r="B1108" s="21" t="s">
        <v>5403</v>
      </c>
      <c r="C1108" s="1">
        <v>1</v>
      </c>
      <c r="D1108" s="1" t="s">
        <v>5619</v>
      </c>
      <c r="E1108" s="7">
        <v>4840</v>
      </c>
      <c r="F1108" s="7">
        <v>64</v>
      </c>
      <c r="G1108" s="1">
        <v>43.9</v>
      </c>
      <c r="H1108" s="34">
        <f>Tabela1[[#This Row],[PESO UNI]]*Tabela1[[#This Row],[QTE]]</f>
        <v>43.9</v>
      </c>
      <c r="I1108" s="7" t="s">
        <v>5642</v>
      </c>
      <c r="J1108" s="8" t="s">
        <v>3093</v>
      </c>
      <c r="K1108" s="8" t="s">
        <v>4320</v>
      </c>
      <c r="L1108" s="9" t="s">
        <v>2984</v>
      </c>
      <c r="M1108" s="10">
        <v>46260</v>
      </c>
      <c r="N1108" s="8" t="s">
        <v>5105</v>
      </c>
      <c r="O1108" s="12"/>
      <c r="P1108" s="13"/>
      <c r="Q1108" s="14">
        <f>Tabela1[[#This Row],[QTDE/ Fabricação]]-Tabela1[[#This Row],[QTE]]</f>
        <v>-1</v>
      </c>
      <c r="R1108" s="18">
        <f t="shared" si="253"/>
        <v>36.656499999999994</v>
      </c>
      <c r="S1108" s="18">
        <f t="shared" si="254"/>
        <v>15.364999999999998</v>
      </c>
      <c r="T1108" s="19">
        <f t="shared" si="255"/>
        <v>-28.535</v>
      </c>
      <c r="U1108" s="16">
        <f>IFERROR(SUMIF('LISTA DE EMBARQUE'!B:B,MICRO!E:E,'LISTA DE EMBARQUE'!G:G),"")</f>
        <v>0</v>
      </c>
      <c r="V1108" s="12" t="str">
        <f>IFERROR(VLOOKUP(Tabela1[[#This Row],[COD.MDE]],'LISTA DE EMBARQUE'!B:L,11,0),"")</f>
        <v/>
      </c>
      <c r="W1108" s="13" t="str">
        <f>IFERROR(VLOOKUP(Tabela1[[#This Row],[COD.MDE]],'LISTA DE EMBARQUE'!B:M,12,0),"")</f>
        <v/>
      </c>
      <c r="X1108" s="14">
        <f>IFERROR(Tabela1[[#This Row],[QIANTIDADE EXPEDIDA]]*Tabela1[[#This Row],[PESO UNI]],"")</f>
        <v>0</v>
      </c>
      <c r="Y1108" s="14">
        <f t="shared" si="256"/>
        <v>-1</v>
      </c>
      <c r="Z1108" s="20">
        <f>Tabela1[[#This Row],[PESO TOTAL]]-Tabela1[[#This Row],[Peso Expedido]]</f>
        <v>43.9</v>
      </c>
      <c r="AA1108" s="17">
        <v>1</v>
      </c>
      <c r="AB1108" s="33"/>
      <c r="AC1108" s="33">
        <v>1</v>
      </c>
      <c r="AD1108" s="33">
        <v>0.7</v>
      </c>
      <c r="AE1108" s="33">
        <v>0.7</v>
      </c>
      <c r="AF1108" s="33">
        <v>0.4</v>
      </c>
      <c r="AG1108" s="33">
        <v>0.35</v>
      </c>
      <c r="AH1108" s="33"/>
      <c r="AI1108" s="33"/>
      <c r="AJ1108"/>
      <c r="AK1108"/>
      <c r="AL1108"/>
      <c r="AM1108"/>
      <c r="AN1108"/>
      <c r="AO1108"/>
      <c r="AP1108"/>
      <c r="AQ1108" s="22"/>
      <c r="AR1108" s="24"/>
      <c r="AS1108" s="37"/>
      <c r="AT1108" s="37"/>
      <c r="AU1108" s="37"/>
      <c r="AV1108" s="37"/>
      <c r="AW1108" s="37"/>
    </row>
    <row r="1109" spans="1:49" ht="15.75" customHeight="1" x14ac:dyDescent="0.25">
      <c r="A1109" s="1" t="s">
        <v>5402</v>
      </c>
      <c r="B1109" s="21" t="s">
        <v>5403</v>
      </c>
      <c r="C1109" s="1">
        <v>1</v>
      </c>
      <c r="D1109" s="1" t="s">
        <v>5620</v>
      </c>
      <c r="E1109" s="7">
        <v>4841</v>
      </c>
      <c r="F1109" s="7">
        <v>64</v>
      </c>
      <c r="G1109" s="1">
        <v>43.4</v>
      </c>
      <c r="H1109" s="34">
        <f>Tabela1[[#This Row],[PESO UNI]]*Tabela1[[#This Row],[QTE]]</f>
        <v>43.4</v>
      </c>
      <c r="I1109" s="7" t="s">
        <v>5642</v>
      </c>
      <c r="J1109" s="8" t="s">
        <v>3093</v>
      </c>
      <c r="K1109" s="8" t="s">
        <v>4320</v>
      </c>
      <c r="L1109" s="9" t="s">
        <v>2984</v>
      </c>
      <c r="M1109" s="10">
        <v>46260</v>
      </c>
      <c r="N1109" s="8" t="s">
        <v>5105</v>
      </c>
      <c r="O1109" s="12"/>
      <c r="P1109" s="13"/>
      <c r="Q1109" s="14">
        <f>Tabela1[[#This Row],[QTDE/ Fabricação]]-Tabela1[[#This Row],[QTE]]</f>
        <v>-1</v>
      </c>
      <c r="R1109" s="18">
        <f t="shared" si="253"/>
        <v>36.238999999999997</v>
      </c>
      <c r="S1109" s="18">
        <f t="shared" si="254"/>
        <v>15.189999999999998</v>
      </c>
      <c r="T1109" s="19">
        <f t="shared" si="255"/>
        <v>-28.21</v>
      </c>
      <c r="U1109" s="16">
        <f>IFERROR(SUMIF('LISTA DE EMBARQUE'!B:B,MICRO!E:E,'LISTA DE EMBARQUE'!G:G),"")</f>
        <v>0</v>
      </c>
      <c r="V1109" s="12" t="str">
        <f>IFERROR(VLOOKUP(Tabela1[[#This Row],[COD.MDE]],'LISTA DE EMBARQUE'!B:L,11,0),"")</f>
        <v/>
      </c>
      <c r="W1109" s="13" t="str">
        <f>IFERROR(VLOOKUP(Tabela1[[#This Row],[COD.MDE]],'LISTA DE EMBARQUE'!B:M,12,0),"")</f>
        <v/>
      </c>
      <c r="X1109" s="14">
        <f>IFERROR(Tabela1[[#This Row],[QIANTIDADE EXPEDIDA]]*Tabela1[[#This Row],[PESO UNI]],"")</f>
        <v>0</v>
      </c>
      <c r="Y1109" s="14">
        <f t="shared" si="256"/>
        <v>-1</v>
      </c>
      <c r="Z1109" s="20">
        <f>Tabela1[[#This Row],[PESO TOTAL]]-Tabela1[[#This Row],[Peso Expedido]]</f>
        <v>43.4</v>
      </c>
      <c r="AA1109" s="17">
        <v>1</v>
      </c>
      <c r="AB1109" s="33"/>
      <c r="AC1109" s="33">
        <v>1</v>
      </c>
      <c r="AD1109" s="33">
        <v>0.7</v>
      </c>
      <c r="AE1109" s="33">
        <v>0.7</v>
      </c>
      <c r="AF1109" s="33">
        <v>0.4</v>
      </c>
      <c r="AG1109" s="33">
        <v>0.35</v>
      </c>
      <c r="AH1109" s="33"/>
      <c r="AI1109" s="33"/>
      <c r="AJ1109"/>
      <c r="AK1109"/>
      <c r="AL1109"/>
      <c r="AM1109"/>
      <c r="AN1109"/>
      <c r="AO1109"/>
      <c r="AP1109"/>
      <c r="AQ1109" s="22"/>
      <c r="AR1109" s="24"/>
      <c r="AS1109" s="37"/>
      <c r="AT1109" s="37"/>
      <c r="AU1109" s="37"/>
      <c r="AV1109" s="37"/>
      <c r="AW1109" s="37"/>
    </row>
    <row r="1110" spans="1:49" ht="15.75" customHeight="1" x14ac:dyDescent="0.25">
      <c r="A1110" s="1" t="s">
        <v>5402</v>
      </c>
      <c r="B1110" s="21" t="s">
        <v>5403</v>
      </c>
      <c r="C1110" s="1">
        <v>1</v>
      </c>
      <c r="D1110" s="1" t="s">
        <v>5621</v>
      </c>
      <c r="E1110" s="7">
        <v>4842</v>
      </c>
      <c r="F1110" s="7">
        <v>64</v>
      </c>
      <c r="G1110" s="1">
        <v>43.4</v>
      </c>
      <c r="H1110" s="34">
        <f>Tabela1[[#This Row],[PESO UNI]]*Tabela1[[#This Row],[QTE]]</f>
        <v>43.4</v>
      </c>
      <c r="I1110" s="7" t="s">
        <v>5642</v>
      </c>
      <c r="J1110" s="8" t="s">
        <v>3093</v>
      </c>
      <c r="K1110" s="8" t="s">
        <v>4320</v>
      </c>
      <c r="L1110" s="9" t="s">
        <v>2984</v>
      </c>
      <c r="M1110" s="10">
        <v>46260</v>
      </c>
      <c r="N1110" s="8" t="s">
        <v>5105</v>
      </c>
      <c r="O1110" s="12"/>
      <c r="P1110" s="13"/>
      <c r="Q1110" s="14">
        <f>Tabela1[[#This Row],[QTDE/ Fabricação]]-Tabela1[[#This Row],[QTE]]</f>
        <v>-1</v>
      </c>
      <c r="R1110" s="18">
        <f t="shared" si="253"/>
        <v>36.238999999999997</v>
      </c>
      <c r="S1110" s="18">
        <f t="shared" si="254"/>
        <v>15.189999999999998</v>
      </c>
      <c r="T1110" s="19">
        <f t="shared" si="255"/>
        <v>-28.21</v>
      </c>
      <c r="U1110" s="16">
        <f>IFERROR(SUMIF('LISTA DE EMBARQUE'!B:B,MICRO!E:E,'LISTA DE EMBARQUE'!G:G),"")</f>
        <v>0</v>
      </c>
      <c r="V1110" s="12" t="str">
        <f>IFERROR(VLOOKUP(Tabela1[[#This Row],[COD.MDE]],'LISTA DE EMBARQUE'!B:L,11,0),"")</f>
        <v/>
      </c>
      <c r="W1110" s="13" t="str">
        <f>IFERROR(VLOOKUP(Tabela1[[#This Row],[COD.MDE]],'LISTA DE EMBARQUE'!B:M,12,0),"")</f>
        <v/>
      </c>
      <c r="X1110" s="14">
        <f>IFERROR(Tabela1[[#This Row],[QIANTIDADE EXPEDIDA]]*Tabela1[[#This Row],[PESO UNI]],"")</f>
        <v>0</v>
      </c>
      <c r="Y1110" s="14">
        <f t="shared" si="256"/>
        <v>-1</v>
      </c>
      <c r="Z1110" s="20">
        <f>Tabela1[[#This Row],[PESO TOTAL]]-Tabela1[[#This Row],[Peso Expedido]]</f>
        <v>43.4</v>
      </c>
      <c r="AA1110" s="17">
        <v>1</v>
      </c>
      <c r="AB1110" s="33"/>
      <c r="AC1110" s="33">
        <v>1</v>
      </c>
      <c r="AD1110" s="33">
        <v>0.7</v>
      </c>
      <c r="AE1110" s="33">
        <v>0.7</v>
      </c>
      <c r="AF1110" s="33">
        <v>0.4</v>
      </c>
      <c r="AG1110" s="33">
        <v>0.35</v>
      </c>
      <c r="AH1110" s="33"/>
      <c r="AI1110" s="33"/>
      <c r="AJ1110"/>
      <c r="AK1110"/>
      <c r="AL1110"/>
      <c r="AM1110"/>
      <c r="AN1110"/>
      <c r="AO1110"/>
      <c r="AP1110"/>
      <c r="AQ1110" s="22"/>
      <c r="AR1110" s="24"/>
      <c r="AS1110" s="37"/>
      <c r="AT1110" s="37"/>
      <c r="AU1110" s="37"/>
      <c r="AV1110" s="37"/>
      <c r="AW1110" s="37"/>
    </row>
    <row r="1111" spans="1:49" ht="15.75" customHeight="1" x14ac:dyDescent="0.25">
      <c r="A1111" s="1" t="s">
        <v>5402</v>
      </c>
      <c r="B1111" s="21" t="s">
        <v>5403</v>
      </c>
      <c r="C1111" s="1">
        <v>1</v>
      </c>
      <c r="D1111" s="1" t="s">
        <v>5622</v>
      </c>
      <c r="E1111" s="7">
        <v>4843</v>
      </c>
      <c r="F1111" s="7">
        <v>64</v>
      </c>
      <c r="G1111" s="1">
        <v>44.1</v>
      </c>
      <c r="H1111" s="34">
        <f>Tabela1[[#This Row],[PESO UNI]]*Tabela1[[#This Row],[QTE]]</f>
        <v>44.1</v>
      </c>
      <c r="I1111" s="7" t="s">
        <v>5642</v>
      </c>
      <c r="J1111" s="8" t="s">
        <v>3093</v>
      </c>
      <c r="K1111" s="8" t="s">
        <v>4320</v>
      </c>
      <c r="L1111" s="9" t="s">
        <v>2984</v>
      </c>
      <c r="M1111" s="10">
        <v>46260</v>
      </c>
      <c r="N1111" s="8" t="s">
        <v>5105</v>
      </c>
      <c r="O1111" s="12"/>
      <c r="P1111" s="13"/>
      <c r="Q1111" s="14">
        <f>Tabela1[[#This Row],[QTDE/ Fabricação]]-Tabela1[[#This Row],[QTE]]</f>
        <v>-1</v>
      </c>
      <c r="R1111" s="18">
        <f t="shared" si="253"/>
        <v>36.823500000000003</v>
      </c>
      <c r="S1111" s="18">
        <f t="shared" si="254"/>
        <v>15.434999999999999</v>
      </c>
      <c r="T1111" s="19">
        <f t="shared" si="255"/>
        <v>-28.665000000000003</v>
      </c>
      <c r="U1111" s="16">
        <f>IFERROR(SUMIF('LISTA DE EMBARQUE'!B:B,MICRO!E:E,'LISTA DE EMBARQUE'!G:G),"")</f>
        <v>0</v>
      </c>
      <c r="V1111" s="12" t="str">
        <f>IFERROR(VLOOKUP(Tabela1[[#This Row],[COD.MDE]],'LISTA DE EMBARQUE'!B:L,11,0),"")</f>
        <v/>
      </c>
      <c r="W1111" s="13" t="str">
        <f>IFERROR(VLOOKUP(Tabela1[[#This Row],[COD.MDE]],'LISTA DE EMBARQUE'!B:M,12,0),"")</f>
        <v/>
      </c>
      <c r="X1111" s="14">
        <f>IFERROR(Tabela1[[#This Row],[QIANTIDADE EXPEDIDA]]*Tabela1[[#This Row],[PESO UNI]],"")</f>
        <v>0</v>
      </c>
      <c r="Y1111" s="14">
        <f t="shared" si="256"/>
        <v>-1</v>
      </c>
      <c r="Z1111" s="20">
        <f>Tabela1[[#This Row],[PESO TOTAL]]-Tabela1[[#This Row],[Peso Expedido]]</f>
        <v>44.1</v>
      </c>
      <c r="AA1111" s="17">
        <v>1</v>
      </c>
      <c r="AB1111" s="33"/>
      <c r="AC1111" s="33">
        <v>1</v>
      </c>
      <c r="AD1111" s="33">
        <v>0.7</v>
      </c>
      <c r="AE1111" s="33">
        <v>0.7</v>
      </c>
      <c r="AF1111" s="33">
        <v>0.4</v>
      </c>
      <c r="AG1111" s="33">
        <v>0.35</v>
      </c>
      <c r="AH1111" s="33"/>
      <c r="AI1111" s="33"/>
      <c r="AJ1111"/>
      <c r="AK1111"/>
      <c r="AL1111"/>
      <c r="AM1111"/>
      <c r="AN1111"/>
      <c r="AO1111"/>
      <c r="AP1111"/>
      <c r="AQ1111" s="22"/>
      <c r="AR1111" s="24"/>
      <c r="AS1111" s="37"/>
      <c r="AT1111" s="37"/>
      <c r="AU1111" s="37"/>
      <c r="AV1111" s="37"/>
      <c r="AW1111" s="37"/>
    </row>
    <row r="1112" spans="1:49" ht="15.75" customHeight="1" x14ac:dyDescent="0.25">
      <c r="A1112" s="1" t="s">
        <v>5494</v>
      </c>
      <c r="B1112" s="21" t="s">
        <v>5495</v>
      </c>
      <c r="C1112" s="1">
        <v>2</v>
      </c>
      <c r="D1112" s="1" t="s">
        <v>5496</v>
      </c>
      <c r="E1112" s="7">
        <v>4751</v>
      </c>
      <c r="F1112" s="7">
        <v>65</v>
      </c>
      <c r="G1112" s="1">
        <v>257.5</v>
      </c>
      <c r="H1112" s="34">
        <f>Tabela1[[#This Row],[PESO UNI]]*Tabela1[[#This Row],[QTE]]</f>
        <v>515</v>
      </c>
      <c r="I1112" s="7" t="s">
        <v>5582</v>
      </c>
      <c r="J1112" s="8" t="s">
        <v>3140</v>
      </c>
      <c r="K1112" s="8" t="s">
        <v>4320</v>
      </c>
      <c r="L1112" s="9" t="s">
        <v>2984</v>
      </c>
      <c r="M1112" s="10">
        <v>46265</v>
      </c>
      <c r="N1112" s="8" t="s">
        <v>5105</v>
      </c>
      <c r="O1112" s="12"/>
      <c r="P1112" s="13"/>
      <c r="Q1112" s="14">
        <f>Tabela1[[#This Row],[QTDE/ Fabricação]]-Tabela1[[#This Row],[QTE]]</f>
        <v>-2</v>
      </c>
      <c r="R1112" s="18">
        <f t="shared" ref="R1112:R1144" si="257">IFERROR(H1112*((AA1112*0.25)+(AC1112*0.25)+(AD1112*0.225)+(AE1112*0.225)+(AF1112*0.05)),"")</f>
        <v>430.02499999999998</v>
      </c>
      <c r="S1112" s="18">
        <f t="shared" ref="S1112:S1144" si="258">IFERROR(H1112*AG1112,"")</f>
        <v>180.25</v>
      </c>
      <c r="T1112" s="19">
        <f t="shared" ref="T1112:T1144" si="259">IFERROR(S1112-H1112,"")</f>
        <v>-334.75</v>
      </c>
      <c r="U1112" s="16">
        <f>IFERROR(SUMIF('LISTA DE EMBARQUE'!B:B,MICRO!E:E,'LISTA DE EMBARQUE'!G:G),"")</f>
        <v>0</v>
      </c>
      <c r="V1112" s="12" t="str">
        <f>IFERROR(VLOOKUP(Tabela1[[#This Row],[COD.MDE]],'LISTA DE EMBARQUE'!B:L,11,0),"")</f>
        <v/>
      </c>
      <c r="W1112" s="13" t="str">
        <f>IFERROR(VLOOKUP(Tabela1[[#This Row],[COD.MDE]],'LISTA DE EMBARQUE'!B:M,12,0),"")</f>
        <v/>
      </c>
      <c r="X1112" s="14">
        <f>IFERROR(Tabela1[[#This Row],[QIANTIDADE EXPEDIDA]]*Tabela1[[#This Row],[PESO UNI]],"")</f>
        <v>0</v>
      </c>
      <c r="Y1112" s="14">
        <f t="shared" ref="Y1112:Y1144" si="260">U1112-C1112</f>
        <v>-2</v>
      </c>
      <c r="Z1112" s="20">
        <f>Tabela1[[#This Row],[PESO TOTAL]]-Tabela1[[#This Row],[Peso Expedido]]</f>
        <v>515</v>
      </c>
      <c r="AA1112" s="17">
        <v>1</v>
      </c>
      <c r="AB1112" s="33"/>
      <c r="AC1112" s="33">
        <v>1</v>
      </c>
      <c r="AD1112" s="33">
        <v>0.7</v>
      </c>
      <c r="AE1112" s="33">
        <v>0.7</v>
      </c>
      <c r="AF1112" s="33">
        <v>0.4</v>
      </c>
      <c r="AG1112" s="33">
        <v>0.35</v>
      </c>
      <c r="AH1112" s="33"/>
      <c r="AI1112" s="33"/>
      <c r="AJ1112"/>
      <c r="AK1112"/>
      <c r="AL1112"/>
      <c r="AM1112"/>
      <c r="AN1112"/>
      <c r="AO1112"/>
      <c r="AP1112"/>
      <c r="AQ1112" s="22"/>
      <c r="AR1112" s="24"/>
      <c r="AS1112" s="37"/>
      <c r="AT1112" s="37"/>
      <c r="AU1112" s="37"/>
      <c r="AV1112" s="37"/>
      <c r="AW1112" s="37"/>
    </row>
    <row r="1113" spans="1:49" ht="15.75" customHeight="1" x14ac:dyDescent="0.25">
      <c r="A1113" s="1" t="s">
        <v>5494</v>
      </c>
      <c r="B1113" s="21" t="s">
        <v>5495</v>
      </c>
      <c r="C1113" s="1">
        <v>1</v>
      </c>
      <c r="D1113" s="1" t="s">
        <v>5583</v>
      </c>
      <c r="E1113" s="7">
        <v>4799</v>
      </c>
      <c r="F1113" s="7">
        <v>65</v>
      </c>
      <c r="G1113" s="1">
        <v>1167.4000000000001</v>
      </c>
      <c r="H1113" s="34">
        <f>Tabela1[[#This Row],[PESO UNI]]*Tabela1[[#This Row],[QTE]]</f>
        <v>1167.4000000000001</v>
      </c>
      <c r="I1113" s="7" t="s">
        <v>5582</v>
      </c>
      <c r="J1113" s="8" t="s">
        <v>3140</v>
      </c>
      <c r="K1113" s="8" t="s">
        <v>4320</v>
      </c>
      <c r="L1113" s="9" t="s">
        <v>2984</v>
      </c>
      <c r="M1113" s="10">
        <v>46265</v>
      </c>
      <c r="N1113" s="8" t="s">
        <v>5105</v>
      </c>
      <c r="O1113" s="12"/>
      <c r="P1113" s="13"/>
      <c r="Q1113" s="14">
        <f>Tabela1[[#This Row],[QTDE/ Fabricação]]-Tabela1[[#This Row],[QTE]]</f>
        <v>-1</v>
      </c>
      <c r="R1113" s="18">
        <f>IFERROR(H1113*((AA1113*0.25)+(AC1113*0.25)+(AD1113*0.225)+(AE1113*0.225)+(AF1113*0.05)),"")</f>
        <v>974.779</v>
      </c>
      <c r="S1113" s="18">
        <f>IFERROR(H1113*AG1113,"")</f>
        <v>408.59000000000003</v>
      </c>
      <c r="T1113" s="19">
        <f>IFERROR(S1113-H1113,"")</f>
        <v>-758.81000000000006</v>
      </c>
      <c r="U1113" s="16">
        <f>IFERROR(SUMIF('LISTA DE EMBARQUE'!B:B,MICRO!E:E,'LISTA DE EMBARQUE'!G:G),"")</f>
        <v>0</v>
      </c>
      <c r="V1113" s="12" t="str">
        <f>IFERROR(VLOOKUP(Tabela1[[#This Row],[COD.MDE]],'LISTA DE EMBARQUE'!B:L,11,0),"")</f>
        <v/>
      </c>
      <c r="W1113" s="13" t="str">
        <f>IFERROR(VLOOKUP(Tabela1[[#This Row],[COD.MDE]],'LISTA DE EMBARQUE'!B:M,12,0),"")</f>
        <v/>
      </c>
      <c r="X1113" s="14">
        <f>IFERROR(Tabela1[[#This Row],[QIANTIDADE EXPEDIDA]]*Tabela1[[#This Row],[PESO UNI]],"")</f>
        <v>0</v>
      </c>
      <c r="Y1113" s="14">
        <f>U1113-C1113</f>
        <v>-1</v>
      </c>
      <c r="Z1113" s="20">
        <f>Tabela1[[#This Row],[PESO TOTAL]]-Tabela1[[#This Row],[Peso Expedido]]</f>
        <v>1167.4000000000001</v>
      </c>
      <c r="AA1113" s="17">
        <v>1</v>
      </c>
      <c r="AB1113" s="33"/>
      <c r="AC1113" s="33">
        <v>1</v>
      </c>
      <c r="AD1113" s="33">
        <v>0.7</v>
      </c>
      <c r="AE1113" s="33">
        <v>0.7</v>
      </c>
      <c r="AF1113" s="33">
        <v>0.4</v>
      </c>
      <c r="AG1113" s="33">
        <v>0.35</v>
      </c>
      <c r="AH1113" s="33"/>
      <c r="AI1113" s="33"/>
      <c r="AJ1113"/>
      <c r="AK1113"/>
      <c r="AL1113"/>
      <c r="AM1113"/>
      <c r="AN1113"/>
      <c r="AO1113"/>
      <c r="AP1113"/>
      <c r="AQ1113" s="22"/>
      <c r="AR1113" s="24"/>
      <c r="AS1113" s="37"/>
      <c r="AT1113" s="37"/>
      <c r="AU1113" s="37"/>
      <c r="AV1113" s="37"/>
      <c r="AW1113" s="37"/>
    </row>
    <row r="1114" spans="1:49" ht="15.75" customHeight="1" x14ac:dyDescent="0.25">
      <c r="A1114" s="1" t="s">
        <v>5497</v>
      </c>
      <c r="B1114" s="21" t="s">
        <v>5498</v>
      </c>
      <c r="C1114" s="1">
        <v>1</v>
      </c>
      <c r="D1114" s="1" t="s">
        <v>5501</v>
      </c>
      <c r="E1114" s="7">
        <v>4752</v>
      </c>
      <c r="F1114" s="7">
        <v>65</v>
      </c>
      <c r="G1114" s="1">
        <v>681.8</v>
      </c>
      <c r="H1114" s="34">
        <f>Tabela1[[#This Row],[PESO UNI]]*Tabela1[[#This Row],[QTE]]</f>
        <v>681.8</v>
      </c>
      <c r="I1114" s="7">
        <v>0</v>
      </c>
      <c r="J1114" s="8" t="s">
        <v>3140</v>
      </c>
      <c r="K1114" s="8" t="s">
        <v>4320</v>
      </c>
      <c r="L1114" s="9" t="s">
        <v>2984</v>
      </c>
      <c r="M1114" s="10">
        <v>46265</v>
      </c>
      <c r="N1114" s="8" t="s">
        <v>5105</v>
      </c>
      <c r="O1114" s="12"/>
      <c r="P1114" s="13"/>
      <c r="Q1114" s="14">
        <f>Tabela1[[#This Row],[QTDE/ Fabricação]]-Tabela1[[#This Row],[QTE]]</f>
        <v>-1</v>
      </c>
      <c r="R1114" s="18">
        <f t="shared" si="257"/>
        <v>569.30299999999988</v>
      </c>
      <c r="S1114" s="18">
        <f t="shared" si="258"/>
        <v>238.62999999999997</v>
      </c>
      <c r="T1114" s="19">
        <f t="shared" si="259"/>
        <v>-443.16999999999996</v>
      </c>
      <c r="U1114" s="16">
        <f>IFERROR(SUMIF('LISTA DE EMBARQUE'!B:B,MICRO!E:E,'LISTA DE EMBARQUE'!G:G),"")</f>
        <v>0</v>
      </c>
      <c r="V1114" s="12" t="str">
        <f>IFERROR(VLOOKUP(Tabela1[[#This Row],[COD.MDE]],'LISTA DE EMBARQUE'!B:L,11,0),"")</f>
        <v/>
      </c>
      <c r="W1114" s="13" t="str">
        <f>IFERROR(VLOOKUP(Tabela1[[#This Row],[COD.MDE]],'LISTA DE EMBARQUE'!B:M,12,0),"")</f>
        <v/>
      </c>
      <c r="X1114" s="14">
        <f>IFERROR(Tabela1[[#This Row],[QIANTIDADE EXPEDIDA]]*Tabela1[[#This Row],[PESO UNI]],"")</f>
        <v>0</v>
      </c>
      <c r="Y1114" s="14">
        <f t="shared" si="260"/>
        <v>-1</v>
      </c>
      <c r="Z1114" s="20">
        <f>Tabela1[[#This Row],[PESO TOTAL]]-Tabela1[[#This Row],[Peso Expedido]]</f>
        <v>681.8</v>
      </c>
      <c r="AA1114" s="17">
        <v>1</v>
      </c>
      <c r="AB1114" s="33"/>
      <c r="AC1114" s="33">
        <v>1</v>
      </c>
      <c r="AD1114" s="33">
        <v>0.7</v>
      </c>
      <c r="AE1114" s="33">
        <v>0.7</v>
      </c>
      <c r="AF1114" s="33">
        <v>0.4</v>
      </c>
      <c r="AG1114" s="33">
        <v>0.35</v>
      </c>
      <c r="AH1114" s="33"/>
      <c r="AI1114" s="33"/>
      <c r="AJ1114"/>
      <c r="AK1114"/>
      <c r="AL1114"/>
      <c r="AM1114"/>
      <c r="AN1114"/>
      <c r="AO1114"/>
      <c r="AP1114"/>
      <c r="AQ1114" s="22"/>
      <c r="AR1114" s="24"/>
      <c r="AS1114" s="37"/>
      <c r="AT1114" s="37"/>
      <c r="AU1114" s="37"/>
      <c r="AV1114" s="37"/>
      <c r="AW1114" s="37"/>
    </row>
    <row r="1115" spans="1:49" ht="15.75" customHeight="1" x14ac:dyDescent="0.25">
      <c r="A1115" s="1" t="s">
        <v>5499</v>
      </c>
      <c r="B1115" s="21" t="s">
        <v>5500</v>
      </c>
      <c r="C1115" s="1">
        <v>1</v>
      </c>
      <c r="D1115" s="1" t="s">
        <v>5502</v>
      </c>
      <c r="E1115" s="7">
        <v>4753</v>
      </c>
      <c r="F1115" s="7">
        <v>65</v>
      </c>
      <c r="G1115" s="1">
        <v>254.6</v>
      </c>
      <c r="H1115" s="34">
        <f>Tabela1[[#This Row],[PESO UNI]]*Tabela1[[#This Row],[QTE]]</f>
        <v>254.6</v>
      </c>
      <c r="I1115" s="7">
        <v>0</v>
      </c>
      <c r="J1115" s="8" t="s">
        <v>3140</v>
      </c>
      <c r="K1115" s="8" t="s">
        <v>4320</v>
      </c>
      <c r="L1115" s="9" t="s">
        <v>2984</v>
      </c>
      <c r="M1115" s="10">
        <v>46265</v>
      </c>
      <c r="N1115" s="8" t="s">
        <v>5105</v>
      </c>
      <c r="O1115" s="12"/>
      <c r="P1115" s="13"/>
      <c r="Q1115" s="14">
        <f>Tabela1[[#This Row],[QTDE/ Fabricação]]-Tabela1[[#This Row],[QTE]]</f>
        <v>-1</v>
      </c>
      <c r="R1115" s="18">
        <f t="shared" si="257"/>
        <v>212.59099999999998</v>
      </c>
      <c r="S1115" s="18">
        <f t="shared" si="258"/>
        <v>89.11</v>
      </c>
      <c r="T1115" s="19">
        <f t="shared" si="259"/>
        <v>-165.49</v>
      </c>
      <c r="U1115" s="16">
        <f>IFERROR(SUMIF('LISTA DE EMBARQUE'!B:B,MICRO!E:E,'LISTA DE EMBARQUE'!G:G),"")</f>
        <v>0</v>
      </c>
      <c r="V1115" s="12" t="str">
        <f>IFERROR(VLOOKUP(Tabela1[[#This Row],[COD.MDE]],'LISTA DE EMBARQUE'!B:L,11,0),"")</f>
        <v/>
      </c>
      <c r="W1115" s="13" t="str">
        <f>IFERROR(VLOOKUP(Tabela1[[#This Row],[COD.MDE]],'LISTA DE EMBARQUE'!B:M,12,0),"")</f>
        <v/>
      </c>
      <c r="X1115" s="14">
        <f>IFERROR(Tabela1[[#This Row],[QIANTIDADE EXPEDIDA]]*Tabela1[[#This Row],[PESO UNI]],"")</f>
        <v>0</v>
      </c>
      <c r="Y1115" s="14">
        <f t="shared" si="260"/>
        <v>-1</v>
      </c>
      <c r="Z1115" s="20">
        <f>Tabela1[[#This Row],[PESO TOTAL]]-Tabela1[[#This Row],[Peso Expedido]]</f>
        <v>254.6</v>
      </c>
      <c r="AA1115" s="17">
        <v>1</v>
      </c>
      <c r="AB1115" s="33"/>
      <c r="AC1115" s="33">
        <v>1</v>
      </c>
      <c r="AD1115" s="33">
        <v>0.7</v>
      </c>
      <c r="AE1115" s="33">
        <v>0.7</v>
      </c>
      <c r="AF1115" s="33">
        <v>0.4</v>
      </c>
      <c r="AG1115" s="33">
        <v>0.35</v>
      </c>
      <c r="AH1115" s="33"/>
      <c r="AI1115" s="33"/>
      <c r="AJ1115"/>
      <c r="AK1115"/>
      <c r="AL1115"/>
      <c r="AM1115"/>
      <c r="AN1115"/>
      <c r="AO1115"/>
      <c r="AP1115"/>
      <c r="AQ1115" s="22"/>
      <c r="AR1115" s="24"/>
      <c r="AS1115" s="37"/>
      <c r="AT1115" s="37"/>
      <c r="AU1115" s="37"/>
      <c r="AV1115" s="37"/>
      <c r="AW1115" s="37"/>
    </row>
    <row r="1116" spans="1:49" ht="15.75" customHeight="1" x14ac:dyDescent="0.25">
      <c r="A1116" s="1" t="s">
        <v>5499</v>
      </c>
      <c r="B1116" s="21" t="s">
        <v>5500</v>
      </c>
      <c r="C1116" s="1">
        <v>1</v>
      </c>
      <c r="D1116" s="1" t="s">
        <v>5503</v>
      </c>
      <c r="E1116" s="7">
        <v>4754</v>
      </c>
      <c r="F1116" s="7">
        <v>65</v>
      </c>
      <c r="G1116" s="1">
        <v>223</v>
      </c>
      <c r="H1116" s="34">
        <f>Tabela1[[#This Row],[PESO UNI]]*Tabela1[[#This Row],[QTE]]</f>
        <v>223</v>
      </c>
      <c r="I1116" s="7">
        <v>0</v>
      </c>
      <c r="J1116" s="8" t="s">
        <v>3140</v>
      </c>
      <c r="K1116" s="8" t="s">
        <v>4320</v>
      </c>
      <c r="L1116" s="9" t="s">
        <v>2984</v>
      </c>
      <c r="M1116" s="10">
        <v>46265</v>
      </c>
      <c r="N1116" s="8" t="s">
        <v>5105</v>
      </c>
      <c r="O1116" s="12"/>
      <c r="P1116" s="13"/>
      <c r="Q1116" s="14">
        <f>Tabela1[[#This Row],[QTDE/ Fabricação]]-Tabela1[[#This Row],[QTE]]</f>
        <v>-1</v>
      </c>
      <c r="R1116" s="18">
        <f t="shared" si="257"/>
        <v>186.20499999999998</v>
      </c>
      <c r="S1116" s="18">
        <f t="shared" si="258"/>
        <v>78.05</v>
      </c>
      <c r="T1116" s="19">
        <f t="shared" si="259"/>
        <v>-144.94999999999999</v>
      </c>
      <c r="U1116" s="16">
        <f>IFERROR(SUMIF('LISTA DE EMBARQUE'!B:B,MICRO!E:E,'LISTA DE EMBARQUE'!G:G),"")</f>
        <v>0</v>
      </c>
      <c r="V1116" s="12" t="str">
        <f>IFERROR(VLOOKUP(Tabela1[[#This Row],[COD.MDE]],'LISTA DE EMBARQUE'!B:L,11,0),"")</f>
        <v/>
      </c>
      <c r="W1116" s="13" t="str">
        <f>IFERROR(VLOOKUP(Tabela1[[#This Row],[COD.MDE]],'LISTA DE EMBARQUE'!B:M,12,0),"")</f>
        <v/>
      </c>
      <c r="X1116" s="14">
        <f>IFERROR(Tabela1[[#This Row],[QIANTIDADE EXPEDIDA]]*Tabela1[[#This Row],[PESO UNI]],"")</f>
        <v>0</v>
      </c>
      <c r="Y1116" s="14">
        <f t="shared" si="260"/>
        <v>-1</v>
      </c>
      <c r="Z1116" s="20">
        <f>Tabela1[[#This Row],[PESO TOTAL]]-Tabela1[[#This Row],[Peso Expedido]]</f>
        <v>223</v>
      </c>
      <c r="AA1116" s="17">
        <v>1</v>
      </c>
      <c r="AB1116" s="33"/>
      <c r="AC1116" s="33">
        <v>1</v>
      </c>
      <c r="AD1116" s="33">
        <v>0.7</v>
      </c>
      <c r="AE1116" s="33">
        <v>0.7</v>
      </c>
      <c r="AF1116" s="33">
        <v>0.4</v>
      </c>
      <c r="AG1116" s="33">
        <v>0.35</v>
      </c>
      <c r="AH1116" s="33"/>
      <c r="AI1116" s="33"/>
      <c r="AJ1116"/>
      <c r="AK1116"/>
      <c r="AL1116"/>
      <c r="AM1116"/>
      <c r="AN1116"/>
      <c r="AO1116"/>
      <c r="AP1116"/>
      <c r="AQ1116" s="22"/>
      <c r="AR1116" s="24"/>
      <c r="AS1116" s="37"/>
      <c r="AT1116" s="37"/>
      <c r="AU1116" s="37"/>
      <c r="AV1116" s="37"/>
      <c r="AW1116" s="37"/>
    </row>
    <row r="1117" spans="1:49" ht="15.75" customHeight="1" x14ac:dyDescent="0.25">
      <c r="A1117" s="1" t="s">
        <v>5509</v>
      </c>
      <c r="B1117" s="21" t="s">
        <v>5504</v>
      </c>
      <c r="C1117" s="1">
        <v>1</v>
      </c>
      <c r="D1117" s="1" t="s">
        <v>5508</v>
      </c>
      <c r="E1117" s="7">
        <v>4755</v>
      </c>
      <c r="F1117" s="7">
        <v>65</v>
      </c>
      <c r="G1117" s="1">
        <v>208.4</v>
      </c>
      <c r="H1117" s="34">
        <f>Tabela1[[#This Row],[PESO UNI]]*Tabela1[[#This Row],[QTE]]</f>
        <v>208.4</v>
      </c>
      <c r="I1117" s="7">
        <v>0</v>
      </c>
      <c r="J1117" s="8" t="s">
        <v>3140</v>
      </c>
      <c r="K1117" s="8" t="s">
        <v>4320</v>
      </c>
      <c r="L1117" s="9" t="s">
        <v>2984</v>
      </c>
      <c r="M1117" s="10">
        <v>46265</v>
      </c>
      <c r="N1117" s="8" t="s">
        <v>5105</v>
      </c>
      <c r="O1117" s="12"/>
      <c r="P1117" s="13"/>
      <c r="Q1117" s="14">
        <f>Tabela1[[#This Row],[QTDE/ Fabricação]]-Tabela1[[#This Row],[QTE]]</f>
        <v>-1</v>
      </c>
      <c r="R1117" s="18">
        <f t="shared" si="257"/>
        <v>174.01400000000001</v>
      </c>
      <c r="S1117" s="18">
        <f t="shared" si="258"/>
        <v>72.94</v>
      </c>
      <c r="T1117" s="19">
        <f t="shared" si="259"/>
        <v>-135.46</v>
      </c>
      <c r="U1117" s="16">
        <f>IFERROR(SUMIF('LISTA DE EMBARQUE'!B:B,MICRO!E:E,'LISTA DE EMBARQUE'!G:G),"")</f>
        <v>0</v>
      </c>
      <c r="V1117" s="12" t="str">
        <f>IFERROR(VLOOKUP(Tabela1[[#This Row],[COD.MDE]],'LISTA DE EMBARQUE'!B:L,11,0),"")</f>
        <v/>
      </c>
      <c r="W1117" s="13" t="str">
        <f>IFERROR(VLOOKUP(Tabela1[[#This Row],[COD.MDE]],'LISTA DE EMBARQUE'!B:M,12,0),"")</f>
        <v/>
      </c>
      <c r="X1117" s="14">
        <f>IFERROR(Tabela1[[#This Row],[QIANTIDADE EXPEDIDA]]*Tabela1[[#This Row],[PESO UNI]],"")</f>
        <v>0</v>
      </c>
      <c r="Y1117" s="14">
        <f t="shared" si="260"/>
        <v>-1</v>
      </c>
      <c r="Z1117" s="20">
        <f>Tabela1[[#This Row],[PESO TOTAL]]-Tabela1[[#This Row],[Peso Expedido]]</f>
        <v>208.4</v>
      </c>
      <c r="AA1117" s="17">
        <v>1</v>
      </c>
      <c r="AB1117" s="33"/>
      <c r="AC1117" s="33">
        <v>1</v>
      </c>
      <c r="AD1117" s="33">
        <v>0.7</v>
      </c>
      <c r="AE1117" s="33">
        <v>0.7</v>
      </c>
      <c r="AF1117" s="33">
        <v>0.4</v>
      </c>
      <c r="AG1117" s="33">
        <v>0.35</v>
      </c>
      <c r="AH1117" s="33"/>
      <c r="AI1117" s="33"/>
      <c r="AJ1117"/>
      <c r="AK1117"/>
      <c r="AL1117"/>
      <c r="AM1117"/>
      <c r="AN1117"/>
      <c r="AO1117"/>
      <c r="AP1117"/>
      <c r="AQ1117" s="22"/>
      <c r="AR1117" s="24"/>
      <c r="AS1117" s="37"/>
      <c r="AT1117" s="37"/>
      <c r="AU1117" s="37"/>
      <c r="AV1117" s="37"/>
      <c r="AW1117" s="37"/>
    </row>
    <row r="1118" spans="1:49" ht="15.75" customHeight="1" x14ac:dyDescent="0.25">
      <c r="A1118" s="1" t="s">
        <v>5506</v>
      </c>
      <c r="B1118" s="21" t="s">
        <v>5505</v>
      </c>
      <c r="C1118" s="1">
        <v>1</v>
      </c>
      <c r="D1118" s="1" t="s">
        <v>5507</v>
      </c>
      <c r="E1118" s="7">
        <v>4756</v>
      </c>
      <c r="F1118" s="7">
        <v>65</v>
      </c>
      <c r="G1118" s="1">
        <v>208.9</v>
      </c>
      <c r="H1118" s="34">
        <f>Tabela1[[#This Row],[PESO UNI]]*Tabela1[[#This Row],[QTE]]</f>
        <v>208.9</v>
      </c>
      <c r="I1118" s="7">
        <v>0</v>
      </c>
      <c r="J1118" s="8" t="s">
        <v>3140</v>
      </c>
      <c r="K1118" s="8" t="s">
        <v>4320</v>
      </c>
      <c r="L1118" s="9" t="s">
        <v>2984</v>
      </c>
      <c r="M1118" s="10">
        <v>46265</v>
      </c>
      <c r="N1118" s="8" t="s">
        <v>5105</v>
      </c>
      <c r="O1118" s="12"/>
      <c r="P1118" s="13"/>
      <c r="Q1118" s="14">
        <f>Tabela1[[#This Row],[QTDE/ Fabricação]]-Tabela1[[#This Row],[QTE]]</f>
        <v>-1</v>
      </c>
      <c r="R1118" s="18">
        <f t="shared" si="257"/>
        <v>174.4315</v>
      </c>
      <c r="S1118" s="18">
        <f t="shared" si="258"/>
        <v>73.114999999999995</v>
      </c>
      <c r="T1118" s="19">
        <f t="shared" si="259"/>
        <v>-135.78500000000003</v>
      </c>
      <c r="U1118" s="16">
        <f>IFERROR(SUMIF('LISTA DE EMBARQUE'!B:B,MICRO!E:E,'LISTA DE EMBARQUE'!G:G),"")</f>
        <v>0</v>
      </c>
      <c r="V1118" s="12" t="str">
        <f>IFERROR(VLOOKUP(Tabela1[[#This Row],[COD.MDE]],'LISTA DE EMBARQUE'!B:L,11,0),"")</f>
        <v/>
      </c>
      <c r="W1118" s="13" t="str">
        <f>IFERROR(VLOOKUP(Tabela1[[#This Row],[COD.MDE]],'LISTA DE EMBARQUE'!B:M,12,0),"")</f>
        <v/>
      </c>
      <c r="X1118" s="14">
        <f>IFERROR(Tabela1[[#This Row],[QIANTIDADE EXPEDIDA]]*Tabela1[[#This Row],[PESO UNI]],"")</f>
        <v>0</v>
      </c>
      <c r="Y1118" s="14">
        <f t="shared" si="260"/>
        <v>-1</v>
      </c>
      <c r="Z1118" s="20">
        <f>Tabela1[[#This Row],[PESO TOTAL]]-Tabela1[[#This Row],[Peso Expedido]]</f>
        <v>208.9</v>
      </c>
      <c r="AA1118" s="17">
        <v>1</v>
      </c>
      <c r="AB1118" s="33"/>
      <c r="AC1118" s="33">
        <v>1</v>
      </c>
      <c r="AD1118" s="33">
        <v>0.7</v>
      </c>
      <c r="AE1118" s="33">
        <v>0.7</v>
      </c>
      <c r="AF1118" s="33">
        <v>0.4</v>
      </c>
      <c r="AG1118" s="33">
        <v>0.35</v>
      </c>
      <c r="AH1118" s="33"/>
      <c r="AI1118" s="33"/>
      <c r="AJ1118"/>
      <c r="AK1118"/>
      <c r="AL1118"/>
      <c r="AM1118"/>
      <c r="AN1118"/>
      <c r="AO1118"/>
      <c r="AP1118"/>
      <c r="AQ1118" s="22"/>
      <c r="AR1118" s="24"/>
      <c r="AS1118" s="37"/>
      <c r="AT1118" s="37"/>
      <c r="AU1118" s="37"/>
      <c r="AV1118" s="37"/>
      <c r="AW1118" s="37"/>
    </row>
    <row r="1119" spans="1:49" ht="15.75" customHeight="1" x14ac:dyDescent="0.25">
      <c r="A1119" s="1" t="s">
        <v>5510</v>
      </c>
      <c r="B1119" s="21" t="s">
        <v>5511</v>
      </c>
      <c r="C1119" s="1">
        <v>1</v>
      </c>
      <c r="D1119" s="1" t="s">
        <v>5520</v>
      </c>
      <c r="E1119" s="7">
        <v>4757</v>
      </c>
      <c r="F1119" s="7">
        <v>65</v>
      </c>
      <c r="G1119" s="1">
        <v>136.80000000000001</v>
      </c>
      <c r="H1119" s="34">
        <f>Tabela1[[#This Row],[PESO UNI]]*Tabela1[[#This Row],[QTE]]</f>
        <v>136.80000000000001</v>
      </c>
      <c r="I1119" s="7">
        <v>0</v>
      </c>
      <c r="J1119" s="8" t="s">
        <v>3140</v>
      </c>
      <c r="K1119" s="8" t="s">
        <v>4320</v>
      </c>
      <c r="L1119" s="9" t="s">
        <v>2984</v>
      </c>
      <c r="M1119" s="10">
        <v>46265</v>
      </c>
      <c r="N1119" s="8" t="s">
        <v>5105</v>
      </c>
      <c r="O1119" s="12"/>
      <c r="P1119" s="13"/>
      <c r="Q1119" s="14">
        <f>Tabela1[[#This Row],[QTDE/ Fabricação]]-Tabela1[[#This Row],[QTE]]</f>
        <v>-1</v>
      </c>
      <c r="R1119" s="18">
        <f t="shared" si="257"/>
        <v>114.22800000000001</v>
      </c>
      <c r="S1119" s="18">
        <f t="shared" si="258"/>
        <v>47.88</v>
      </c>
      <c r="T1119" s="19">
        <f t="shared" si="259"/>
        <v>-88.920000000000016</v>
      </c>
      <c r="U1119" s="16">
        <f>IFERROR(SUMIF('LISTA DE EMBARQUE'!B:B,MICRO!E:E,'LISTA DE EMBARQUE'!G:G),"")</f>
        <v>0</v>
      </c>
      <c r="V1119" s="12" t="str">
        <f>IFERROR(VLOOKUP(Tabela1[[#This Row],[COD.MDE]],'LISTA DE EMBARQUE'!B:L,11,0),"")</f>
        <v/>
      </c>
      <c r="W1119" s="13" t="str">
        <f>IFERROR(VLOOKUP(Tabela1[[#This Row],[COD.MDE]],'LISTA DE EMBARQUE'!B:M,12,0),"")</f>
        <v/>
      </c>
      <c r="X1119" s="14">
        <f>IFERROR(Tabela1[[#This Row],[QIANTIDADE EXPEDIDA]]*Tabela1[[#This Row],[PESO UNI]],"")</f>
        <v>0</v>
      </c>
      <c r="Y1119" s="14">
        <f t="shared" si="260"/>
        <v>-1</v>
      </c>
      <c r="Z1119" s="20">
        <f>Tabela1[[#This Row],[PESO TOTAL]]-Tabela1[[#This Row],[Peso Expedido]]</f>
        <v>136.80000000000001</v>
      </c>
      <c r="AA1119" s="17">
        <v>1</v>
      </c>
      <c r="AB1119" s="33"/>
      <c r="AC1119" s="33">
        <v>1</v>
      </c>
      <c r="AD1119" s="33">
        <v>0.7</v>
      </c>
      <c r="AE1119" s="33">
        <v>0.7</v>
      </c>
      <c r="AF1119" s="33">
        <v>0.4</v>
      </c>
      <c r="AG1119" s="33">
        <v>0.35</v>
      </c>
      <c r="AH1119" s="33"/>
      <c r="AI1119" s="33"/>
      <c r="AJ1119"/>
      <c r="AK1119"/>
      <c r="AL1119"/>
      <c r="AM1119"/>
      <c r="AN1119"/>
      <c r="AO1119"/>
      <c r="AP1119"/>
      <c r="AQ1119" s="22"/>
      <c r="AR1119" s="24"/>
      <c r="AS1119" s="37"/>
      <c r="AT1119" s="37"/>
      <c r="AU1119" s="37"/>
      <c r="AV1119" s="37"/>
      <c r="AW1119" s="37"/>
    </row>
    <row r="1120" spans="1:49" ht="15.75" customHeight="1" x14ac:dyDescent="0.25">
      <c r="A1120" s="1" t="s">
        <v>5510</v>
      </c>
      <c r="B1120" s="21" t="s">
        <v>5511</v>
      </c>
      <c r="C1120" s="1">
        <v>1</v>
      </c>
      <c r="D1120" s="1" t="s">
        <v>5519</v>
      </c>
      <c r="E1120" s="7">
        <v>4758</v>
      </c>
      <c r="F1120" s="7">
        <v>65</v>
      </c>
      <c r="G1120" s="1">
        <v>106.8</v>
      </c>
      <c r="H1120" s="34">
        <f>Tabela1[[#This Row],[PESO UNI]]*Tabela1[[#This Row],[QTE]]</f>
        <v>106.8</v>
      </c>
      <c r="I1120" s="7">
        <v>0</v>
      </c>
      <c r="J1120" s="8" t="s">
        <v>3140</v>
      </c>
      <c r="K1120" s="8" t="s">
        <v>4320</v>
      </c>
      <c r="L1120" s="9" t="s">
        <v>2984</v>
      </c>
      <c r="M1120" s="10">
        <v>46265</v>
      </c>
      <c r="N1120" s="8" t="s">
        <v>5105</v>
      </c>
      <c r="O1120" s="12"/>
      <c r="P1120" s="13"/>
      <c r="Q1120" s="14">
        <f>Tabela1[[#This Row],[QTDE/ Fabricação]]-Tabela1[[#This Row],[QTE]]</f>
        <v>-1</v>
      </c>
      <c r="R1120" s="18">
        <f t="shared" si="257"/>
        <v>89.177999999999997</v>
      </c>
      <c r="S1120" s="18">
        <f t="shared" si="258"/>
        <v>37.379999999999995</v>
      </c>
      <c r="T1120" s="19">
        <f t="shared" si="259"/>
        <v>-69.42</v>
      </c>
      <c r="U1120" s="16">
        <f>IFERROR(SUMIF('LISTA DE EMBARQUE'!B:B,MICRO!E:E,'LISTA DE EMBARQUE'!G:G),"")</f>
        <v>0</v>
      </c>
      <c r="V1120" s="12" t="str">
        <f>IFERROR(VLOOKUP(Tabela1[[#This Row],[COD.MDE]],'LISTA DE EMBARQUE'!B:L,11,0),"")</f>
        <v/>
      </c>
      <c r="W1120" s="13" t="str">
        <f>IFERROR(VLOOKUP(Tabela1[[#This Row],[COD.MDE]],'LISTA DE EMBARQUE'!B:M,12,0),"")</f>
        <v/>
      </c>
      <c r="X1120" s="14">
        <f>IFERROR(Tabela1[[#This Row],[QIANTIDADE EXPEDIDA]]*Tabela1[[#This Row],[PESO UNI]],"")</f>
        <v>0</v>
      </c>
      <c r="Y1120" s="14">
        <f t="shared" si="260"/>
        <v>-1</v>
      </c>
      <c r="Z1120" s="20">
        <f>Tabela1[[#This Row],[PESO TOTAL]]-Tabela1[[#This Row],[Peso Expedido]]</f>
        <v>106.8</v>
      </c>
      <c r="AA1120" s="17">
        <v>1</v>
      </c>
      <c r="AB1120" s="33"/>
      <c r="AC1120" s="33">
        <v>1</v>
      </c>
      <c r="AD1120" s="33">
        <v>0.7</v>
      </c>
      <c r="AE1120" s="33">
        <v>0.7</v>
      </c>
      <c r="AF1120" s="33">
        <v>0.4</v>
      </c>
      <c r="AG1120" s="33">
        <v>0.35</v>
      </c>
      <c r="AH1120" s="33"/>
      <c r="AI1120" s="33"/>
      <c r="AJ1120"/>
      <c r="AK1120"/>
      <c r="AL1120"/>
      <c r="AM1120"/>
      <c r="AN1120"/>
      <c r="AO1120"/>
      <c r="AP1120"/>
      <c r="AQ1120" s="22"/>
      <c r="AR1120" s="24"/>
      <c r="AS1120" s="37"/>
      <c r="AT1120" s="37"/>
      <c r="AU1120" s="37"/>
      <c r="AV1120" s="37"/>
      <c r="AW1120" s="37"/>
    </row>
    <row r="1121" spans="1:49" ht="15.75" customHeight="1" x14ac:dyDescent="0.25">
      <c r="A1121" s="1" t="s">
        <v>5512</v>
      </c>
      <c r="B1121" s="21" t="s">
        <v>5513</v>
      </c>
      <c r="C1121" s="1">
        <v>1</v>
      </c>
      <c r="D1121" s="1" t="s">
        <v>5518</v>
      </c>
      <c r="E1121" s="7">
        <v>4759</v>
      </c>
      <c r="F1121" s="7">
        <v>65</v>
      </c>
      <c r="G1121" s="1">
        <v>136.80000000000001</v>
      </c>
      <c r="H1121" s="34">
        <f>Tabela1[[#This Row],[PESO UNI]]*Tabela1[[#This Row],[QTE]]</f>
        <v>136.80000000000001</v>
      </c>
      <c r="I1121" s="7">
        <v>0</v>
      </c>
      <c r="J1121" s="8" t="s">
        <v>3140</v>
      </c>
      <c r="K1121" s="8" t="s">
        <v>4320</v>
      </c>
      <c r="L1121" s="9" t="s">
        <v>2984</v>
      </c>
      <c r="M1121" s="10">
        <v>46265</v>
      </c>
      <c r="N1121" s="8" t="s">
        <v>5105</v>
      </c>
      <c r="O1121" s="12"/>
      <c r="P1121" s="13"/>
      <c r="Q1121" s="14">
        <f>Tabela1[[#This Row],[QTDE/ Fabricação]]-Tabela1[[#This Row],[QTE]]</f>
        <v>-1</v>
      </c>
      <c r="R1121" s="18">
        <f t="shared" si="257"/>
        <v>114.22800000000001</v>
      </c>
      <c r="S1121" s="18">
        <f t="shared" si="258"/>
        <v>47.88</v>
      </c>
      <c r="T1121" s="19">
        <f t="shared" si="259"/>
        <v>-88.920000000000016</v>
      </c>
      <c r="U1121" s="16">
        <f>IFERROR(SUMIF('LISTA DE EMBARQUE'!B:B,MICRO!E:E,'LISTA DE EMBARQUE'!G:G),"")</f>
        <v>0</v>
      </c>
      <c r="V1121" s="12" t="str">
        <f>IFERROR(VLOOKUP(Tabela1[[#This Row],[COD.MDE]],'LISTA DE EMBARQUE'!B:L,11,0),"")</f>
        <v/>
      </c>
      <c r="W1121" s="13" t="str">
        <f>IFERROR(VLOOKUP(Tabela1[[#This Row],[COD.MDE]],'LISTA DE EMBARQUE'!B:M,12,0),"")</f>
        <v/>
      </c>
      <c r="X1121" s="14">
        <f>IFERROR(Tabela1[[#This Row],[QIANTIDADE EXPEDIDA]]*Tabela1[[#This Row],[PESO UNI]],"")</f>
        <v>0</v>
      </c>
      <c r="Y1121" s="14">
        <f t="shared" si="260"/>
        <v>-1</v>
      </c>
      <c r="Z1121" s="20">
        <f>Tabela1[[#This Row],[PESO TOTAL]]-Tabela1[[#This Row],[Peso Expedido]]</f>
        <v>136.80000000000001</v>
      </c>
      <c r="AA1121" s="17">
        <v>1</v>
      </c>
      <c r="AB1121" s="33"/>
      <c r="AC1121" s="33">
        <v>1</v>
      </c>
      <c r="AD1121" s="33">
        <v>0.7</v>
      </c>
      <c r="AE1121" s="33">
        <v>0.7</v>
      </c>
      <c r="AF1121" s="33">
        <v>0.4</v>
      </c>
      <c r="AG1121" s="33">
        <v>0.35</v>
      </c>
      <c r="AH1121" s="33"/>
      <c r="AI1121" s="33"/>
      <c r="AJ1121"/>
      <c r="AK1121"/>
      <c r="AL1121"/>
      <c r="AM1121"/>
      <c r="AN1121"/>
      <c r="AO1121"/>
      <c r="AP1121"/>
      <c r="AQ1121" s="22"/>
      <c r="AR1121" s="24"/>
      <c r="AS1121" s="37"/>
      <c r="AT1121" s="37"/>
      <c r="AU1121" s="37"/>
      <c r="AV1121" s="37"/>
      <c r="AW1121" s="37"/>
    </row>
    <row r="1122" spans="1:49" ht="15.75" customHeight="1" x14ac:dyDescent="0.25">
      <c r="A1122" s="1" t="s">
        <v>5512</v>
      </c>
      <c r="B1122" s="21" t="s">
        <v>5513</v>
      </c>
      <c r="C1122" s="1">
        <v>1</v>
      </c>
      <c r="D1122" s="1" t="s">
        <v>5517</v>
      </c>
      <c r="E1122" s="7">
        <v>4760</v>
      </c>
      <c r="F1122" s="7">
        <v>65</v>
      </c>
      <c r="G1122" s="1">
        <v>106.8</v>
      </c>
      <c r="H1122" s="34">
        <f>Tabela1[[#This Row],[PESO UNI]]*Tabela1[[#This Row],[QTE]]</f>
        <v>106.8</v>
      </c>
      <c r="I1122" s="7">
        <v>0</v>
      </c>
      <c r="J1122" s="8" t="s">
        <v>3140</v>
      </c>
      <c r="K1122" s="8" t="s">
        <v>4320</v>
      </c>
      <c r="L1122" s="9" t="s">
        <v>2984</v>
      </c>
      <c r="M1122" s="10">
        <v>46265</v>
      </c>
      <c r="N1122" s="8" t="s">
        <v>5105</v>
      </c>
      <c r="O1122" s="12"/>
      <c r="P1122" s="13"/>
      <c r="Q1122" s="14">
        <f>Tabela1[[#This Row],[QTDE/ Fabricação]]-Tabela1[[#This Row],[QTE]]</f>
        <v>-1</v>
      </c>
      <c r="R1122" s="18">
        <f t="shared" si="257"/>
        <v>89.177999999999997</v>
      </c>
      <c r="S1122" s="18">
        <f t="shared" si="258"/>
        <v>37.379999999999995</v>
      </c>
      <c r="T1122" s="19">
        <f t="shared" si="259"/>
        <v>-69.42</v>
      </c>
      <c r="U1122" s="16">
        <f>IFERROR(SUMIF('LISTA DE EMBARQUE'!B:B,MICRO!E:E,'LISTA DE EMBARQUE'!G:G),"")</f>
        <v>0</v>
      </c>
      <c r="V1122" s="12" t="str">
        <f>IFERROR(VLOOKUP(Tabela1[[#This Row],[COD.MDE]],'LISTA DE EMBARQUE'!B:L,11,0),"")</f>
        <v/>
      </c>
      <c r="W1122" s="13" t="str">
        <f>IFERROR(VLOOKUP(Tabela1[[#This Row],[COD.MDE]],'LISTA DE EMBARQUE'!B:M,12,0),"")</f>
        <v/>
      </c>
      <c r="X1122" s="14">
        <f>IFERROR(Tabela1[[#This Row],[QIANTIDADE EXPEDIDA]]*Tabela1[[#This Row],[PESO UNI]],"")</f>
        <v>0</v>
      </c>
      <c r="Y1122" s="14">
        <f t="shared" si="260"/>
        <v>-1</v>
      </c>
      <c r="Z1122" s="20">
        <f>Tabela1[[#This Row],[PESO TOTAL]]-Tabela1[[#This Row],[Peso Expedido]]</f>
        <v>106.8</v>
      </c>
      <c r="AA1122" s="17">
        <v>1</v>
      </c>
      <c r="AB1122" s="33"/>
      <c r="AC1122" s="33">
        <v>1</v>
      </c>
      <c r="AD1122" s="33">
        <v>0.7</v>
      </c>
      <c r="AE1122" s="33">
        <v>0.7</v>
      </c>
      <c r="AF1122" s="33">
        <v>0.4</v>
      </c>
      <c r="AG1122" s="33">
        <v>0.35</v>
      </c>
      <c r="AH1122" s="33"/>
      <c r="AI1122" s="33"/>
      <c r="AJ1122"/>
      <c r="AK1122"/>
      <c r="AL1122"/>
      <c r="AM1122"/>
      <c r="AN1122"/>
      <c r="AO1122"/>
      <c r="AP1122"/>
      <c r="AQ1122" s="22"/>
      <c r="AR1122" s="24"/>
      <c r="AS1122" s="37"/>
      <c r="AT1122" s="37"/>
      <c r="AU1122" s="37"/>
      <c r="AV1122" s="37"/>
      <c r="AW1122" s="37"/>
    </row>
    <row r="1123" spans="1:49" ht="15.75" customHeight="1" x14ac:dyDescent="0.25">
      <c r="A1123" s="1" t="s">
        <v>5514</v>
      </c>
      <c r="B1123" s="21" t="s">
        <v>5515</v>
      </c>
      <c r="C1123" s="1">
        <v>3</v>
      </c>
      <c r="D1123" s="1" t="s">
        <v>5516</v>
      </c>
      <c r="E1123" s="7">
        <v>4761</v>
      </c>
      <c r="F1123" s="7">
        <v>65</v>
      </c>
      <c r="G1123" s="1">
        <v>64.099999999999994</v>
      </c>
      <c r="H1123" s="34">
        <f>Tabela1[[#This Row],[PESO UNI]]*Tabela1[[#This Row],[QTE]]</f>
        <v>192.29999999999998</v>
      </c>
      <c r="I1123" s="7" t="s">
        <v>5582</v>
      </c>
      <c r="J1123" s="8" t="s">
        <v>3140</v>
      </c>
      <c r="K1123" s="8" t="s">
        <v>4320</v>
      </c>
      <c r="L1123" s="9" t="s">
        <v>2984</v>
      </c>
      <c r="M1123" s="10">
        <v>46265</v>
      </c>
      <c r="N1123" s="8" t="s">
        <v>5105</v>
      </c>
      <c r="O1123" s="12"/>
      <c r="P1123" s="13"/>
      <c r="Q1123" s="14">
        <f>Tabela1[[#This Row],[QTDE/ Fabricação]]-Tabela1[[#This Row],[QTE]]</f>
        <v>-3</v>
      </c>
      <c r="R1123" s="18">
        <f t="shared" si="257"/>
        <v>160.57049999999998</v>
      </c>
      <c r="S1123" s="18">
        <f t="shared" si="258"/>
        <v>67.304999999999993</v>
      </c>
      <c r="T1123" s="19">
        <f t="shared" si="259"/>
        <v>-124.99499999999999</v>
      </c>
      <c r="U1123" s="16">
        <f>IFERROR(SUMIF('LISTA DE EMBARQUE'!B:B,MICRO!E:E,'LISTA DE EMBARQUE'!G:G),"")</f>
        <v>0</v>
      </c>
      <c r="V1123" s="12" t="str">
        <f>IFERROR(VLOOKUP(Tabela1[[#This Row],[COD.MDE]],'LISTA DE EMBARQUE'!B:L,11,0),"")</f>
        <v/>
      </c>
      <c r="W1123" s="13" t="str">
        <f>IFERROR(VLOOKUP(Tabela1[[#This Row],[COD.MDE]],'LISTA DE EMBARQUE'!B:M,12,0),"")</f>
        <v/>
      </c>
      <c r="X1123" s="14">
        <f>IFERROR(Tabela1[[#This Row],[QIANTIDADE EXPEDIDA]]*Tabela1[[#This Row],[PESO UNI]],"")</f>
        <v>0</v>
      </c>
      <c r="Y1123" s="14">
        <f t="shared" si="260"/>
        <v>-3</v>
      </c>
      <c r="Z1123" s="20">
        <f>Tabela1[[#This Row],[PESO TOTAL]]-Tabela1[[#This Row],[Peso Expedido]]</f>
        <v>192.29999999999998</v>
      </c>
      <c r="AA1123" s="17">
        <v>1</v>
      </c>
      <c r="AB1123" s="33"/>
      <c r="AC1123" s="33">
        <v>1</v>
      </c>
      <c r="AD1123" s="33">
        <v>0.7</v>
      </c>
      <c r="AE1123" s="33">
        <v>0.7</v>
      </c>
      <c r="AF1123" s="33">
        <v>0.4</v>
      </c>
      <c r="AG1123" s="33">
        <v>0.35</v>
      </c>
      <c r="AH1123" s="33"/>
      <c r="AI1123" s="33"/>
      <c r="AJ1123"/>
      <c r="AK1123"/>
      <c r="AL1123"/>
      <c r="AM1123"/>
      <c r="AN1123"/>
      <c r="AO1123"/>
      <c r="AP1123"/>
      <c r="AQ1123" s="22"/>
      <c r="AR1123" s="24"/>
      <c r="AS1123" s="37"/>
      <c r="AT1123" s="37"/>
      <c r="AU1123" s="37"/>
      <c r="AV1123" s="37"/>
      <c r="AW1123" s="37"/>
    </row>
    <row r="1124" spans="1:49" ht="15.75" customHeight="1" x14ac:dyDescent="0.25">
      <c r="A1124" s="1" t="s">
        <v>5514</v>
      </c>
      <c r="B1124" s="21" t="s">
        <v>5515</v>
      </c>
      <c r="C1124" s="1">
        <v>1</v>
      </c>
      <c r="D1124" s="1" t="s">
        <v>5521</v>
      </c>
      <c r="E1124" s="7">
        <v>4762</v>
      </c>
      <c r="F1124" s="7">
        <v>65</v>
      </c>
      <c r="G1124" s="1">
        <v>83.4</v>
      </c>
      <c r="H1124" s="34">
        <f>Tabela1[[#This Row],[PESO UNI]]*Tabela1[[#This Row],[QTE]]</f>
        <v>83.4</v>
      </c>
      <c r="I1124" s="7" t="s">
        <v>5582</v>
      </c>
      <c r="J1124" s="8" t="s">
        <v>3140</v>
      </c>
      <c r="K1124" s="8" t="s">
        <v>4320</v>
      </c>
      <c r="L1124" s="9" t="s">
        <v>2984</v>
      </c>
      <c r="M1124" s="10">
        <v>46265</v>
      </c>
      <c r="N1124" s="8" t="s">
        <v>5105</v>
      </c>
      <c r="O1124" s="12"/>
      <c r="P1124" s="13"/>
      <c r="Q1124" s="14">
        <f>Tabela1[[#This Row],[QTDE/ Fabricação]]-Tabela1[[#This Row],[QTE]]</f>
        <v>-1</v>
      </c>
      <c r="R1124" s="18">
        <f t="shared" si="257"/>
        <v>69.638999999999996</v>
      </c>
      <c r="S1124" s="18">
        <f t="shared" si="258"/>
        <v>29.19</v>
      </c>
      <c r="T1124" s="19">
        <f t="shared" si="259"/>
        <v>-54.210000000000008</v>
      </c>
      <c r="U1124" s="16">
        <f>IFERROR(SUMIF('LISTA DE EMBARQUE'!B:B,MICRO!E:E,'LISTA DE EMBARQUE'!G:G),"")</f>
        <v>0</v>
      </c>
      <c r="V1124" s="12" t="str">
        <f>IFERROR(VLOOKUP(Tabela1[[#This Row],[COD.MDE]],'LISTA DE EMBARQUE'!B:L,11,0),"")</f>
        <v/>
      </c>
      <c r="W1124" s="13" t="str">
        <f>IFERROR(VLOOKUP(Tabela1[[#This Row],[COD.MDE]],'LISTA DE EMBARQUE'!B:M,12,0),"")</f>
        <v/>
      </c>
      <c r="X1124" s="14">
        <f>IFERROR(Tabela1[[#This Row],[QIANTIDADE EXPEDIDA]]*Tabela1[[#This Row],[PESO UNI]],"")</f>
        <v>0</v>
      </c>
      <c r="Y1124" s="14">
        <f t="shared" si="260"/>
        <v>-1</v>
      </c>
      <c r="Z1124" s="20">
        <f>Tabela1[[#This Row],[PESO TOTAL]]-Tabela1[[#This Row],[Peso Expedido]]</f>
        <v>83.4</v>
      </c>
      <c r="AA1124" s="17">
        <v>1</v>
      </c>
      <c r="AB1124" s="33"/>
      <c r="AC1124" s="33">
        <v>1</v>
      </c>
      <c r="AD1124" s="33">
        <v>0.7</v>
      </c>
      <c r="AE1124" s="33">
        <v>0.7</v>
      </c>
      <c r="AF1124" s="33">
        <v>0.4</v>
      </c>
      <c r="AG1124" s="33">
        <v>0.35</v>
      </c>
      <c r="AH1124" s="33"/>
      <c r="AI1124" s="33"/>
      <c r="AJ1124"/>
      <c r="AK1124"/>
      <c r="AL1124"/>
      <c r="AM1124"/>
      <c r="AN1124"/>
      <c r="AO1124"/>
      <c r="AP1124"/>
      <c r="AQ1124" s="22"/>
      <c r="AR1124" s="24"/>
      <c r="AS1124" s="37"/>
      <c r="AT1124" s="37"/>
      <c r="AU1124" s="37"/>
      <c r="AV1124" s="37"/>
      <c r="AW1124" s="37"/>
    </row>
    <row r="1125" spans="1:49" ht="15.75" customHeight="1" x14ac:dyDescent="0.25">
      <c r="A1125" s="1" t="s">
        <v>5514</v>
      </c>
      <c r="B1125" s="21" t="s">
        <v>5515</v>
      </c>
      <c r="C1125" s="1">
        <v>1</v>
      </c>
      <c r="D1125" s="1" t="s">
        <v>5522</v>
      </c>
      <c r="E1125" s="7">
        <v>4763</v>
      </c>
      <c r="F1125" s="7">
        <v>65</v>
      </c>
      <c r="G1125" s="1">
        <v>61.1</v>
      </c>
      <c r="H1125" s="34">
        <f>Tabela1[[#This Row],[PESO UNI]]*Tabela1[[#This Row],[QTE]]</f>
        <v>61.1</v>
      </c>
      <c r="I1125" s="7" t="s">
        <v>5582</v>
      </c>
      <c r="J1125" s="8" t="s">
        <v>3140</v>
      </c>
      <c r="K1125" s="8" t="s">
        <v>4320</v>
      </c>
      <c r="L1125" s="9" t="s">
        <v>2984</v>
      </c>
      <c r="M1125" s="10">
        <v>46265</v>
      </c>
      <c r="N1125" s="8" t="s">
        <v>5105</v>
      </c>
      <c r="O1125" s="12"/>
      <c r="P1125" s="13"/>
      <c r="Q1125" s="14">
        <f>Tabela1[[#This Row],[QTDE/ Fabricação]]-Tabela1[[#This Row],[QTE]]</f>
        <v>-1</v>
      </c>
      <c r="R1125" s="18">
        <f t="shared" si="257"/>
        <v>51.018499999999996</v>
      </c>
      <c r="S1125" s="18">
        <f t="shared" si="258"/>
        <v>21.384999999999998</v>
      </c>
      <c r="T1125" s="19">
        <f t="shared" si="259"/>
        <v>-39.715000000000003</v>
      </c>
      <c r="U1125" s="16">
        <f>IFERROR(SUMIF('LISTA DE EMBARQUE'!B:B,MICRO!E:E,'LISTA DE EMBARQUE'!G:G),"")</f>
        <v>0</v>
      </c>
      <c r="V1125" s="12" t="str">
        <f>IFERROR(VLOOKUP(Tabela1[[#This Row],[COD.MDE]],'LISTA DE EMBARQUE'!B:L,11,0),"")</f>
        <v/>
      </c>
      <c r="W1125" s="13" t="str">
        <f>IFERROR(VLOOKUP(Tabela1[[#This Row],[COD.MDE]],'LISTA DE EMBARQUE'!B:M,12,0),"")</f>
        <v/>
      </c>
      <c r="X1125" s="14">
        <f>IFERROR(Tabela1[[#This Row],[QIANTIDADE EXPEDIDA]]*Tabela1[[#This Row],[PESO UNI]],"")</f>
        <v>0</v>
      </c>
      <c r="Y1125" s="14">
        <f t="shared" si="260"/>
        <v>-1</v>
      </c>
      <c r="Z1125" s="20">
        <f>Tabela1[[#This Row],[PESO TOTAL]]-Tabela1[[#This Row],[Peso Expedido]]</f>
        <v>61.1</v>
      </c>
      <c r="AA1125" s="17">
        <v>1</v>
      </c>
      <c r="AB1125" s="33"/>
      <c r="AC1125" s="33">
        <v>1</v>
      </c>
      <c r="AD1125" s="33">
        <v>0.7</v>
      </c>
      <c r="AE1125" s="33">
        <v>0.7</v>
      </c>
      <c r="AF1125" s="33">
        <v>0.4</v>
      </c>
      <c r="AG1125" s="33">
        <v>0.35</v>
      </c>
      <c r="AH1125" s="33"/>
      <c r="AI1125" s="33"/>
      <c r="AJ1125"/>
      <c r="AK1125"/>
      <c r="AL1125"/>
      <c r="AM1125"/>
      <c r="AN1125"/>
      <c r="AO1125"/>
      <c r="AP1125"/>
      <c r="AQ1125" s="22"/>
      <c r="AR1125" s="24"/>
      <c r="AS1125" s="37"/>
      <c r="AT1125" s="37"/>
      <c r="AU1125" s="37"/>
      <c r="AV1125" s="37"/>
      <c r="AW1125" s="37"/>
    </row>
    <row r="1126" spans="1:49" ht="15.75" customHeight="1" x14ac:dyDescent="0.25">
      <c r="A1126" s="1" t="s">
        <v>5514</v>
      </c>
      <c r="B1126" s="21" t="s">
        <v>5515</v>
      </c>
      <c r="C1126" s="1">
        <v>1</v>
      </c>
      <c r="D1126" s="1" t="s">
        <v>5523</v>
      </c>
      <c r="E1126" s="7">
        <v>4764</v>
      </c>
      <c r="F1126" s="7">
        <v>65</v>
      </c>
      <c r="G1126" s="1">
        <v>87.1</v>
      </c>
      <c r="H1126" s="34">
        <f>Tabela1[[#This Row],[PESO UNI]]*Tabela1[[#This Row],[QTE]]</f>
        <v>87.1</v>
      </c>
      <c r="I1126" s="7" t="s">
        <v>5582</v>
      </c>
      <c r="J1126" s="8" t="s">
        <v>3140</v>
      </c>
      <c r="K1126" s="8" t="s">
        <v>4320</v>
      </c>
      <c r="L1126" s="9" t="s">
        <v>2984</v>
      </c>
      <c r="M1126" s="10">
        <v>46265</v>
      </c>
      <c r="N1126" s="8" t="s">
        <v>5105</v>
      </c>
      <c r="O1126" s="12"/>
      <c r="P1126" s="13"/>
      <c r="Q1126" s="14">
        <f>Tabela1[[#This Row],[QTDE/ Fabricação]]-Tabela1[[#This Row],[QTE]]</f>
        <v>-1</v>
      </c>
      <c r="R1126" s="18">
        <f t="shared" si="257"/>
        <v>72.728499999999997</v>
      </c>
      <c r="S1126" s="18">
        <f t="shared" si="258"/>
        <v>30.484999999999996</v>
      </c>
      <c r="T1126" s="19">
        <f t="shared" si="259"/>
        <v>-56.614999999999995</v>
      </c>
      <c r="U1126" s="16">
        <f>IFERROR(SUMIF('LISTA DE EMBARQUE'!B:B,MICRO!E:E,'LISTA DE EMBARQUE'!G:G),"")</f>
        <v>0</v>
      </c>
      <c r="V1126" s="12" t="str">
        <f>IFERROR(VLOOKUP(Tabela1[[#This Row],[COD.MDE]],'LISTA DE EMBARQUE'!B:L,11,0),"")</f>
        <v/>
      </c>
      <c r="W1126" s="13" t="str">
        <f>IFERROR(VLOOKUP(Tabela1[[#This Row],[COD.MDE]],'LISTA DE EMBARQUE'!B:M,12,0),"")</f>
        <v/>
      </c>
      <c r="X1126" s="14">
        <f>IFERROR(Tabela1[[#This Row],[QIANTIDADE EXPEDIDA]]*Tabela1[[#This Row],[PESO UNI]],"")</f>
        <v>0</v>
      </c>
      <c r="Y1126" s="14">
        <f t="shared" si="260"/>
        <v>-1</v>
      </c>
      <c r="Z1126" s="20">
        <f>Tabela1[[#This Row],[PESO TOTAL]]-Tabela1[[#This Row],[Peso Expedido]]</f>
        <v>87.1</v>
      </c>
      <c r="AA1126" s="17">
        <v>1</v>
      </c>
      <c r="AB1126" s="33"/>
      <c r="AC1126" s="33">
        <v>1</v>
      </c>
      <c r="AD1126" s="33">
        <v>0.7</v>
      </c>
      <c r="AE1126" s="33">
        <v>0.7</v>
      </c>
      <c r="AF1126" s="33">
        <v>0.4</v>
      </c>
      <c r="AG1126" s="33">
        <v>0.35</v>
      </c>
      <c r="AH1126" s="33"/>
      <c r="AI1126" s="33"/>
      <c r="AJ1126"/>
      <c r="AK1126"/>
      <c r="AL1126"/>
      <c r="AM1126"/>
      <c r="AN1126"/>
      <c r="AO1126"/>
      <c r="AP1126"/>
      <c r="AQ1126" s="22"/>
      <c r="AR1126" s="24"/>
      <c r="AS1126" s="37"/>
      <c r="AT1126" s="37"/>
      <c r="AU1126" s="37"/>
      <c r="AV1126" s="37"/>
      <c r="AW1126" s="37"/>
    </row>
    <row r="1127" spans="1:49" ht="15.75" customHeight="1" x14ac:dyDescent="0.25">
      <c r="A1127" s="1" t="s">
        <v>5514</v>
      </c>
      <c r="B1127" s="21" t="s">
        <v>5515</v>
      </c>
      <c r="C1127" s="1">
        <v>1</v>
      </c>
      <c r="D1127" s="1" t="s">
        <v>5524</v>
      </c>
      <c r="E1127" s="7">
        <v>4765</v>
      </c>
      <c r="F1127" s="7">
        <v>65</v>
      </c>
      <c r="G1127" s="1">
        <v>79.2</v>
      </c>
      <c r="H1127" s="34">
        <f>Tabela1[[#This Row],[PESO UNI]]*Tabela1[[#This Row],[QTE]]</f>
        <v>79.2</v>
      </c>
      <c r="I1127" s="7" t="s">
        <v>5582</v>
      </c>
      <c r="J1127" s="8" t="s">
        <v>3140</v>
      </c>
      <c r="K1127" s="8" t="s">
        <v>4320</v>
      </c>
      <c r="L1127" s="9" t="s">
        <v>2984</v>
      </c>
      <c r="M1127" s="10">
        <v>46265</v>
      </c>
      <c r="N1127" s="8" t="s">
        <v>5105</v>
      </c>
      <c r="O1127" s="12"/>
      <c r="P1127" s="13"/>
      <c r="Q1127" s="14">
        <f>Tabela1[[#This Row],[QTDE/ Fabricação]]-Tabela1[[#This Row],[QTE]]</f>
        <v>-1</v>
      </c>
      <c r="R1127" s="18">
        <f t="shared" si="257"/>
        <v>66.132000000000005</v>
      </c>
      <c r="S1127" s="18">
        <f t="shared" si="258"/>
        <v>27.72</v>
      </c>
      <c r="T1127" s="19">
        <f t="shared" si="259"/>
        <v>-51.480000000000004</v>
      </c>
      <c r="U1127" s="16">
        <f>IFERROR(SUMIF('LISTA DE EMBARQUE'!B:B,MICRO!E:E,'LISTA DE EMBARQUE'!G:G),"")</f>
        <v>0</v>
      </c>
      <c r="V1127" s="12" t="str">
        <f>IFERROR(VLOOKUP(Tabela1[[#This Row],[COD.MDE]],'LISTA DE EMBARQUE'!B:L,11,0),"")</f>
        <v/>
      </c>
      <c r="W1127" s="13" t="str">
        <f>IFERROR(VLOOKUP(Tabela1[[#This Row],[COD.MDE]],'LISTA DE EMBARQUE'!B:M,12,0),"")</f>
        <v/>
      </c>
      <c r="X1127" s="14">
        <f>IFERROR(Tabela1[[#This Row],[QIANTIDADE EXPEDIDA]]*Tabela1[[#This Row],[PESO UNI]],"")</f>
        <v>0</v>
      </c>
      <c r="Y1127" s="14">
        <f t="shared" si="260"/>
        <v>-1</v>
      </c>
      <c r="Z1127" s="20">
        <f>Tabela1[[#This Row],[PESO TOTAL]]-Tabela1[[#This Row],[Peso Expedido]]</f>
        <v>79.2</v>
      </c>
      <c r="AA1127" s="17">
        <v>1</v>
      </c>
      <c r="AB1127" s="33"/>
      <c r="AC1127" s="33">
        <v>1</v>
      </c>
      <c r="AD1127" s="33">
        <v>0.7</v>
      </c>
      <c r="AE1127" s="33">
        <v>0.7</v>
      </c>
      <c r="AF1127" s="33">
        <v>0.4</v>
      </c>
      <c r="AG1127" s="33">
        <v>0.35</v>
      </c>
      <c r="AH1127" s="33"/>
      <c r="AI1127" s="33"/>
      <c r="AJ1127"/>
      <c r="AK1127"/>
      <c r="AL1127"/>
      <c r="AM1127"/>
      <c r="AN1127"/>
      <c r="AO1127"/>
      <c r="AP1127"/>
      <c r="AQ1127" s="22"/>
      <c r="AR1127" s="24"/>
      <c r="AS1127" s="37"/>
      <c r="AT1127" s="37"/>
      <c r="AU1127" s="37"/>
      <c r="AV1127" s="37"/>
      <c r="AW1127" s="37"/>
    </row>
    <row r="1128" spans="1:49" ht="15.75" customHeight="1" x14ac:dyDescent="0.25">
      <c r="A1128" s="1" t="s">
        <v>5514</v>
      </c>
      <c r="B1128" s="21" t="s">
        <v>5515</v>
      </c>
      <c r="C1128" s="1">
        <v>1</v>
      </c>
      <c r="D1128" s="1" t="s">
        <v>5525</v>
      </c>
      <c r="E1128" s="7">
        <v>4766</v>
      </c>
      <c r="F1128" s="7">
        <v>65</v>
      </c>
      <c r="G1128" s="1">
        <v>54.3</v>
      </c>
      <c r="H1128" s="34">
        <f>Tabela1[[#This Row],[PESO UNI]]*Tabela1[[#This Row],[QTE]]</f>
        <v>54.3</v>
      </c>
      <c r="I1128" s="7" t="s">
        <v>5582</v>
      </c>
      <c r="J1128" s="8" t="s">
        <v>3140</v>
      </c>
      <c r="K1128" s="8" t="s">
        <v>4320</v>
      </c>
      <c r="L1128" s="9" t="s">
        <v>2984</v>
      </c>
      <c r="M1128" s="10">
        <v>46265</v>
      </c>
      <c r="N1128" s="8" t="s">
        <v>5105</v>
      </c>
      <c r="O1128" s="12"/>
      <c r="P1128" s="13"/>
      <c r="Q1128" s="14">
        <f>Tabela1[[#This Row],[QTDE/ Fabricação]]-Tabela1[[#This Row],[QTE]]</f>
        <v>-1</v>
      </c>
      <c r="R1128" s="18">
        <f t="shared" si="257"/>
        <v>45.340499999999999</v>
      </c>
      <c r="S1128" s="18">
        <f t="shared" si="258"/>
        <v>19.004999999999999</v>
      </c>
      <c r="T1128" s="19">
        <f t="shared" si="259"/>
        <v>-35.295000000000002</v>
      </c>
      <c r="U1128" s="16">
        <f>IFERROR(SUMIF('LISTA DE EMBARQUE'!B:B,MICRO!E:E,'LISTA DE EMBARQUE'!G:G),"")</f>
        <v>0</v>
      </c>
      <c r="V1128" s="12" t="str">
        <f>IFERROR(VLOOKUP(Tabela1[[#This Row],[COD.MDE]],'LISTA DE EMBARQUE'!B:L,11,0),"")</f>
        <v/>
      </c>
      <c r="W1128" s="13" t="str">
        <f>IFERROR(VLOOKUP(Tabela1[[#This Row],[COD.MDE]],'LISTA DE EMBARQUE'!B:M,12,0),"")</f>
        <v/>
      </c>
      <c r="X1128" s="14">
        <f>IFERROR(Tabela1[[#This Row],[QIANTIDADE EXPEDIDA]]*Tabela1[[#This Row],[PESO UNI]],"")</f>
        <v>0</v>
      </c>
      <c r="Y1128" s="14">
        <f t="shared" si="260"/>
        <v>-1</v>
      </c>
      <c r="Z1128" s="20">
        <f>Tabela1[[#This Row],[PESO TOTAL]]-Tabela1[[#This Row],[Peso Expedido]]</f>
        <v>54.3</v>
      </c>
      <c r="AA1128" s="17">
        <v>1</v>
      </c>
      <c r="AB1128" s="33"/>
      <c r="AC1128" s="33">
        <v>1</v>
      </c>
      <c r="AD1128" s="33">
        <v>0.7</v>
      </c>
      <c r="AE1128" s="33">
        <v>0.7</v>
      </c>
      <c r="AF1128" s="33">
        <v>0.4</v>
      </c>
      <c r="AG1128" s="33">
        <v>0.35</v>
      </c>
      <c r="AH1128" s="33"/>
      <c r="AI1128" s="33"/>
      <c r="AJ1128"/>
      <c r="AK1128"/>
      <c r="AL1128"/>
      <c r="AM1128"/>
      <c r="AN1128"/>
      <c r="AO1128"/>
      <c r="AP1128"/>
      <c r="AQ1128" s="22"/>
      <c r="AR1128" s="24"/>
      <c r="AS1128" s="37"/>
      <c r="AT1128" s="37"/>
      <c r="AU1128" s="37"/>
      <c r="AV1128" s="37"/>
      <c r="AW1128" s="37"/>
    </row>
    <row r="1129" spans="1:49" ht="15.75" customHeight="1" x14ac:dyDescent="0.25">
      <c r="A1129" s="1" t="s">
        <v>5526</v>
      </c>
      <c r="B1129" s="21"/>
      <c r="C1129" s="1">
        <v>1</v>
      </c>
      <c r="D1129" s="1" t="s">
        <v>5527</v>
      </c>
      <c r="E1129" s="7">
        <v>4767</v>
      </c>
      <c r="F1129" s="7">
        <v>2</v>
      </c>
      <c r="G1129" s="1">
        <v>101.4</v>
      </c>
      <c r="H1129" s="34">
        <f>Tabela1[[#This Row],[PESO UNI]]*Tabela1[[#This Row],[QTE]]</f>
        <v>101.4</v>
      </c>
      <c r="I1129" s="7">
        <v>0</v>
      </c>
      <c r="J1129" s="8" t="s">
        <v>5528</v>
      </c>
      <c r="K1129" s="8" t="s">
        <v>4320</v>
      </c>
      <c r="L1129" s="9" t="s">
        <v>5529</v>
      </c>
      <c r="M1129" s="10">
        <v>46265</v>
      </c>
      <c r="N1129" s="8" t="s">
        <v>5105</v>
      </c>
      <c r="O1129" s="12"/>
      <c r="P1129" s="13"/>
      <c r="Q1129" s="14">
        <f>Tabela1[[#This Row],[QTDE/ Fabricação]]-Tabela1[[#This Row],[QTE]]</f>
        <v>-1</v>
      </c>
      <c r="R1129" s="18">
        <f t="shared" si="257"/>
        <v>25.35</v>
      </c>
      <c r="S1129" s="18">
        <f t="shared" si="258"/>
        <v>0</v>
      </c>
      <c r="T1129" s="19">
        <f t="shared" si="259"/>
        <v>-101.4</v>
      </c>
      <c r="U1129" s="16">
        <f>IFERROR(SUMIF('LISTA DE EMBARQUE'!B:B,MICRO!E:E,'LISTA DE EMBARQUE'!G:G),"")</f>
        <v>0</v>
      </c>
      <c r="V1129" s="12" t="str">
        <f>IFERROR(VLOOKUP(Tabela1[[#This Row],[COD.MDE]],'LISTA DE EMBARQUE'!B:L,11,0),"")</f>
        <v/>
      </c>
      <c r="W1129" s="13" t="str">
        <f>IFERROR(VLOOKUP(Tabela1[[#This Row],[COD.MDE]],'LISTA DE EMBARQUE'!B:M,12,0),"")</f>
        <v/>
      </c>
      <c r="X1129" s="14">
        <f>IFERROR(Tabela1[[#This Row],[QIANTIDADE EXPEDIDA]]*Tabela1[[#This Row],[PESO UNI]],"")</f>
        <v>0</v>
      </c>
      <c r="Y1129" s="14">
        <f t="shared" si="260"/>
        <v>-1</v>
      </c>
      <c r="Z1129" s="20">
        <f>Tabela1[[#This Row],[PESO TOTAL]]-Tabela1[[#This Row],[Peso Expedido]]</f>
        <v>101.4</v>
      </c>
      <c r="AA1129" s="17">
        <v>1</v>
      </c>
      <c r="AB1129" s="33"/>
      <c r="AC1129" s="33"/>
      <c r="AD1129" s="33"/>
      <c r="AE1129" s="33"/>
      <c r="AF1129" s="33"/>
      <c r="AG1129" s="33"/>
      <c r="AH1129" s="33"/>
      <c r="AI1129" s="33"/>
      <c r="AJ1129"/>
      <c r="AK1129"/>
      <c r="AL1129"/>
      <c r="AM1129"/>
      <c r="AN1129"/>
      <c r="AO1129"/>
      <c r="AP1129"/>
      <c r="AQ1129" s="22"/>
      <c r="AR1129" s="24"/>
      <c r="AS1129" s="37"/>
      <c r="AT1129" s="37"/>
      <c r="AU1129" s="37"/>
      <c r="AV1129" s="37"/>
      <c r="AW1129" s="37"/>
    </row>
    <row r="1130" spans="1:49" ht="15.75" customHeight="1" x14ac:dyDescent="0.25">
      <c r="A1130" s="1" t="s">
        <v>5526</v>
      </c>
      <c r="B1130" s="21"/>
      <c r="C1130" s="1">
        <v>1</v>
      </c>
      <c r="D1130" s="1" t="s">
        <v>5530</v>
      </c>
      <c r="E1130" s="7">
        <v>4768</v>
      </c>
      <c r="F1130" s="7">
        <v>2</v>
      </c>
      <c r="G1130" s="1">
        <v>110</v>
      </c>
      <c r="H1130" s="34">
        <f>Tabela1[[#This Row],[PESO UNI]]*Tabela1[[#This Row],[QTE]]</f>
        <v>110</v>
      </c>
      <c r="I1130" s="7">
        <v>0</v>
      </c>
      <c r="J1130" s="8" t="s">
        <v>5528</v>
      </c>
      <c r="K1130" s="8" t="s">
        <v>4320</v>
      </c>
      <c r="L1130" s="9" t="s">
        <v>5529</v>
      </c>
      <c r="M1130" s="10">
        <v>46265</v>
      </c>
      <c r="N1130" s="8" t="s">
        <v>5105</v>
      </c>
      <c r="O1130" s="12"/>
      <c r="P1130" s="13"/>
      <c r="Q1130" s="14">
        <f>Tabela1[[#This Row],[QTDE/ Fabricação]]-Tabela1[[#This Row],[QTE]]</f>
        <v>-1</v>
      </c>
      <c r="R1130" s="18">
        <f t="shared" si="257"/>
        <v>27.5</v>
      </c>
      <c r="S1130" s="18">
        <f t="shared" si="258"/>
        <v>0</v>
      </c>
      <c r="T1130" s="19">
        <f t="shared" si="259"/>
        <v>-110</v>
      </c>
      <c r="U1130" s="16">
        <f>IFERROR(SUMIF('LISTA DE EMBARQUE'!B:B,MICRO!E:E,'LISTA DE EMBARQUE'!G:G),"")</f>
        <v>0</v>
      </c>
      <c r="V1130" s="12" t="str">
        <f>IFERROR(VLOOKUP(Tabela1[[#This Row],[COD.MDE]],'LISTA DE EMBARQUE'!B:L,11,0),"")</f>
        <v/>
      </c>
      <c r="W1130" s="13" t="str">
        <f>IFERROR(VLOOKUP(Tabela1[[#This Row],[COD.MDE]],'LISTA DE EMBARQUE'!B:M,12,0),"")</f>
        <v/>
      </c>
      <c r="X1130" s="14">
        <f>IFERROR(Tabela1[[#This Row],[QIANTIDADE EXPEDIDA]]*Tabela1[[#This Row],[PESO UNI]],"")</f>
        <v>0</v>
      </c>
      <c r="Y1130" s="14">
        <f t="shared" si="260"/>
        <v>-1</v>
      </c>
      <c r="Z1130" s="20">
        <f>Tabela1[[#This Row],[PESO TOTAL]]-Tabela1[[#This Row],[Peso Expedido]]</f>
        <v>110</v>
      </c>
      <c r="AA1130" s="17">
        <v>1</v>
      </c>
      <c r="AB1130" s="33"/>
      <c r="AC1130" s="33"/>
      <c r="AD1130" s="33"/>
      <c r="AE1130" s="33"/>
      <c r="AF1130" s="33"/>
      <c r="AG1130" s="33"/>
      <c r="AH1130" s="33"/>
      <c r="AI1130" s="33"/>
      <c r="AJ1130"/>
      <c r="AK1130"/>
      <c r="AL1130"/>
      <c r="AM1130"/>
      <c r="AN1130"/>
      <c r="AO1130"/>
      <c r="AP1130"/>
      <c r="AQ1130" s="22"/>
      <c r="AR1130" s="24"/>
      <c r="AS1130" s="37"/>
      <c r="AT1130" s="37"/>
      <c r="AU1130" s="37"/>
      <c r="AV1130" s="37"/>
      <c r="AW1130" s="37"/>
    </row>
    <row r="1131" spans="1:49" ht="15.75" customHeight="1" x14ac:dyDescent="0.25">
      <c r="A1131" s="1" t="s">
        <v>5526</v>
      </c>
      <c r="B1131" s="21"/>
      <c r="C1131" s="1">
        <v>1</v>
      </c>
      <c r="D1131" s="1" t="s">
        <v>5531</v>
      </c>
      <c r="E1131" s="7">
        <v>4769</v>
      </c>
      <c r="F1131" s="7">
        <v>2</v>
      </c>
      <c r="G1131" s="1">
        <v>2.4</v>
      </c>
      <c r="H1131" s="34">
        <f>Tabela1[[#This Row],[PESO UNI]]*Tabela1[[#This Row],[QTE]]</f>
        <v>2.4</v>
      </c>
      <c r="I1131" s="7">
        <v>0</v>
      </c>
      <c r="J1131" s="8" t="s">
        <v>5528</v>
      </c>
      <c r="K1131" s="8" t="s">
        <v>4320</v>
      </c>
      <c r="L1131" s="9" t="s">
        <v>5529</v>
      </c>
      <c r="M1131" s="10">
        <v>46265</v>
      </c>
      <c r="N1131" s="8" t="s">
        <v>5105</v>
      </c>
      <c r="O1131" s="12"/>
      <c r="P1131" s="13"/>
      <c r="Q1131" s="14">
        <f>Tabela1[[#This Row],[QTDE/ Fabricação]]-Tabela1[[#This Row],[QTE]]</f>
        <v>-1</v>
      </c>
      <c r="R1131" s="18">
        <f t="shared" si="257"/>
        <v>0.6</v>
      </c>
      <c r="S1131" s="18">
        <f t="shared" si="258"/>
        <v>0</v>
      </c>
      <c r="T1131" s="19">
        <f t="shared" si="259"/>
        <v>-2.4</v>
      </c>
      <c r="U1131" s="16">
        <f>IFERROR(SUMIF('LISTA DE EMBARQUE'!B:B,MICRO!E:E,'LISTA DE EMBARQUE'!G:G),"")</f>
        <v>0</v>
      </c>
      <c r="V1131" s="12" t="str">
        <f>IFERROR(VLOOKUP(Tabela1[[#This Row],[COD.MDE]],'LISTA DE EMBARQUE'!B:L,11,0),"")</f>
        <v/>
      </c>
      <c r="W1131" s="13" t="str">
        <f>IFERROR(VLOOKUP(Tabela1[[#This Row],[COD.MDE]],'LISTA DE EMBARQUE'!B:M,12,0),"")</f>
        <v/>
      </c>
      <c r="X1131" s="14">
        <f>IFERROR(Tabela1[[#This Row],[QIANTIDADE EXPEDIDA]]*Tabela1[[#This Row],[PESO UNI]],"")</f>
        <v>0</v>
      </c>
      <c r="Y1131" s="14">
        <f t="shared" si="260"/>
        <v>-1</v>
      </c>
      <c r="Z1131" s="20">
        <f>Tabela1[[#This Row],[PESO TOTAL]]-Tabela1[[#This Row],[Peso Expedido]]</f>
        <v>2.4</v>
      </c>
      <c r="AA1131" s="17">
        <v>1</v>
      </c>
      <c r="AB1131" s="33"/>
      <c r="AC1131" s="33"/>
      <c r="AD1131" s="33"/>
      <c r="AE1131" s="33"/>
      <c r="AF1131" s="33"/>
      <c r="AG1131" s="33"/>
      <c r="AH1131" s="33"/>
      <c r="AI1131" s="33"/>
      <c r="AJ1131"/>
      <c r="AK1131"/>
      <c r="AL1131"/>
      <c r="AM1131"/>
      <c r="AN1131"/>
      <c r="AO1131"/>
      <c r="AP1131"/>
      <c r="AQ1131" s="22"/>
      <c r="AR1131" s="24"/>
      <c r="AS1131" s="37"/>
      <c r="AT1131" s="37"/>
      <c r="AU1131" s="37"/>
      <c r="AV1131" s="37"/>
      <c r="AW1131" s="37"/>
    </row>
    <row r="1132" spans="1:49" ht="15.75" customHeight="1" x14ac:dyDescent="0.25">
      <c r="A1132" s="1" t="s">
        <v>5526</v>
      </c>
      <c r="B1132" s="21"/>
      <c r="C1132" s="1">
        <v>1</v>
      </c>
      <c r="D1132" s="1" t="s">
        <v>5532</v>
      </c>
      <c r="E1132" s="7">
        <v>4770</v>
      </c>
      <c r="F1132" s="7">
        <v>2</v>
      </c>
      <c r="G1132" s="1">
        <v>2.2000000000000002</v>
      </c>
      <c r="H1132" s="34">
        <f>Tabela1[[#This Row],[PESO UNI]]*Tabela1[[#This Row],[QTE]]</f>
        <v>2.2000000000000002</v>
      </c>
      <c r="I1132" s="7">
        <v>0</v>
      </c>
      <c r="J1132" s="8" t="s">
        <v>5528</v>
      </c>
      <c r="K1132" s="8" t="s">
        <v>4320</v>
      </c>
      <c r="L1132" s="9" t="s">
        <v>5529</v>
      </c>
      <c r="M1132" s="10">
        <v>46265</v>
      </c>
      <c r="N1132" s="8" t="s">
        <v>5105</v>
      </c>
      <c r="O1132" s="12"/>
      <c r="P1132" s="13"/>
      <c r="Q1132" s="14">
        <f>Tabela1[[#This Row],[QTDE/ Fabricação]]-Tabela1[[#This Row],[QTE]]</f>
        <v>-1</v>
      </c>
      <c r="R1132" s="18">
        <f t="shared" si="257"/>
        <v>0.55000000000000004</v>
      </c>
      <c r="S1132" s="18">
        <f t="shared" si="258"/>
        <v>0</v>
      </c>
      <c r="T1132" s="19">
        <f t="shared" si="259"/>
        <v>-2.2000000000000002</v>
      </c>
      <c r="U1132" s="16">
        <f>IFERROR(SUMIF('LISTA DE EMBARQUE'!B:B,MICRO!E:E,'LISTA DE EMBARQUE'!G:G),"")</f>
        <v>0</v>
      </c>
      <c r="V1132" s="12" t="str">
        <f>IFERROR(VLOOKUP(Tabela1[[#This Row],[COD.MDE]],'LISTA DE EMBARQUE'!B:L,11,0),"")</f>
        <v/>
      </c>
      <c r="W1132" s="13" t="str">
        <f>IFERROR(VLOOKUP(Tabela1[[#This Row],[COD.MDE]],'LISTA DE EMBARQUE'!B:M,12,0),"")</f>
        <v/>
      </c>
      <c r="X1132" s="14">
        <f>IFERROR(Tabela1[[#This Row],[QIANTIDADE EXPEDIDA]]*Tabela1[[#This Row],[PESO UNI]],"")</f>
        <v>0</v>
      </c>
      <c r="Y1132" s="14">
        <f t="shared" si="260"/>
        <v>-1</v>
      </c>
      <c r="Z1132" s="20">
        <f>Tabela1[[#This Row],[PESO TOTAL]]-Tabela1[[#This Row],[Peso Expedido]]</f>
        <v>2.2000000000000002</v>
      </c>
      <c r="AA1132" s="17">
        <v>1</v>
      </c>
      <c r="AB1132" s="33"/>
      <c r="AC1132" s="33"/>
      <c r="AD1132" s="33"/>
      <c r="AE1132" s="33"/>
      <c r="AF1132" s="33"/>
      <c r="AG1132" s="33"/>
      <c r="AH1132" s="33"/>
      <c r="AI1132" s="33"/>
      <c r="AJ1132"/>
      <c r="AK1132"/>
      <c r="AL1132"/>
      <c r="AM1132"/>
      <c r="AN1132"/>
      <c r="AO1132"/>
      <c r="AP1132"/>
      <c r="AQ1132" s="22"/>
      <c r="AR1132" s="24"/>
      <c r="AS1132" s="37"/>
      <c r="AT1132" s="37"/>
      <c r="AU1132" s="37"/>
      <c r="AV1132" s="37"/>
      <c r="AW1132" s="37"/>
    </row>
    <row r="1133" spans="1:49" ht="15.75" customHeight="1" x14ac:dyDescent="0.25">
      <c r="A1133" s="1" t="s">
        <v>5526</v>
      </c>
      <c r="B1133" s="21"/>
      <c r="C1133" s="1">
        <v>1</v>
      </c>
      <c r="D1133" s="1" t="s">
        <v>5533</v>
      </c>
      <c r="E1133" s="7">
        <v>4771</v>
      </c>
      <c r="F1133" s="7">
        <v>2</v>
      </c>
      <c r="G1133" s="1">
        <v>3.4</v>
      </c>
      <c r="H1133" s="34">
        <f>Tabela1[[#This Row],[PESO UNI]]*Tabela1[[#This Row],[QTE]]</f>
        <v>3.4</v>
      </c>
      <c r="I1133" s="7">
        <v>0</v>
      </c>
      <c r="J1133" s="8" t="s">
        <v>5528</v>
      </c>
      <c r="K1133" s="8" t="s">
        <v>4320</v>
      </c>
      <c r="L1133" s="9" t="s">
        <v>5529</v>
      </c>
      <c r="M1133" s="10">
        <v>46265</v>
      </c>
      <c r="N1133" s="8" t="s">
        <v>5105</v>
      </c>
      <c r="O1133" s="12"/>
      <c r="P1133" s="13"/>
      <c r="Q1133" s="14">
        <f>Tabela1[[#This Row],[QTDE/ Fabricação]]-Tabela1[[#This Row],[QTE]]</f>
        <v>-1</v>
      </c>
      <c r="R1133" s="18">
        <f t="shared" si="257"/>
        <v>0.85</v>
      </c>
      <c r="S1133" s="18">
        <f t="shared" si="258"/>
        <v>0</v>
      </c>
      <c r="T1133" s="19">
        <f t="shared" si="259"/>
        <v>-3.4</v>
      </c>
      <c r="U1133" s="16">
        <f>IFERROR(SUMIF('LISTA DE EMBARQUE'!B:B,MICRO!E:E,'LISTA DE EMBARQUE'!G:G),"")</f>
        <v>0</v>
      </c>
      <c r="V1133" s="12" t="str">
        <f>IFERROR(VLOOKUP(Tabela1[[#This Row],[COD.MDE]],'LISTA DE EMBARQUE'!B:L,11,0),"")</f>
        <v/>
      </c>
      <c r="W1133" s="13" t="str">
        <f>IFERROR(VLOOKUP(Tabela1[[#This Row],[COD.MDE]],'LISTA DE EMBARQUE'!B:M,12,0),"")</f>
        <v/>
      </c>
      <c r="X1133" s="14">
        <f>IFERROR(Tabela1[[#This Row],[QIANTIDADE EXPEDIDA]]*Tabela1[[#This Row],[PESO UNI]],"")</f>
        <v>0</v>
      </c>
      <c r="Y1133" s="14">
        <f t="shared" si="260"/>
        <v>-1</v>
      </c>
      <c r="Z1133" s="20">
        <f>Tabela1[[#This Row],[PESO TOTAL]]-Tabela1[[#This Row],[Peso Expedido]]</f>
        <v>3.4</v>
      </c>
      <c r="AA1133" s="17">
        <v>1</v>
      </c>
      <c r="AB1133" s="33"/>
      <c r="AC1133" s="33"/>
      <c r="AD1133" s="33"/>
      <c r="AE1133" s="33"/>
      <c r="AF1133" s="33"/>
      <c r="AG1133" s="33"/>
      <c r="AH1133" s="33"/>
      <c r="AI1133" s="33"/>
      <c r="AJ1133"/>
      <c r="AK1133"/>
      <c r="AL1133"/>
      <c r="AM1133"/>
      <c r="AN1133"/>
      <c r="AO1133"/>
      <c r="AP1133"/>
      <c r="AQ1133" s="22"/>
      <c r="AR1133" s="24"/>
      <c r="AS1133" s="37"/>
      <c r="AT1133" s="37"/>
      <c r="AU1133" s="37"/>
      <c r="AV1133" s="37"/>
      <c r="AW1133" s="37"/>
    </row>
    <row r="1134" spans="1:49" ht="15.75" customHeight="1" x14ac:dyDescent="0.25">
      <c r="A1134" s="1" t="s">
        <v>5534</v>
      </c>
      <c r="B1134" s="21"/>
      <c r="C1134" s="1">
        <v>1</v>
      </c>
      <c r="D1134" s="1" t="s">
        <v>5535</v>
      </c>
      <c r="E1134" s="7">
        <v>4772</v>
      </c>
      <c r="F1134" s="7">
        <v>2</v>
      </c>
      <c r="G1134" s="1">
        <v>112</v>
      </c>
      <c r="H1134" s="34">
        <f>Tabela1[[#This Row],[PESO UNI]]*Tabela1[[#This Row],[QTE]]</f>
        <v>112</v>
      </c>
      <c r="I1134" s="7">
        <v>0</v>
      </c>
      <c r="J1134" s="8" t="s">
        <v>5528</v>
      </c>
      <c r="K1134" s="8" t="s">
        <v>4320</v>
      </c>
      <c r="L1134" s="9" t="s">
        <v>5529</v>
      </c>
      <c r="M1134" s="10">
        <v>46265</v>
      </c>
      <c r="N1134" s="8" t="s">
        <v>5105</v>
      </c>
      <c r="O1134" s="12"/>
      <c r="P1134" s="13"/>
      <c r="Q1134" s="14">
        <f>Tabela1[[#This Row],[QTDE/ Fabricação]]-Tabela1[[#This Row],[QTE]]</f>
        <v>-1</v>
      </c>
      <c r="R1134" s="18">
        <f t="shared" si="257"/>
        <v>28</v>
      </c>
      <c r="S1134" s="18">
        <f t="shared" si="258"/>
        <v>0</v>
      </c>
      <c r="T1134" s="19">
        <f t="shared" si="259"/>
        <v>-112</v>
      </c>
      <c r="U1134" s="16">
        <f>IFERROR(SUMIF('LISTA DE EMBARQUE'!B:B,MICRO!E:E,'LISTA DE EMBARQUE'!G:G),"")</f>
        <v>0</v>
      </c>
      <c r="V1134" s="12" t="str">
        <f>IFERROR(VLOOKUP(Tabela1[[#This Row],[COD.MDE]],'LISTA DE EMBARQUE'!B:L,11,0),"")</f>
        <v/>
      </c>
      <c r="W1134" s="13" t="str">
        <f>IFERROR(VLOOKUP(Tabela1[[#This Row],[COD.MDE]],'LISTA DE EMBARQUE'!B:M,12,0),"")</f>
        <v/>
      </c>
      <c r="X1134" s="14">
        <f>IFERROR(Tabela1[[#This Row],[QIANTIDADE EXPEDIDA]]*Tabela1[[#This Row],[PESO UNI]],"")</f>
        <v>0</v>
      </c>
      <c r="Y1134" s="14">
        <f t="shared" si="260"/>
        <v>-1</v>
      </c>
      <c r="Z1134" s="20">
        <f>Tabela1[[#This Row],[PESO TOTAL]]-Tabela1[[#This Row],[Peso Expedido]]</f>
        <v>112</v>
      </c>
      <c r="AA1134" s="17">
        <v>1</v>
      </c>
      <c r="AB1134" s="33"/>
      <c r="AC1134" s="33"/>
      <c r="AD1134" s="33"/>
      <c r="AE1134" s="33"/>
      <c r="AF1134" s="33"/>
      <c r="AG1134" s="33"/>
      <c r="AH1134" s="33"/>
      <c r="AI1134" s="33"/>
      <c r="AJ1134"/>
      <c r="AK1134"/>
      <c r="AL1134"/>
      <c r="AM1134"/>
      <c r="AN1134"/>
      <c r="AO1134"/>
      <c r="AP1134"/>
      <c r="AQ1134" s="22"/>
      <c r="AR1134" s="24"/>
      <c r="AS1134" s="37"/>
      <c r="AT1134" s="37"/>
      <c r="AU1134" s="37"/>
      <c r="AV1134" s="37"/>
      <c r="AW1134" s="37"/>
    </row>
    <row r="1135" spans="1:49" ht="15.75" customHeight="1" x14ac:dyDescent="0.25">
      <c r="A1135" s="1" t="s">
        <v>5536</v>
      </c>
      <c r="B1135" s="21"/>
      <c r="C1135" s="1">
        <v>1</v>
      </c>
      <c r="D1135" s="1" t="s">
        <v>5537</v>
      </c>
      <c r="E1135" s="7">
        <v>4773</v>
      </c>
      <c r="F1135" s="7">
        <v>2</v>
      </c>
      <c r="G1135" s="1">
        <v>191.6</v>
      </c>
      <c r="H1135" s="34">
        <f>Tabela1[[#This Row],[PESO UNI]]*Tabela1[[#This Row],[QTE]]</f>
        <v>191.6</v>
      </c>
      <c r="I1135" s="7">
        <v>0</v>
      </c>
      <c r="J1135" s="8" t="s">
        <v>5528</v>
      </c>
      <c r="K1135" s="8" t="s">
        <v>4320</v>
      </c>
      <c r="L1135" s="9" t="s">
        <v>5529</v>
      </c>
      <c r="M1135" s="10">
        <v>46265</v>
      </c>
      <c r="N1135" s="8" t="s">
        <v>5105</v>
      </c>
      <c r="O1135" s="12"/>
      <c r="P1135" s="13"/>
      <c r="Q1135" s="14">
        <f>Tabela1[[#This Row],[QTDE/ Fabricação]]-Tabela1[[#This Row],[QTE]]</f>
        <v>-1</v>
      </c>
      <c r="R1135" s="18">
        <f t="shared" si="257"/>
        <v>47.9</v>
      </c>
      <c r="S1135" s="18">
        <f t="shared" si="258"/>
        <v>0</v>
      </c>
      <c r="T1135" s="19">
        <f t="shared" si="259"/>
        <v>-191.6</v>
      </c>
      <c r="U1135" s="16">
        <f>IFERROR(SUMIF('LISTA DE EMBARQUE'!B:B,MICRO!E:E,'LISTA DE EMBARQUE'!G:G),"")</f>
        <v>0</v>
      </c>
      <c r="V1135" s="12" t="str">
        <f>IFERROR(VLOOKUP(Tabela1[[#This Row],[COD.MDE]],'LISTA DE EMBARQUE'!B:L,11,0),"")</f>
        <v/>
      </c>
      <c r="W1135" s="13" t="str">
        <f>IFERROR(VLOOKUP(Tabela1[[#This Row],[COD.MDE]],'LISTA DE EMBARQUE'!B:M,12,0),"")</f>
        <v/>
      </c>
      <c r="X1135" s="14">
        <f>IFERROR(Tabela1[[#This Row],[QIANTIDADE EXPEDIDA]]*Tabela1[[#This Row],[PESO UNI]],"")</f>
        <v>0</v>
      </c>
      <c r="Y1135" s="14">
        <f t="shared" si="260"/>
        <v>-1</v>
      </c>
      <c r="Z1135" s="20">
        <f>Tabela1[[#This Row],[PESO TOTAL]]-Tabela1[[#This Row],[Peso Expedido]]</f>
        <v>191.6</v>
      </c>
      <c r="AA1135" s="17">
        <v>1</v>
      </c>
      <c r="AB1135" s="33"/>
      <c r="AC1135" s="33"/>
      <c r="AD1135" s="33"/>
      <c r="AE1135" s="33"/>
      <c r="AF1135" s="33"/>
      <c r="AG1135" s="33"/>
      <c r="AH1135" s="33"/>
      <c r="AI1135" s="33"/>
      <c r="AJ1135"/>
      <c r="AK1135"/>
      <c r="AL1135"/>
      <c r="AM1135"/>
      <c r="AN1135"/>
      <c r="AO1135"/>
      <c r="AP1135"/>
      <c r="AQ1135" s="22"/>
      <c r="AR1135" s="24"/>
      <c r="AS1135" s="37"/>
      <c r="AT1135" s="37"/>
      <c r="AU1135" s="37"/>
      <c r="AV1135" s="37"/>
      <c r="AW1135" s="37"/>
    </row>
    <row r="1136" spans="1:49" ht="15.75" customHeight="1" x14ac:dyDescent="0.25">
      <c r="A1136" s="1" t="s">
        <v>5536</v>
      </c>
      <c r="B1136" s="21"/>
      <c r="C1136" s="1">
        <v>1</v>
      </c>
      <c r="D1136" s="1" t="s">
        <v>5538</v>
      </c>
      <c r="E1136" s="7">
        <v>4774</v>
      </c>
      <c r="F1136" s="7">
        <v>2</v>
      </c>
      <c r="G1136" s="1">
        <v>14.8</v>
      </c>
      <c r="H1136" s="34">
        <f>Tabela1[[#This Row],[PESO UNI]]*Tabela1[[#This Row],[QTE]]</f>
        <v>14.8</v>
      </c>
      <c r="I1136" s="7">
        <v>0</v>
      </c>
      <c r="J1136" s="8" t="s">
        <v>5528</v>
      </c>
      <c r="K1136" s="8" t="s">
        <v>4320</v>
      </c>
      <c r="L1136" s="9" t="s">
        <v>5529</v>
      </c>
      <c r="M1136" s="10">
        <v>46265</v>
      </c>
      <c r="N1136" s="8" t="s">
        <v>5105</v>
      </c>
      <c r="O1136" s="12"/>
      <c r="P1136" s="13"/>
      <c r="Q1136" s="14">
        <f>Tabela1[[#This Row],[QTDE/ Fabricação]]-Tabela1[[#This Row],[QTE]]</f>
        <v>-1</v>
      </c>
      <c r="R1136" s="18">
        <f t="shared" si="257"/>
        <v>3.7</v>
      </c>
      <c r="S1136" s="18">
        <f t="shared" si="258"/>
        <v>0</v>
      </c>
      <c r="T1136" s="19">
        <f t="shared" si="259"/>
        <v>-14.8</v>
      </c>
      <c r="U1136" s="16">
        <f>IFERROR(SUMIF('LISTA DE EMBARQUE'!B:B,MICRO!E:E,'LISTA DE EMBARQUE'!G:G),"")</f>
        <v>0</v>
      </c>
      <c r="V1136" s="12" t="str">
        <f>IFERROR(VLOOKUP(Tabela1[[#This Row],[COD.MDE]],'LISTA DE EMBARQUE'!B:L,11,0),"")</f>
        <v/>
      </c>
      <c r="W1136" s="13" t="str">
        <f>IFERROR(VLOOKUP(Tabela1[[#This Row],[COD.MDE]],'LISTA DE EMBARQUE'!B:M,12,0),"")</f>
        <v/>
      </c>
      <c r="X1136" s="14">
        <f>IFERROR(Tabela1[[#This Row],[QIANTIDADE EXPEDIDA]]*Tabela1[[#This Row],[PESO UNI]],"")</f>
        <v>0</v>
      </c>
      <c r="Y1136" s="14">
        <f t="shared" si="260"/>
        <v>-1</v>
      </c>
      <c r="Z1136" s="20">
        <f>Tabela1[[#This Row],[PESO TOTAL]]-Tabela1[[#This Row],[Peso Expedido]]</f>
        <v>14.8</v>
      </c>
      <c r="AA1136" s="17">
        <v>1</v>
      </c>
      <c r="AB1136" s="33"/>
      <c r="AC1136" s="33"/>
      <c r="AD1136" s="33"/>
      <c r="AE1136" s="33"/>
      <c r="AF1136" s="33"/>
      <c r="AG1136" s="33"/>
      <c r="AH1136" s="33"/>
      <c r="AI1136" s="33"/>
      <c r="AJ1136"/>
      <c r="AK1136"/>
      <c r="AL1136"/>
      <c r="AM1136"/>
      <c r="AN1136"/>
      <c r="AO1136"/>
      <c r="AP1136"/>
      <c r="AQ1136" s="22"/>
      <c r="AR1136" s="24"/>
      <c r="AS1136" s="37"/>
      <c r="AT1136" s="37"/>
      <c r="AU1136" s="37"/>
      <c r="AV1136" s="37"/>
      <c r="AW1136" s="37"/>
    </row>
    <row r="1137" spans="1:49" ht="15.75" customHeight="1" x14ac:dyDescent="0.25">
      <c r="A1137" s="1" t="s">
        <v>5536</v>
      </c>
      <c r="B1137" s="21"/>
      <c r="C1137" s="1">
        <v>1</v>
      </c>
      <c r="D1137" s="1" t="s">
        <v>5539</v>
      </c>
      <c r="E1137" s="7">
        <v>4775</v>
      </c>
      <c r="F1137" s="7">
        <v>2</v>
      </c>
      <c r="G1137" s="1">
        <v>15.3</v>
      </c>
      <c r="H1137" s="34">
        <f>Tabela1[[#This Row],[PESO UNI]]*Tabela1[[#This Row],[QTE]]</f>
        <v>15.3</v>
      </c>
      <c r="I1137" s="7">
        <v>0</v>
      </c>
      <c r="J1137" s="8" t="s">
        <v>5528</v>
      </c>
      <c r="K1137" s="8" t="s">
        <v>4320</v>
      </c>
      <c r="L1137" s="9" t="s">
        <v>5529</v>
      </c>
      <c r="M1137" s="10">
        <v>46265</v>
      </c>
      <c r="N1137" s="8" t="s">
        <v>5105</v>
      </c>
      <c r="O1137" s="12"/>
      <c r="P1137" s="13"/>
      <c r="Q1137" s="14">
        <f>Tabela1[[#This Row],[QTDE/ Fabricação]]-Tabela1[[#This Row],[QTE]]</f>
        <v>-1</v>
      </c>
      <c r="R1137" s="18">
        <f t="shared" si="257"/>
        <v>3.8250000000000002</v>
      </c>
      <c r="S1137" s="18">
        <f t="shared" si="258"/>
        <v>0</v>
      </c>
      <c r="T1137" s="19">
        <f t="shared" si="259"/>
        <v>-15.3</v>
      </c>
      <c r="U1137" s="16">
        <f>IFERROR(SUMIF('LISTA DE EMBARQUE'!B:B,MICRO!E:E,'LISTA DE EMBARQUE'!G:G),"")</f>
        <v>0</v>
      </c>
      <c r="V1137" s="12" t="str">
        <f>IFERROR(VLOOKUP(Tabela1[[#This Row],[COD.MDE]],'LISTA DE EMBARQUE'!B:L,11,0),"")</f>
        <v/>
      </c>
      <c r="W1137" s="13" t="str">
        <f>IFERROR(VLOOKUP(Tabela1[[#This Row],[COD.MDE]],'LISTA DE EMBARQUE'!B:M,12,0),"")</f>
        <v/>
      </c>
      <c r="X1137" s="14">
        <f>IFERROR(Tabela1[[#This Row],[QIANTIDADE EXPEDIDA]]*Tabela1[[#This Row],[PESO UNI]],"")</f>
        <v>0</v>
      </c>
      <c r="Y1137" s="14">
        <f t="shared" si="260"/>
        <v>-1</v>
      </c>
      <c r="Z1137" s="20">
        <f>Tabela1[[#This Row],[PESO TOTAL]]-Tabela1[[#This Row],[Peso Expedido]]</f>
        <v>15.3</v>
      </c>
      <c r="AA1137" s="17">
        <v>1</v>
      </c>
      <c r="AB1137" s="33"/>
      <c r="AC1137" s="33"/>
      <c r="AD1137" s="33"/>
      <c r="AE1137" s="33"/>
      <c r="AF1137" s="33"/>
      <c r="AG1137" s="33"/>
      <c r="AH1137" s="33"/>
      <c r="AI1137" s="33"/>
      <c r="AJ1137"/>
      <c r="AK1137"/>
      <c r="AL1137"/>
      <c r="AM1137"/>
      <c r="AN1137"/>
      <c r="AO1137"/>
      <c r="AP1137"/>
      <c r="AQ1137" s="22"/>
      <c r="AR1137" s="24"/>
      <c r="AS1137" s="37"/>
      <c r="AT1137" s="37"/>
      <c r="AU1137" s="37"/>
      <c r="AV1137" s="37"/>
      <c r="AW1137" s="37"/>
    </row>
    <row r="1138" spans="1:49" ht="15.75" customHeight="1" x14ac:dyDescent="0.25">
      <c r="A1138" s="1" t="s">
        <v>5541</v>
      </c>
      <c r="B1138" s="21"/>
      <c r="C1138" s="1">
        <v>1</v>
      </c>
      <c r="D1138" s="1" t="s">
        <v>5542</v>
      </c>
      <c r="E1138" s="7">
        <v>4776</v>
      </c>
      <c r="F1138" s="7">
        <v>2</v>
      </c>
      <c r="G1138" s="1">
        <v>54.2</v>
      </c>
      <c r="H1138" s="34">
        <f>Tabela1[[#This Row],[PESO UNI]]*Tabela1[[#This Row],[QTE]]</f>
        <v>54.2</v>
      </c>
      <c r="I1138" s="7">
        <v>0</v>
      </c>
      <c r="J1138" s="8" t="s">
        <v>5528</v>
      </c>
      <c r="K1138" s="8" t="s">
        <v>4320</v>
      </c>
      <c r="L1138" s="9" t="s">
        <v>5529</v>
      </c>
      <c r="M1138" s="10">
        <v>46265</v>
      </c>
      <c r="N1138" s="8" t="s">
        <v>5105</v>
      </c>
      <c r="O1138" s="12"/>
      <c r="P1138" s="13"/>
      <c r="Q1138" s="14">
        <f>Tabela1[[#This Row],[QTDE/ Fabricação]]-Tabela1[[#This Row],[QTE]]</f>
        <v>-1</v>
      </c>
      <c r="R1138" s="18">
        <f t="shared" si="257"/>
        <v>13.55</v>
      </c>
      <c r="S1138" s="18">
        <f t="shared" si="258"/>
        <v>0</v>
      </c>
      <c r="T1138" s="19">
        <f t="shared" si="259"/>
        <v>-54.2</v>
      </c>
      <c r="U1138" s="16">
        <f>IFERROR(SUMIF('LISTA DE EMBARQUE'!B:B,MICRO!E:E,'LISTA DE EMBARQUE'!G:G),"")</f>
        <v>0</v>
      </c>
      <c r="V1138" s="12" t="str">
        <f>IFERROR(VLOOKUP(Tabela1[[#This Row],[COD.MDE]],'LISTA DE EMBARQUE'!B:L,11,0),"")</f>
        <v/>
      </c>
      <c r="W1138" s="13" t="str">
        <f>IFERROR(VLOOKUP(Tabela1[[#This Row],[COD.MDE]],'LISTA DE EMBARQUE'!B:M,12,0),"")</f>
        <v/>
      </c>
      <c r="X1138" s="14">
        <f>IFERROR(Tabela1[[#This Row],[QIANTIDADE EXPEDIDA]]*Tabela1[[#This Row],[PESO UNI]],"")</f>
        <v>0</v>
      </c>
      <c r="Y1138" s="14">
        <f t="shared" si="260"/>
        <v>-1</v>
      </c>
      <c r="Z1138" s="20">
        <f>Tabela1[[#This Row],[PESO TOTAL]]-Tabela1[[#This Row],[Peso Expedido]]</f>
        <v>54.2</v>
      </c>
      <c r="AA1138" s="17">
        <v>1</v>
      </c>
      <c r="AB1138" s="33"/>
      <c r="AC1138" s="33"/>
      <c r="AD1138" s="33"/>
      <c r="AE1138" s="33"/>
      <c r="AF1138" s="33"/>
      <c r="AG1138" s="33"/>
      <c r="AH1138" s="33"/>
      <c r="AI1138" s="33"/>
      <c r="AJ1138"/>
      <c r="AK1138"/>
      <c r="AL1138"/>
      <c r="AM1138"/>
      <c r="AN1138"/>
      <c r="AO1138"/>
      <c r="AP1138"/>
      <c r="AQ1138" s="22"/>
      <c r="AR1138" s="24"/>
      <c r="AS1138" s="37"/>
      <c r="AT1138" s="37"/>
      <c r="AU1138" s="37"/>
      <c r="AV1138" s="37"/>
      <c r="AW1138" s="37"/>
    </row>
    <row r="1139" spans="1:49" ht="15.75" customHeight="1" x14ac:dyDescent="0.25">
      <c r="A1139" s="1" t="s">
        <v>5541</v>
      </c>
      <c r="B1139" s="21"/>
      <c r="C1139" s="1">
        <v>1</v>
      </c>
      <c r="D1139" s="1" t="s">
        <v>5543</v>
      </c>
      <c r="E1139" s="7">
        <v>4777</v>
      </c>
      <c r="F1139" s="7">
        <v>2</v>
      </c>
      <c r="G1139" s="1">
        <v>101.9</v>
      </c>
      <c r="H1139" s="34">
        <f>Tabela1[[#This Row],[PESO UNI]]*Tabela1[[#This Row],[QTE]]</f>
        <v>101.9</v>
      </c>
      <c r="I1139" s="7">
        <v>0</v>
      </c>
      <c r="J1139" s="8" t="s">
        <v>5528</v>
      </c>
      <c r="K1139" s="8" t="s">
        <v>4320</v>
      </c>
      <c r="L1139" s="9" t="s">
        <v>5529</v>
      </c>
      <c r="M1139" s="10">
        <v>46265</v>
      </c>
      <c r="N1139" s="8" t="s">
        <v>5105</v>
      </c>
      <c r="O1139" s="12"/>
      <c r="P1139" s="13"/>
      <c r="Q1139" s="14">
        <f>Tabela1[[#This Row],[QTDE/ Fabricação]]-Tabela1[[#This Row],[QTE]]</f>
        <v>-1</v>
      </c>
      <c r="R1139" s="18">
        <f t="shared" si="257"/>
        <v>25.475000000000001</v>
      </c>
      <c r="S1139" s="18">
        <f t="shared" si="258"/>
        <v>0</v>
      </c>
      <c r="T1139" s="19">
        <f t="shared" si="259"/>
        <v>-101.9</v>
      </c>
      <c r="U1139" s="16">
        <f>IFERROR(SUMIF('LISTA DE EMBARQUE'!B:B,MICRO!E:E,'LISTA DE EMBARQUE'!G:G),"")</f>
        <v>0</v>
      </c>
      <c r="V1139" s="12" t="str">
        <f>IFERROR(VLOOKUP(Tabela1[[#This Row],[COD.MDE]],'LISTA DE EMBARQUE'!B:L,11,0),"")</f>
        <v/>
      </c>
      <c r="W1139" s="13" t="str">
        <f>IFERROR(VLOOKUP(Tabela1[[#This Row],[COD.MDE]],'LISTA DE EMBARQUE'!B:M,12,0),"")</f>
        <v/>
      </c>
      <c r="X1139" s="14">
        <f>IFERROR(Tabela1[[#This Row],[QIANTIDADE EXPEDIDA]]*Tabela1[[#This Row],[PESO UNI]],"")</f>
        <v>0</v>
      </c>
      <c r="Y1139" s="14">
        <f t="shared" si="260"/>
        <v>-1</v>
      </c>
      <c r="Z1139" s="20">
        <f>Tabela1[[#This Row],[PESO TOTAL]]-Tabela1[[#This Row],[Peso Expedido]]</f>
        <v>101.9</v>
      </c>
      <c r="AA1139" s="17">
        <v>1</v>
      </c>
      <c r="AB1139" s="33"/>
      <c r="AC1139" s="33"/>
      <c r="AD1139" s="33"/>
      <c r="AE1139" s="33"/>
      <c r="AF1139" s="33"/>
      <c r="AG1139" s="33"/>
      <c r="AH1139" s="33"/>
      <c r="AI1139" s="33"/>
      <c r="AJ1139"/>
      <c r="AK1139"/>
      <c r="AL1139"/>
      <c r="AM1139"/>
      <c r="AN1139"/>
      <c r="AO1139"/>
      <c r="AP1139"/>
      <c r="AQ1139" s="22"/>
      <c r="AR1139" s="24"/>
      <c r="AS1139" s="37"/>
      <c r="AT1139" s="37"/>
      <c r="AU1139" s="37"/>
      <c r="AV1139" s="37"/>
      <c r="AW1139" s="37"/>
    </row>
    <row r="1140" spans="1:49" ht="15.75" customHeight="1" x14ac:dyDescent="0.25">
      <c r="A1140" s="1" t="s">
        <v>5544</v>
      </c>
      <c r="B1140" s="21"/>
      <c r="C1140" s="1">
        <v>1</v>
      </c>
      <c r="D1140" s="1" t="s">
        <v>5545</v>
      </c>
      <c r="E1140" s="7">
        <v>4778</v>
      </c>
      <c r="F1140" s="7">
        <v>2</v>
      </c>
      <c r="G1140" s="1">
        <v>367.7</v>
      </c>
      <c r="H1140" s="34">
        <f>Tabela1[[#This Row],[PESO UNI]]*Tabela1[[#This Row],[QTE]]</f>
        <v>367.7</v>
      </c>
      <c r="I1140" s="7">
        <v>0</v>
      </c>
      <c r="J1140" s="8" t="s">
        <v>5528</v>
      </c>
      <c r="K1140" s="8" t="s">
        <v>4320</v>
      </c>
      <c r="L1140" s="9" t="s">
        <v>5529</v>
      </c>
      <c r="M1140" s="10">
        <v>46265</v>
      </c>
      <c r="N1140" s="8" t="s">
        <v>5105</v>
      </c>
      <c r="O1140" s="12"/>
      <c r="P1140" s="13"/>
      <c r="Q1140" s="14">
        <f>Tabela1[[#This Row],[QTDE/ Fabricação]]-Tabela1[[#This Row],[QTE]]</f>
        <v>-1</v>
      </c>
      <c r="R1140" s="18">
        <f t="shared" si="257"/>
        <v>91.924999999999997</v>
      </c>
      <c r="S1140" s="18">
        <f t="shared" si="258"/>
        <v>0</v>
      </c>
      <c r="T1140" s="19">
        <f t="shared" si="259"/>
        <v>-367.7</v>
      </c>
      <c r="U1140" s="16">
        <f>IFERROR(SUMIF('LISTA DE EMBARQUE'!B:B,MICRO!E:E,'LISTA DE EMBARQUE'!G:G),"")</f>
        <v>0</v>
      </c>
      <c r="V1140" s="12" t="str">
        <f>IFERROR(VLOOKUP(Tabela1[[#This Row],[COD.MDE]],'LISTA DE EMBARQUE'!B:L,11,0),"")</f>
        <v/>
      </c>
      <c r="W1140" s="13" t="str">
        <f>IFERROR(VLOOKUP(Tabela1[[#This Row],[COD.MDE]],'LISTA DE EMBARQUE'!B:M,12,0),"")</f>
        <v/>
      </c>
      <c r="X1140" s="14">
        <f>IFERROR(Tabela1[[#This Row],[QIANTIDADE EXPEDIDA]]*Tabela1[[#This Row],[PESO UNI]],"")</f>
        <v>0</v>
      </c>
      <c r="Y1140" s="14">
        <f t="shared" si="260"/>
        <v>-1</v>
      </c>
      <c r="Z1140" s="20">
        <f>Tabela1[[#This Row],[PESO TOTAL]]-Tabela1[[#This Row],[Peso Expedido]]</f>
        <v>367.7</v>
      </c>
      <c r="AA1140" s="17">
        <v>1</v>
      </c>
      <c r="AB1140" s="33"/>
      <c r="AC1140" s="33"/>
      <c r="AD1140" s="33"/>
      <c r="AE1140" s="33"/>
      <c r="AF1140" s="33"/>
      <c r="AG1140" s="33"/>
      <c r="AH1140" s="33"/>
      <c r="AI1140" s="33"/>
      <c r="AJ1140"/>
      <c r="AK1140"/>
      <c r="AL1140"/>
      <c r="AM1140"/>
      <c r="AN1140"/>
      <c r="AO1140"/>
      <c r="AP1140"/>
      <c r="AQ1140" s="22"/>
      <c r="AR1140" s="24"/>
      <c r="AS1140" s="37"/>
      <c r="AT1140" s="37"/>
      <c r="AU1140" s="37"/>
      <c r="AV1140" s="37"/>
      <c r="AW1140" s="37"/>
    </row>
    <row r="1141" spans="1:49" ht="15.75" customHeight="1" x14ac:dyDescent="0.25">
      <c r="A1141" s="1" t="s">
        <v>5540</v>
      </c>
      <c r="B1141" s="21"/>
      <c r="C1141" s="1">
        <v>1</v>
      </c>
      <c r="D1141" s="1" t="s">
        <v>5546</v>
      </c>
      <c r="E1141" s="7">
        <v>4779</v>
      </c>
      <c r="F1141" s="7">
        <v>2</v>
      </c>
      <c r="G1141" s="1">
        <v>217.8</v>
      </c>
      <c r="H1141" s="34">
        <f>Tabela1[[#This Row],[PESO UNI]]*Tabela1[[#This Row],[QTE]]</f>
        <v>217.8</v>
      </c>
      <c r="I1141" s="7">
        <v>0</v>
      </c>
      <c r="J1141" s="8" t="s">
        <v>5528</v>
      </c>
      <c r="K1141" s="8" t="s">
        <v>4320</v>
      </c>
      <c r="L1141" s="9" t="s">
        <v>5529</v>
      </c>
      <c r="M1141" s="10">
        <v>46265</v>
      </c>
      <c r="N1141" s="8" t="s">
        <v>5105</v>
      </c>
      <c r="O1141" s="12"/>
      <c r="P1141" s="13"/>
      <c r="Q1141" s="14">
        <f>Tabela1[[#This Row],[QTDE/ Fabricação]]-Tabela1[[#This Row],[QTE]]</f>
        <v>-1</v>
      </c>
      <c r="R1141" s="18">
        <f t="shared" si="257"/>
        <v>54.45</v>
      </c>
      <c r="S1141" s="18">
        <f t="shared" si="258"/>
        <v>0</v>
      </c>
      <c r="T1141" s="19">
        <f t="shared" si="259"/>
        <v>-217.8</v>
      </c>
      <c r="U1141" s="16">
        <f>IFERROR(SUMIF('LISTA DE EMBARQUE'!B:B,MICRO!E:E,'LISTA DE EMBARQUE'!G:G),"")</f>
        <v>0</v>
      </c>
      <c r="V1141" s="12" t="str">
        <f>IFERROR(VLOOKUP(Tabela1[[#This Row],[COD.MDE]],'LISTA DE EMBARQUE'!B:L,11,0),"")</f>
        <v/>
      </c>
      <c r="W1141" s="13" t="str">
        <f>IFERROR(VLOOKUP(Tabela1[[#This Row],[COD.MDE]],'LISTA DE EMBARQUE'!B:M,12,0),"")</f>
        <v/>
      </c>
      <c r="X1141" s="14">
        <f>IFERROR(Tabela1[[#This Row],[QIANTIDADE EXPEDIDA]]*Tabela1[[#This Row],[PESO UNI]],"")</f>
        <v>0</v>
      </c>
      <c r="Y1141" s="14">
        <f t="shared" si="260"/>
        <v>-1</v>
      </c>
      <c r="Z1141" s="20">
        <f>Tabela1[[#This Row],[PESO TOTAL]]-Tabela1[[#This Row],[Peso Expedido]]</f>
        <v>217.8</v>
      </c>
      <c r="AA1141" s="17">
        <v>1</v>
      </c>
      <c r="AB1141" s="33"/>
      <c r="AC1141" s="33"/>
      <c r="AD1141" s="33"/>
      <c r="AE1141" s="33"/>
      <c r="AF1141" s="33"/>
      <c r="AG1141" s="33"/>
      <c r="AH1141" s="33"/>
      <c r="AI1141" s="33"/>
      <c r="AJ1141"/>
      <c r="AK1141"/>
      <c r="AL1141"/>
      <c r="AM1141"/>
      <c r="AN1141"/>
      <c r="AO1141"/>
      <c r="AP1141"/>
      <c r="AQ1141" s="22"/>
      <c r="AR1141" s="24"/>
      <c r="AS1141" s="37"/>
      <c r="AT1141" s="37"/>
      <c r="AU1141" s="37"/>
      <c r="AV1141" s="37"/>
      <c r="AW1141" s="37"/>
    </row>
    <row r="1142" spans="1:49" ht="15.75" customHeight="1" x14ac:dyDescent="0.25">
      <c r="A1142" s="1" t="s">
        <v>5547</v>
      </c>
      <c r="B1142" s="21"/>
      <c r="C1142" s="1">
        <v>5</v>
      </c>
      <c r="D1142" s="1" t="s">
        <v>5548</v>
      </c>
      <c r="E1142" s="7">
        <v>4780</v>
      </c>
      <c r="F1142" s="7">
        <v>2</v>
      </c>
      <c r="G1142" s="1">
        <v>316.7</v>
      </c>
      <c r="H1142" s="34">
        <f>Tabela1[[#This Row],[PESO UNI]]*Tabela1[[#This Row],[QTE]]</f>
        <v>1583.5</v>
      </c>
      <c r="I1142" s="7">
        <v>0</v>
      </c>
      <c r="J1142" s="8" t="s">
        <v>5528</v>
      </c>
      <c r="K1142" s="8" t="s">
        <v>4320</v>
      </c>
      <c r="L1142" s="9" t="s">
        <v>5529</v>
      </c>
      <c r="M1142" s="10">
        <v>46265</v>
      </c>
      <c r="N1142" s="8" t="s">
        <v>5105</v>
      </c>
      <c r="O1142" s="12"/>
      <c r="P1142" s="13"/>
      <c r="Q1142" s="14">
        <f>Tabela1[[#This Row],[QTDE/ Fabricação]]-Tabela1[[#This Row],[QTE]]</f>
        <v>-5</v>
      </c>
      <c r="R1142" s="18">
        <f t="shared" si="257"/>
        <v>395.875</v>
      </c>
      <c r="S1142" s="18">
        <f t="shared" si="258"/>
        <v>0</v>
      </c>
      <c r="T1142" s="19">
        <f t="shared" si="259"/>
        <v>-1583.5</v>
      </c>
      <c r="U1142" s="16">
        <f>IFERROR(SUMIF('LISTA DE EMBARQUE'!B:B,MICRO!E:E,'LISTA DE EMBARQUE'!G:G),"")</f>
        <v>0</v>
      </c>
      <c r="V1142" s="12" t="str">
        <f>IFERROR(VLOOKUP(Tabela1[[#This Row],[COD.MDE]],'LISTA DE EMBARQUE'!B:L,11,0),"")</f>
        <v/>
      </c>
      <c r="W1142" s="13" t="str">
        <f>IFERROR(VLOOKUP(Tabela1[[#This Row],[COD.MDE]],'LISTA DE EMBARQUE'!B:M,12,0),"")</f>
        <v/>
      </c>
      <c r="X1142" s="14">
        <f>IFERROR(Tabela1[[#This Row],[QIANTIDADE EXPEDIDA]]*Tabela1[[#This Row],[PESO UNI]],"")</f>
        <v>0</v>
      </c>
      <c r="Y1142" s="14">
        <f t="shared" si="260"/>
        <v>-5</v>
      </c>
      <c r="Z1142" s="20">
        <f>Tabela1[[#This Row],[PESO TOTAL]]-Tabela1[[#This Row],[Peso Expedido]]</f>
        <v>1583.5</v>
      </c>
      <c r="AA1142" s="17">
        <v>1</v>
      </c>
      <c r="AB1142" s="33"/>
      <c r="AC1142" s="33"/>
      <c r="AD1142" s="33"/>
      <c r="AE1142" s="33"/>
      <c r="AF1142" s="33"/>
      <c r="AG1142" s="33"/>
      <c r="AH1142" s="33"/>
      <c r="AI1142" s="33"/>
      <c r="AJ1142"/>
      <c r="AK1142"/>
      <c r="AL1142"/>
      <c r="AM1142"/>
      <c r="AN1142"/>
      <c r="AO1142"/>
      <c r="AP1142"/>
      <c r="AQ1142" s="22"/>
      <c r="AR1142" s="24"/>
      <c r="AS1142" s="37"/>
      <c r="AT1142" s="37"/>
      <c r="AU1142" s="37"/>
      <c r="AV1142" s="37"/>
      <c r="AW1142" s="37"/>
    </row>
    <row r="1143" spans="1:49" ht="15.75" customHeight="1" x14ac:dyDescent="0.25">
      <c r="A1143" s="1" t="s">
        <v>5549</v>
      </c>
      <c r="B1143" s="21"/>
      <c r="C1143" s="1">
        <v>1</v>
      </c>
      <c r="D1143" s="1" t="s">
        <v>5550</v>
      </c>
      <c r="E1143" s="7">
        <v>4781</v>
      </c>
      <c r="F1143" s="7">
        <v>2</v>
      </c>
      <c r="G1143" s="1">
        <v>251.8</v>
      </c>
      <c r="H1143" s="34">
        <f>Tabela1[[#This Row],[PESO UNI]]*Tabela1[[#This Row],[QTE]]</f>
        <v>251.8</v>
      </c>
      <c r="I1143" s="7">
        <v>0</v>
      </c>
      <c r="J1143" s="8" t="s">
        <v>5528</v>
      </c>
      <c r="K1143" s="8" t="s">
        <v>4320</v>
      </c>
      <c r="L1143" s="9" t="s">
        <v>5529</v>
      </c>
      <c r="M1143" s="10">
        <v>46265</v>
      </c>
      <c r="N1143" s="8" t="s">
        <v>5105</v>
      </c>
      <c r="O1143" s="12"/>
      <c r="P1143" s="13"/>
      <c r="Q1143" s="14">
        <f>Tabela1[[#This Row],[QTDE/ Fabricação]]-Tabela1[[#This Row],[QTE]]</f>
        <v>-1</v>
      </c>
      <c r="R1143" s="18">
        <f t="shared" si="257"/>
        <v>62.95</v>
      </c>
      <c r="S1143" s="18">
        <f t="shared" si="258"/>
        <v>0</v>
      </c>
      <c r="T1143" s="19">
        <f t="shared" si="259"/>
        <v>-251.8</v>
      </c>
      <c r="U1143" s="16">
        <f>IFERROR(SUMIF('LISTA DE EMBARQUE'!B:B,MICRO!E:E,'LISTA DE EMBARQUE'!G:G),"")</f>
        <v>0</v>
      </c>
      <c r="V1143" s="12" t="str">
        <f>IFERROR(VLOOKUP(Tabela1[[#This Row],[COD.MDE]],'LISTA DE EMBARQUE'!B:L,11,0),"")</f>
        <v/>
      </c>
      <c r="W1143" s="13" t="str">
        <f>IFERROR(VLOOKUP(Tabela1[[#This Row],[COD.MDE]],'LISTA DE EMBARQUE'!B:M,12,0),"")</f>
        <v/>
      </c>
      <c r="X1143" s="14">
        <f>IFERROR(Tabela1[[#This Row],[QIANTIDADE EXPEDIDA]]*Tabela1[[#This Row],[PESO UNI]],"")</f>
        <v>0</v>
      </c>
      <c r="Y1143" s="14">
        <f t="shared" si="260"/>
        <v>-1</v>
      </c>
      <c r="Z1143" s="20">
        <f>Tabela1[[#This Row],[PESO TOTAL]]-Tabela1[[#This Row],[Peso Expedido]]</f>
        <v>251.8</v>
      </c>
      <c r="AA1143" s="17">
        <v>1</v>
      </c>
      <c r="AB1143" s="33"/>
      <c r="AC1143" s="33"/>
      <c r="AD1143" s="33"/>
      <c r="AE1143" s="33"/>
      <c r="AF1143" s="33"/>
      <c r="AG1143" s="33"/>
      <c r="AH1143" s="33"/>
      <c r="AI1143" s="33"/>
      <c r="AJ1143"/>
      <c r="AK1143"/>
      <c r="AL1143"/>
      <c r="AM1143"/>
      <c r="AN1143"/>
      <c r="AO1143"/>
      <c r="AP1143"/>
      <c r="AQ1143" s="22"/>
      <c r="AR1143" s="24"/>
      <c r="AS1143" s="37"/>
      <c r="AT1143" s="37"/>
      <c r="AU1143" s="37"/>
      <c r="AV1143" s="37"/>
      <c r="AW1143" s="37"/>
    </row>
    <row r="1144" spans="1:49" ht="15.75" customHeight="1" x14ac:dyDescent="0.25">
      <c r="A1144" s="1" t="s">
        <v>5551</v>
      </c>
      <c r="B1144" s="21"/>
      <c r="C1144" s="1">
        <v>1</v>
      </c>
      <c r="D1144" s="1" t="s">
        <v>5552</v>
      </c>
      <c r="E1144" s="7">
        <v>4782</v>
      </c>
      <c r="F1144" s="7">
        <v>2</v>
      </c>
      <c r="G1144" s="1">
        <v>157.6</v>
      </c>
      <c r="H1144" s="34">
        <f>Tabela1[[#This Row],[PESO UNI]]*Tabela1[[#This Row],[QTE]]</f>
        <v>157.6</v>
      </c>
      <c r="I1144" s="7">
        <v>0</v>
      </c>
      <c r="J1144" s="8" t="s">
        <v>5528</v>
      </c>
      <c r="K1144" s="8" t="s">
        <v>4320</v>
      </c>
      <c r="L1144" s="9" t="s">
        <v>5529</v>
      </c>
      <c r="M1144" s="10">
        <v>46265</v>
      </c>
      <c r="N1144" s="8" t="s">
        <v>5105</v>
      </c>
      <c r="O1144" s="12"/>
      <c r="P1144" s="13"/>
      <c r="Q1144" s="14">
        <f>Tabela1[[#This Row],[QTDE/ Fabricação]]-Tabela1[[#This Row],[QTE]]</f>
        <v>-1</v>
      </c>
      <c r="R1144" s="18">
        <f t="shared" si="257"/>
        <v>39.4</v>
      </c>
      <c r="S1144" s="18">
        <f t="shared" si="258"/>
        <v>0</v>
      </c>
      <c r="T1144" s="19">
        <f t="shared" si="259"/>
        <v>-157.6</v>
      </c>
      <c r="U1144" s="16">
        <f>IFERROR(SUMIF('LISTA DE EMBARQUE'!B:B,MICRO!E:E,'LISTA DE EMBARQUE'!G:G),"")</f>
        <v>0</v>
      </c>
      <c r="V1144" s="12" t="str">
        <f>IFERROR(VLOOKUP(Tabela1[[#This Row],[COD.MDE]],'LISTA DE EMBARQUE'!B:L,11,0),"")</f>
        <v/>
      </c>
      <c r="W1144" s="13" t="str">
        <f>IFERROR(VLOOKUP(Tabela1[[#This Row],[COD.MDE]],'LISTA DE EMBARQUE'!B:M,12,0),"")</f>
        <v/>
      </c>
      <c r="X1144" s="14">
        <f>IFERROR(Tabela1[[#This Row],[QIANTIDADE EXPEDIDA]]*Tabela1[[#This Row],[PESO UNI]],"")</f>
        <v>0</v>
      </c>
      <c r="Y1144" s="14">
        <f t="shared" si="260"/>
        <v>-1</v>
      </c>
      <c r="Z1144" s="20">
        <f>Tabela1[[#This Row],[PESO TOTAL]]-Tabela1[[#This Row],[Peso Expedido]]</f>
        <v>157.6</v>
      </c>
      <c r="AA1144" s="17">
        <v>1</v>
      </c>
      <c r="AB1144" s="33"/>
      <c r="AC1144" s="33"/>
      <c r="AD1144" s="33"/>
      <c r="AE1144" s="33"/>
      <c r="AF1144" s="33"/>
      <c r="AG1144" s="33"/>
      <c r="AH1144" s="33"/>
      <c r="AI1144" s="33"/>
      <c r="AJ1144"/>
      <c r="AK1144"/>
      <c r="AL1144"/>
      <c r="AM1144"/>
      <c r="AN1144"/>
      <c r="AO1144"/>
      <c r="AP1144"/>
      <c r="AQ1144" s="22"/>
      <c r="AR1144" s="24"/>
      <c r="AS1144" s="37"/>
      <c r="AT1144" s="37"/>
      <c r="AU1144" s="37"/>
      <c r="AV1144" s="37"/>
      <c r="AW1144" s="37"/>
    </row>
    <row r="1145" spans="1:49" ht="15.75" customHeight="1" x14ac:dyDescent="0.25">
      <c r="A1145" s="1" t="s">
        <v>5555</v>
      </c>
      <c r="B1145" s="21" t="s">
        <v>5556</v>
      </c>
      <c r="C1145" s="1">
        <v>1</v>
      </c>
      <c r="D1145" s="1" t="s">
        <v>5557</v>
      </c>
      <c r="E1145" s="7">
        <v>4783</v>
      </c>
      <c r="F1145" s="7">
        <v>33</v>
      </c>
      <c r="G1145" s="1">
        <v>442.7</v>
      </c>
      <c r="H1145" s="34">
        <f>Tabela1[[#This Row],[PESO UNI]]*Tabela1[[#This Row],[QTE]]</f>
        <v>442.7</v>
      </c>
      <c r="I1145" s="7" t="s">
        <v>5580</v>
      </c>
      <c r="J1145" s="8" t="s">
        <v>4834</v>
      </c>
      <c r="K1145" s="8" t="s">
        <v>4320</v>
      </c>
      <c r="L1145" s="9" t="s">
        <v>3291</v>
      </c>
      <c r="M1145" s="10">
        <v>46266</v>
      </c>
      <c r="N1145" s="8" t="s">
        <v>38</v>
      </c>
      <c r="O1145" s="12"/>
      <c r="P1145" s="13"/>
      <c r="Q1145" s="14">
        <f>Tabela1[[#This Row],[QTDE/ Fabricação]]-Tabela1[[#This Row],[QTE]]</f>
        <v>-1</v>
      </c>
      <c r="R1145" s="18">
        <f t="shared" ref="R1145:R1162" si="261">IFERROR(H1145*((AA1145*0.25)+(AC1145*0.25)+(AD1145*0.225)+(AE1145*0.225)+(AF1145*0.05)),"")</f>
        <v>110.675</v>
      </c>
      <c r="S1145" s="18">
        <f t="shared" ref="S1145:S1162" si="262">IFERROR(H1145*AG1145,"")</f>
        <v>0</v>
      </c>
      <c r="T1145" s="19">
        <f t="shared" ref="T1145:T1162" si="263">IFERROR(S1145-H1145,"")</f>
        <v>-442.7</v>
      </c>
      <c r="U1145" s="16">
        <f>IFERROR(SUMIF('LISTA DE EMBARQUE'!B:B,MICRO!E:E,'LISTA DE EMBARQUE'!G:G),"")</f>
        <v>0</v>
      </c>
      <c r="V1145" s="12" t="str">
        <f>IFERROR(VLOOKUP(Tabela1[[#This Row],[COD.MDE]],'LISTA DE EMBARQUE'!B:L,11,0),"")</f>
        <v/>
      </c>
      <c r="W1145" s="13" t="str">
        <f>IFERROR(VLOOKUP(Tabela1[[#This Row],[COD.MDE]],'LISTA DE EMBARQUE'!B:M,12,0),"")</f>
        <v/>
      </c>
      <c r="X1145" s="14">
        <f>IFERROR(Tabela1[[#This Row],[QIANTIDADE EXPEDIDA]]*Tabela1[[#This Row],[PESO UNI]],"")</f>
        <v>0</v>
      </c>
      <c r="Y1145" s="14">
        <f t="shared" ref="Y1145:Y1162" si="264">U1145-C1145</f>
        <v>-1</v>
      </c>
      <c r="Z1145" s="20">
        <f>Tabela1[[#This Row],[PESO TOTAL]]-Tabela1[[#This Row],[Peso Expedido]]</f>
        <v>442.7</v>
      </c>
      <c r="AA1145" s="17">
        <v>1</v>
      </c>
      <c r="AB1145" s="33"/>
      <c r="AC1145" s="33"/>
      <c r="AD1145" s="33"/>
      <c r="AE1145" s="33"/>
      <c r="AF1145" s="33"/>
      <c r="AG1145" s="33"/>
      <c r="AH1145" s="33"/>
      <c r="AI1145" s="33"/>
      <c r="AJ1145"/>
      <c r="AK1145"/>
      <c r="AL1145"/>
      <c r="AM1145"/>
      <c r="AN1145"/>
      <c r="AO1145"/>
      <c r="AP1145"/>
      <c r="AQ1145" s="22"/>
      <c r="AR1145" s="24"/>
      <c r="AS1145" s="37"/>
      <c r="AT1145" s="37"/>
      <c r="AU1145" s="37"/>
      <c r="AV1145" s="37"/>
      <c r="AW1145" s="37"/>
    </row>
    <row r="1146" spans="1:49" ht="15.75" customHeight="1" x14ac:dyDescent="0.25">
      <c r="A1146" s="1" t="s">
        <v>5555</v>
      </c>
      <c r="B1146" s="21" t="s">
        <v>5556</v>
      </c>
      <c r="C1146" s="1">
        <v>4</v>
      </c>
      <c r="D1146" s="1" t="s">
        <v>5558</v>
      </c>
      <c r="E1146" s="7">
        <v>4784</v>
      </c>
      <c r="F1146" s="7">
        <v>33</v>
      </c>
      <c r="G1146" s="1">
        <v>3.1</v>
      </c>
      <c r="H1146" s="34">
        <f>Tabela1[[#This Row],[PESO UNI]]*Tabela1[[#This Row],[QTE]]</f>
        <v>12.4</v>
      </c>
      <c r="I1146" s="7" t="s">
        <v>5580</v>
      </c>
      <c r="J1146" s="8" t="s">
        <v>4834</v>
      </c>
      <c r="K1146" s="8" t="s">
        <v>4320</v>
      </c>
      <c r="L1146" s="9" t="s">
        <v>3291</v>
      </c>
      <c r="M1146" s="10">
        <v>46266</v>
      </c>
      <c r="N1146" s="8" t="s">
        <v>38</v>
      </c>
      <c r="O1146" s="12"/>
      <c r="P1146" s="13"/>
      <c r="Q1146" s="14">
        <f>Tabela1[[#This Row],[QTDE/ Fabricação]]-Tabela1[[#This Row],[QTE]]</f>
        <v>-4</v>
      </c>
      <c r="R1146" s="18">
        <f t="shared" si="261"/>
        <v>3.1</v>
      </c>
      <c r="S1146" s="18">
        <f t="shared" si="262"/>
        <v>0</v>
      </c>
      <c r="T1146" s="19">
        <f t="shared" si="263"/>
        <v>-12.4</v>
      </c>
      <c r="U1146" s="16">
        <f>IFERROR(SUMIF('LISTA DE EMBARQUE'!B:B,MICRO!E:E,'LISTA DE EMBARQUE'!G:G),"")</f>
        <v>0</v>
      </c>
      <c r="V1146" s="12" t="str">
        <f>IFERROR(VLOOKUP(Tabela1[[#This Row],[COD.MDE]],'LISTA DE EMBARQUE'!B:L,11,0),"")</f>
        <v/>
      </c>
      <c r="W1146" s="13" t="str">
        <f>IFERROR(VLOOKUP(Tabela1[[#This Row],[COD.MDE]],'LISTA DE EMBARQUE'!B:M,12,0),"")</f>
        <v/>
      </c>
      <c r="X1146" s="14">
        <f>IFERROR(Tabela1[[#This Row],[QIANTIDADE EXPEDIDA]]*Tabela1[[#This Row],[PESO UNI]],"")</f>
        <v>0</v>
      </c>
      <c r="Y1146" s="14">
        <f t="shared" si="264"/>
        <v>-4</v>
      </c>
      <c r="Z1146" s="20">
        <f>Tabela1[[#This Row],[PESO TOTAL]]-Tabela1[[#This Row],[Peso Expedido]]</f>
        <v>12.4</v>
      </c>
      <c r="AA1146" s="17">
        <v>1</v>
      </c>
      <c r="AB1146" s="33"/>
      <c r="AC1146" s="33"/>
      <c r="AD1146" s="33"/>
      <c r="AE1146" s="33"/>
      <c r="AF1146" s="33"/>
      <c r="AG1146" s="33"/>
      <c r="AH1146" s="33"/>
      <c r="AI1146" s="33"/>
      <c r="AJ1146"/>
      <c r="AK1146"/>
      <c r="AL1146"/>
      <c r="AM1146"/>
      <c r="AN1146"/>
      <c r="AO1146"/>
      <c r="AP1146"/>
      <c r="AQ1146" s="22"/>
      <c r="AR1146" s="24"/>
      <c r="AS1146" s="37"/>
      <c r="AT1146" s="37"/>
      <c r="AU1146" s="37"/>
      <c r="AV1146" s="37"/>
      <c r="AW1146" s="37"/>
    </row>
    <row r="1147" spans="1:49" ht="15.75" customHeight="1" x14ac:dyDescent="0.25">
      <c r="A1147" s="1" t="s">
        <v>5559</v>
      </c>
      <c r="B1147" s="21" t="s">
        <v>5560</v>
      </c>
      <c r="C1147" s="1">
        <v>1</v>
      </c>
      <c r="D1147" s="1" t="s">
        <v>5561</v>
      </c>
      <c r="E1147" s="7">
        <v>4785</v>
      </c>
      <c r="F1147" s="7">
        <v>19</v>
      </c>
      <c r="G1147" s="1">
        <v>675</v>
      </c>
      <c r="H1147" s="34">
        <f>Tabela1[[#This Row],[PESO UNI]]*Tabela1[[#This Row],[QTE]]</f>
        <v>675</v>
      </c>
      <c r="I1147" s="7" t="s">
        <v>5713</v>
      </c>
      <c r="J1147" s="8" t="s">
        <v>4834</v>
      </c>
      <c r="K1147" s="8" t="s">
        <v>4320</v>
      </c>
      <c r="L1147" s="9" t="s">
        <v>3291</v>
      </c>
      <c r="M1147" s="10">
        <v>46252</v>
      </c>
      <c r="N1147" s="8" t="s">
        <v>38</v>
      </c>
      <c r="O1147" s="12"/>
      <c r="P1147" s="13"/>
      <c r="Q1147" s="14">
        <f>Tabela1[[#This Row],[QTDE/ Fabricação]]-Tabela1[[#This Row],[QTE]]</f>
        <v>-1</v>
      </c>
      <c r="R1147" s="18">
        <f t="shared" si="261"/>
        <v>410.0625</v>
      </c>
      <c r="S1147" s="18">
        <f t="shared" si="262"/>
        <v>0</v>
      </c>
      <c r="T1147" s="19">
        <f t="shared" si="263"/>
        <v>-675</v>
      </c>
      <c r="U1147" s="16">
        <f>IFERROR(SUMIF('LISTA DE EMBARQUE'!B:B,MICRO!E:E,'LISTA DE EMBARQUE'!G:G),"")</f>
        <v>0</v>
      </c>
      <c r="V1147" s="12" t="str">
        <f>IFERROR(VLOOKUP(Tabela1[[#This Row],[COD.MDE]],'LISTA DE EMBARQUE'!B:L,11,0),"")</f>
        <v/>
      </c>
      <c r="W1147" s="13" t="str">
        <f>IFERROR(VLOOKUP(Tabela1[[#This Row],[COD.MDE]],'LISTA DE EMBARQUE'!B:M,12,0),"")</f>
        <v/>
      </c>
      <c r="X1147" s="14">
        <f>IFERROR(Tabela1[[#This Row],[QIANTIDADE EXPEDIDA]]*Tabela1[[#This Row],[PESO UNI]],"")</f>
        <v>0</v>
      </c>
      <c r="Y1147" s="14">
        <f t="shared" si="264"/>
        <v>-1</v>
      </c>
      <c r="Z1147" s="20">
        <f>Tabela1[[#This Row],[PESO TOTAL]]-Tabela1[[#This Row],[Peso Expedido]]</f>
        <v>675</v>
      </c>
      <c r="AA1147" s="17">
        <v>0.9</v>
      </c>
      <c r="AB1147" s="33"/>
      <c r="AC1147" s="33">
        <v>0.9</v>
      </c>
      <c r="AD1147" s="33">
        <v>0.7</v>
      </c>
      <c r="AE1147" s="33"/>
      <c r="AF1147" s="33"/>
      <c r="AG1147" s="33"/>
      <c r="AH1147" s="33"/>
      <c r="AI1147" s="33"/>
      <c r="AJ1147"/>
      <c r="AK1147"/>
      <c r="AL1147"/>
      <c r="AM1147"/>
      <c r="AN1147"/>
      <c r="AO1147"/>
      <c r="AP1147"/>
      <c r="AQ1147" s="22"/>
      <c r="AR1147" s="24"/>
      <c r="AS1147" s="37"/>
      <c r="AT1147" s="37"/>
      <c r="AU1147" s="37"/>
      <c r="AV1147" s="37"/>
      <c r="AW1147" s="37"/>
    </row>
    <row r="1148" spans="1:49" ht="15.75" customHeight="1" x14ac:dyDescent="0.25">
      <c r="A1148" s="1" t="s">
        <v>5562</v>
      </c>
      <c r="B1148" s="21"/>
      <c r="C1148" s="1">
        <v>8</v>
      </c>
      <c r="D1148" s="1" t="s">
        <v>5563</v>
      </c>
      <c r="E1148" s="7">
        <v>4786</v>
      </c>
      <c r="F1148" s="7">
        <v>3</v>
      </c>
      <c r="G1148" s="1">
        <v>0.6</v>
      </c>
      <c r="H1148" s="34">
        <f>Tabela1[[#This Row],[PESO UNI]]*Tabela1[[#This Row],[QTE]]</f>
        <v>4.8</v>
      </c>
      <c r="I1148" s="7">
        <v>0</v>
      </c>
      <c r="J1148" s="8" t="s">
        <v>5528</v>
      </c>
      <c r="K1148" s="8" t="s">
        <v>4320</v>
      </c>
      <c r="L1148" s="9" t="s">
        <v>5529</v>
      </c>
      <c r="M1148" s="10">
        <v>46267</v>
      </c>
      <c r="N1148" s="8" t="s">
        <v>5105</v>
      </c>
      <c r="O1148" s="12"/>
      <c r="P1148" s="13"/>
      <c r="Q1148" s="14">
        <f>Tabela1[[#This Row],[QTDE/ Fabricação]]-Tabela1[[#This Row],[QTE]]</f>
        <v>-8</v>
      </c>
      <c r="R1148" s="18">
        <f t="shared" si="261"/>
        <v>1.2</v>
      </c>
      <c r="S1148" s="18">
        <f t="shared" si="262"/>
        <v>0</v>
      </c>
      <c r="T1148" s="19">
        <f t="shared" si="263"/>
        <v>-4.8</v>
      </c>
      <c r="U1148" s="16">
        <f>IFERROR(SUMIF('LISTA DE EMBARQUE'!B:B,MICRO!E:E,'LISTA DE EMBARQUE'!G:G),"")</f>
        <v>0</v>
      </c>
      <c r="V1148" s="12" t="str">
        <f>IFERROR(VLOOKUP(Tabela1[[#This Row],[COD.MDE]],'LISTA DE EMBARQUE'!B:L,11,0),"")</f>
        <v/>
      </c>
      <c r="W1148" s="13" t="str">
        <f>IFERROR(VLOOKUP(Tabela1[[#This Row],[COD.MDE]],'LISTA DE EMBARQUE'!B:M,12,0),"")</f>
        <v/>
      </c>
      <c r="X1148" s="14">
        <f>IFERROR(Tabela1[[#This Row],[QIANTIDADE EXPEDIDA]]*Tabela1[[#This Row],[PESO UNI]],"")</f>
        <v>0</v>
      </c>
      <c r="Y1148" s="14">
        <f t="shared" si="264"/>
        <v>-8</v>
      </c>
      <c r="Z1148" s="20">
        <f>Tabela1[[#This Row],[PESO TOTAL]]-Tabela1[[#This Row],[Peso Expedido]]</f>
        <v>4.8</v>
      </c>
      <c r="AA1148" s="17">
        <v>1</v>
      </c>
      <c r="AB1148" s="33"/>
      <c r="AC1148" s="33"/>
      <c r="AD1148" s="33"/>
      <c r="AE1148" s="33"/>
      <c r="AF1148" s="33"/>
      <c r="AG1148" s="33"/>
      <c r="AH1148" s="33"/>
      <c r="AI1148" s="33"/>
      <c r="AJ1148"/>
      <c r="AK1148"/>
      <c r="AL1148"/>
      <c r="AM1148"/>
      <c r="AN1148"/>
      <c r="AO1148"/>
      <c r="AP1148"/>
      <c r="AQ1148" s="22"/>
      <c r="AR1148" s="24"/>
      <c r="AS1148" s="37"/>
      <c r="AT1148" s="37"/>
      <c r="AU1148" s="37"/>
      <c r="AV1148" s="37"/>
      <c r="AW1148" s="37"/>
    </row>
    <row r="1149" spans="1:49" ht="15.75" customHeight="1" x14ac:dyDescent="0.25">
      <c r="A1149" s="1" t="s">
        <v>5562</v>
      </c>
      <c r="B1149" s="21"/>
      <c r="C1149" s="1">
        <v>1</v>
      </c>
      <c r="D1149" s="1" t="s">
        <v>5564</v>
      </c>
      <c r="E1149" s="7">
        <v>4787</v>
      </c>
      <c r="F1149" s="7">
        <v>3</v>
      </c>
      <c r="G1149" s="1">
        <v>14.4</v>
      </c>
      <c r="H1149" s="34">
        <f>Tabela1[[#This Row],[PESO UNI]]*Tabela1[[#This Row],[QTE]]</f>
        <v>14.4</v>
      </c>
      <c r="I1149" s="7">
        <v>0</v>
      </c>
      <c r="J1149" s="8" t="s">
        <v>5528</v>
      </c>
      <c r="K1149" s="8" t="s">
        <v>4320</v>
      </c>
      <c r="L1149" s="9" t="s">
        <v>5529</v>
      </c>
      <c r="M1149" s="10">
        <v>46267</v>
      </c>
      <c r="N1149" s="8" t="s">
        <v>5105</v>
      </c>
      <c r="O1149" s="12"/>
      <c r="P1149" s="13"/>
      <c r="Q1149" s="14">
        <f>Tabela1[[#This Row],[QTDE/ Fabricação]]-Tabela1[[#This Row],[QTE]]</f>
        <v>-1</v>
      </c>
      <c r="R1149" s="18">
        <f t="shared" si="261"/>
        <v>3.6</v>
      </c>
      <c r="S1149" s="18">
        <f t="shared" si="262"/>
        <v>0</v>
      </c>
      <c r="T1149" s="19">
        <f t="shared" si="263"/>
        <v>-14.4</v>
      </c>
      <c r="U1149" s="16">
        <f>IFERROR(SUMIF('LISTA DE EMBARQUE'!B:B,MICRO!E:E,'LISTA DE EMBARQUE'!G:G),"")</f>
        <v>0</v>
      </c>
      <c r="V1149" s="12" t="str">
        <f>IFERROR(VLOOKUP(Tabela1[[#This Row],[COD.MDE]],'LISTA DE EMBARQUE'!B:L,11,0),"")</f>
        <v/>
      </c>
      <c r="W1149" s="13" t="str">
        <f>IFERROR(VLOOKUP(Tabela1[[#This Row],[COD.MDE]],'LISTA DE EMBARQUE'!B:M,12,0),"")</f>
        <v/>
      </c>
      <c r="X1149" s="14">
        <f>IFERROR(Tabela1[[#This Row],[QIANTIDADE EXPEDIDA]]*Tabela1[[#This Row],[PESO UNI]],"")</f>
        <v>0</v>
      </c>
      <c r="Y1149" s="14">
        <f t="shared" si="264"/>
        <v>-1</v>
      </c>
      <c r="Z1149" s="20">
        <f>Tabela1[[#This Row],[PESO TOTAL]]-Tabela1[[#This Row],[Peso Expedido]]</f>
        <v>14.4</v>
      </c>
      <c r="AA1149" s="17">
        <v>1</v>
      </c>
      <c r="AB1149" s="33"/>
      <c r="AC1149" s="33"/>
      <c r="AD1149" s="33"/>
      <c r="AE1149" s="33"/>
      <c r="AF1149" s="33"/>
      <c r="AG1149" s="33"/>
      <c r="AH1149" s="33"/>
      <c r="AI1149" s="33"/>
      <c r="AJ1149"/>
      <c r="AK1149"/>
      <c r="AL1149"/>
      <c r="AM1149"/>
      <c r="AN1149"/>
      <c r="AO1149"/>
      <c r="AP1149"/>
      <c r="AQ1149" s="22"/>
      <c r="AR1149" s="24"/>
      <c r="AS1149" s="37"/>
      <c r="AT1149" s="37"/>
      <c r="AU1149" s="37"/>
      <c r="AV1149" s="37"/>
      <c r="AW1149" s="37"/>
    </row>
    <row r="1150" spans="1:49" ht="15.75" customHeight="1" x14ac:dyDescent="0.25">
      <c r="A1150" s="1" t="s">
        <v>5562</v>
      </c>
      <c r="B1150" s="21"/>
      <c r="C1150" s="1">
        <v>1</v>
      </c>
      <c r="D1150" s="1" t="s">
        <v>5565</v>
      </c>
      <c r="E1150" s="7">
        <v>4788</v>
      </c>
      <c r="F1150" s="7">
        <v>3</v>
      </c>
      <c r="G1150" s="1">
        <v>14.4</v>
      </c>
      <c r="H1150" s="34">
        <f>Tabela1[[#This Row],[PESO UNI]]*Tabela1[[#This Row],[QTE]]</f>
        <v>14.4</v>
      </c>
      <c r="I1150" s="7">
        <v>0</v>
      </c>
      <c r="J1150" s="8" t="s">
        <v>5528</v>
      </c>
      <c r="K1150" s="8" t="s">
        <v>4320</v>
      </c>
      <c r="L1150" s="9" t="s">
        <v>5529</v>
      </c>
      <c r="M1150" s="10">
        <v>46267</v>
      </c>
      <c r="N1150" s="8" t="s">
        <v>5105</v>
      </c>
      <c r="O1150" s="12"/>
      <c r="P1150" s="13"/>
      <c r="Q1150" s="14">
        <f>Tabela1[[#This Row],[QTDE/ Fabricação]]-Tabela1[[#This Row],[QTE]]</f>
        <v>-1</v>
      </c>
      <c r="R1150" s="18">
        <f t="shared" si="261"/>
        <v>3.6</v>
      </c>
      <c r="S1150" s="18">
        <f t="shared" si="262"/>
        <v>0</v>
      </c>
      <c r="T1150" s="19">
        <f t="shared" si="263"/>
        <v>-14.4</v>
      </c>
      <c r="U1150" s="16">
        <f>IFERROR(SUMIF('LISTA DE EMBARQUE'!B:B,MICRO!E:E,'LISTA DE EMBARQUE'!G:G),"")</f>
        <v>0</v>
      </c>
      <c r="V1150" s="12" t="str">
        <f>IFERROR(VLOOKUP(Tabela1[[#This Row],[COD.MDE]],'LISTA DE EMBARQUE'!B:L,11,0),"")</f>
        <v/>
      </c>
      <c r="W1150" s="13" t="str">
        <f>IFERROR(VLOOKUP(Tabela1[[#This Row],[COD.MDE]],'LISTA DE EMBARQUE'!B:M,12,0),"")</f>
        <v/>
      </c>
      <c r="X1150" s="14">
        <f>IFERROR(Tabela1[[#This Row],[QIANTIDADE EXPEDIDA]]*Tabela1[[#This Row],[PESO UNI]],"")</f>
        <v>0</v>
      </c>
      <c r="Y1150" s="14">
        <f t="shared" si="264"/>
        <v>-1</v>
      </c>
      <c r="Z1150" s="20">
        <f>Tabela1[[#This Row],[PESO TOTAL]]-Tabela1[[#This Row],[Peso Expedido]]</f>
        <v>14.4</v>
      </c>
      <c r="AA1150" s="17">
        <v>1</v>
      </c>
      <c r="AB1150" s="33"/>
      <c r="AC1150" s="33"/>
      <c r="AD1150" s="33"/>
      <c r="AE1150" s="33"/>
      <c r="AF1150" s="33"/>
      <c r="AG1150" s="33"/>
      <c r="AH1150" s="33"/>
      <c r="AI1150" s="33"/>
      <c r="AJ1150"/>
      <c r="AK1150"/>
      <c r="AL1150"/>
      <c r="AM1150"/>
      <c r="AN1150"/>
      <c r="AO1150"/>
      <c r="AP1150"/>
      <c r="AQ1150" s="22"/>
      <c r="AR1150" s="24"/>
      <c r="AS1150" s="37"/>
      <c r="AT1150" s="37"/>
      <c r="AU1150" s="37"/>
      <c r="AV1150" s="37"/>
      <c r="AW1150" s="37"/>
    </row>
    <row r="1151" spans="1:49" ht="15.75" customHeight="1" x14ac:dyDescent="0.25">
      <c r="A1151" s="1" t="s">
        <v>5566</v>
      </c>
      <c r="B1151" s="21"/>
      <c r="C1151" s="1">
        <v>1</v>
      </c>
      <c r="D1151" s="1" t="s">
        <v>5567</v>
      </c>
      <c r="E1151" s="7">
        <v>4789</v>
      </c>
      <c r="F1151" s="7">
        <v>3</v>
      </c>
      <c r="G1151" s="1">
        <v>0.1</v>
      </c>
      <c r="H1151" s="34">
        <f>Tabela1[[#This Row],[PESO UNI]]*Tabela1[[#This Row],[QTE]]</f>
        <v>0.1</v>
      </c>
      <c r="I1151" s="7">
        <v>0</v>
      </c>
      <c r="J1151" s="8" t="s">
        <v>5528</v>
      </c>
      <c r="K1151" s="8" t="s">
        <v>4320</v>
      </c>
      <c r="L1151" s="9" t="s">
        <v>5529</v>
      </c>
      <c r="M1151" s="10">
        <v>46267</v>
      </c>
      <c r="N1151" s="8" t="s">
        <v>5105</v>
      </c>
      <c r="O1151" s="12"/>
      <c r="P1151" s="13"/>
      <c r="Q1151" s="14">
        <f>Tabela1[[#This Row],[QTDE/ Fabricação]]-Tabela1[[#This Row],[QTE]]</f>
        <v>-1</v>
      </c>
      <c r="R1151" s="18">
        <f t="shared" si="261"/>
        <v>2.5000000000000001E-2</v>
      </c>
      <c r="S1151" s="18">
        <f t="shared" si="262"/>
        <v>0</v>
      </c>
      <c r="T1151" s="19">
        <f t="shared" si="263"/>
        <v>-0.1</v>
      </c>
      <c r="U1151" s="16">
        <f>IFERROR(SUMIF('LISTA DE EMBARQUE'!B:B,MICRO!E:E,'LISTA DE EMBARQUE'!G:G),"")</f>
        <v>0</v>
      </c>
      <c r="V1151" s="12" t="str">
        <f>IFERROR(VLOOKUP(Tabela1[[#This Row],[COD.MDE]],'LISTA DE EMBARQUE'!B:L,11,0),"")</f>
        <v/>
      </c>
      <c r="W1151" s="13" t="str">
        <f>IFERROR(VLOOKUP(Tabela1[[#This Row],[COD.MDE]],'LISTA DE EMBARQUE'!B:M,12,0),"")</f>
        <v/>
      </c>
      <c r="X1151" s="14">
        <f>IFERROR(Tabela1[[#This Row],[QIANTIDADE EXPEDIDA]]*Tabela1[[#This Row],[PESO UNI]],"")</f>
        <v>0</v>
      </c>
      <c r="Y1151" s="14">
        <f t="shared" si="264"/>
        <v>-1</v>
      </c>
      <c r="Z1151" s="20">
        <f>Tabela1[[#This Row],[PESO TOTAL]]-Tabela1[[#This Row],[Peso Expedido]]</f>
        <v>0.1</v>
      </c>
      <c r="AA1151" s="17">
        <v>1</v>
      </c>
      <c r="AB1151" s="33"/>
      <c r="AC1151" s="33"/>
      <c r="AD1151" s="33"/>
      <c r="AE1151" s="33"/>
      <c r="AF1151" s="33"/>
      <c r="AG1151" s="33"/>
      <c r="AH1151" s="33"/>
      <c r="AI1151" s="33"/>
      <c r="AJ1151"/>
      <c r="AK1151"/>
      <c r="AL1151"/>
      <c r="AM1151"/>
      <c r="AN1151"/>
      <c r="AO1151"/>
      <c r="AP1151"/>
      <c r="AQ1151" s="22"/>
      <c r="AR1151" s="24"/>
      <c r="AS1151" s="37"/>
      <c r="AT1151" s="37"/>
      <c r="AU1151" s="37"/>
      <c r="AV1151" s="37"/>
      <c r="AW1151" s="37"/>
    </row>
    <row r="1152" spans="1:49" ht="15.75" customHeight="1" x14ac:dyDescent="0.25">
      <c r="A1152" s="1" t="s">
        <v>5566</v>
      </c>
      <c r="B1152" s="21"/>
      <c r="C1152" s="1">
        <v>1</v>
      </c>
      <c r="D1152" s="1" t="s">
        <v>5568</v>
      </c>
      <c r="E1152" s="7">
        <v>4790</v>
      </c>
      <c r="F1152" s="7">
        <v>3</v>
      </c>
      <c r="G1152" s="1">
        <v>0.2</v>
      </c>
      <c r="H1152" s="34">
        <f>Tabela1[[#This Row],[PESO UNI]]*Tabela1[[#This Row],[QTE]]</f>
        <v>0.2</v>
      </c>
      <c r="I1152" s="7">
        <v>0</v>
      </c>
      <c r="J1152" s="8" t="s">
        <v>5528</v>
      </c>
      <c r="K1152" s="8" t="s">
        <v>4320</v>
      </c>
      <c r="L1152" s="9" t="s">
        <v>5529</v>
      </c>
      <c r="M1152" s="10">
        <v>46267</v>
      </c>
      <c r="N1152" s="8" t="s">
        <v>5105</v>
      </c>
      <c r="O1152" s="12"/>
      <c r="P1152" s="13"/>
      <c r="Q1152" s="14">
        <f>Tabela1[[#This Row],[QTDE/ Fabricação]]-Tabela1[[#This Row],[QTE]]</f>
        <v>-1</v>
      </c>
      <c r="R1152" s="18">
        <f t="shared" si="261"/>
        <v>0.05</v>
      </c>
      <c r="S1152" s="18">
        <f t="shared" si="262"/>
        <v>0</v>
      </c>
      <c r="T1152" s="19">
        <f t="shared" si="263"/>
        <v>-0.2</v>
      </c>
      <c r="U1152" s="16">
        <f>IFERROR(SUMIF('LISTA DE EMBARQUE'!B:B,MICRO!E:E,'LISTA DE EMBARQUE'!G:G),"")</f>
        <v>0</v>
      </c>
      <c r="V1152" s="12" t="str">
        <f>IFERROR(VLOOKUP(Tabela1[[#This Row],[COD.MDE]],'LISTA DE EMBARQUE'!B:L,11,0),"")</f>
        <v/>
      </c>
      <c r="W1152" s="13" t="str">
        <f>IFERROR(VLOOKUP(Tabela1[[#This Row],[COD.MDE]],'LISTA DE EMBARQUE'!B:M,12,0),"")</f>
        <v/>
      </c>
      <c r="X1152" s="14">
        <f>IFERROR(Tabela1[[#This Row],[QIANTIDADE EXPEDIDA]]*Tabela1[[#This Row],[PESO UNI]],"")</f>
        <v>0</v>
      </c>
      <c r="Y1152" s="14">
        <f t="shared" si="264"/>
        <v>-1</v>
      </c>
      <c r="Z1152" s="20">
        <f>Tabela1[[#This Row],[PESO TOTAL]]-Tabela1[[#This Row],[Peso Expedido]]</f>
        <v>0.2</v>
      </c>
      <c r="AA1152" s="17">
        <v>1</v>
      </c>
      <c r="AB1152" s="33"/>
      <c r="AC1152" s="33"/>
      <c r="AD1152" s="33"/>
      <c r="AE1152" s="33"/>
      <c r="AF1152" s="33"/>
      <c r="AG1152" s="33"/>
      <c r="AH1152" s="33"/>
      <c r="AI1152" s="33"/>
      <c r="AJ1152"/>
      <c r="AK1152"/>
      <c r="AL1152"/>
      <c r="AM1152"/>
      <c r="AN1152"/>
      <c r="AO1152"/>
      <c r="AP1152"/>
      <c r="AQ1152" s="22"/>
      <c r="AR1152" s="24"/>
      <c r="AS1152" s="37"/>
      <c r="AT1152" s="37"/>
      <c r="AU1152" s="37"/>
      <c r="AV1152" s="37"/>
      <c r="AW1152" s="37"/>
    </row>
    <row r="1153" spans="1:49" ht="15.75" customHeight="1" x14ac:dyDescent="0.25">
      <c r="A1153" s="1" t="s">
        <v>5566</v>
      </c>
      <c r="B1153" s="21"/>
      <c r="C1153" s="1">
        <v>1</v>
      </c>
      <c r="D1153" s="1" t="s">
        <v>5569</v>
      </c>
      <c r="E1153" s="7">
        <v>4791</v>
      </c>
      <c r="F1153" s="7">
        <v>3</v>
      </c>
      <c r="G1153" s="1">
        <v>4.4000000000000004</v>
      </c>
      <c r="H1153" s="34">
        <f>Tabela1[[#This Row],[PESO UNI]]*Tabela1[[#This Row],[QTE]]</f>
        <v>4.4000000000000004</v>
      </c>
      <c r="I1153" s="7">
        <v>0</v>
      </c>
      <c r="J1153" s="8" t="s">
        <v>5528</v>
      </c>
      <c r="K1153" s="8" t="s">
        <v>4320</v>
      </c>
      <c r="L1153" s="9" t="s">
        <v>5529</v>
      </c>
      <c r="M1153" s="10">
        <v>46267</v>
      </c>
      <c r="N1153" s="8" t="s">
        <v>5105</v>
      </c>
      <c r="O1153" s="12"/>
      <c r="P1153" s="13"/>
      <c r="Q1153" s="14">
        <f>Tabela1[[#This Row],[QTDE/ Fabricação]]-Tabela1[[#This Row],[QTE]]</f>
        <v>-1</v>
      </c>
      <c r="R1153" s="18">
        <f t="shared" si="261"/>
        <v>1.1000000000000001</v>
      </c>
      <c r="S1153" s="18">
        <f t="shared" si="262"/>
        <v>0</v>
      </c>
      <c r="T1153" s="19">
        <f t="shared" si="263"/>
        <v>-4.4000000000000004</v>
      </c>
      <c r="U1153" s="16">
        <f>IFERROR(SUMIF('LISTA DE EMBARQUE'!B:B,MICRO!E:E,'LISTA DE EMBARQUE'!G:G),"")</f>
        <v>0</v>
      </c>
      <c r="V1153" s="12" t="str">
        <f>IFERROR(VLOOKUP(Tabela1[[#This Row],[COD.MDE]],'LISTA DE EMBARQUE'!B:L,11,0),"")</f>
        <v/>
      </c>
      <c r="W1153" s="13" t="str">
        <f>IFERROR(VLOOKUP(Tabela1[[#This Row],[COD.MDE]],'LISTA DE EMBARQUE'!B:M,12,0),"")</f>
        <v/>
      </c>
      <c r="X1153" s="14">
        <f>IFERROR(Tabela1[[#This Row],[QIANTIDADE EXPEDIDA]]*Tabela1[[#This Row],[PESO UNI]],"")</f>
        <v>0</v>
      </c>
      <c r="Y1153" s="14">
        <f t="shared" si="264"/>
        <v>-1</v>
      </c>
      <c r="Z1153" s="20">
        <f>Tabela1[[#This Row],[PESO TOTAL]]-Tabela1[[#This Row],[Peso Expedido]]</f>
        <v>4.4000000000000004</v>
      </c>
      <c r="AA1153" s="17">
        <v>1</v>
      </c>
      <c r="AB1153" s="33"/>
      <c r="AC1153" s="33"/>
      <c r="AD1153" s="33"/>
      <c r="AE1153" s="33"/>
      <c r="AF1153" s="33"/>
      <c r="AG1153" s="33"/>
      <c r="AH1153" s="33"/>
      <c r="AI1153" s="33"/>
      <c r="AJ1153"/>
      <c r="AK1153"/>
      <c r="AL1153"/>
      <c r="AM1153"/>
      <c r="AN1153"/>
      <c r="AO1153"/>
      <c r="AP1153"/>
      <c r="AQ1153" s="22"/>
      <c r="AR1153" s="24"/>
      <c r="AS1153" s="37"/>
      <c r="AT1153" s="37"/>
      <c r="AU1153" s="37"/>
      <c r="AV1153" s="37"/>
      <c r="AW1153" s="37"/>
    </row>
    <row r="1154" spans="1:49" ht="15.75" customHeight="1" x14ac:dyDescent="0.25">
      <c r="A1154" s="1" t="s">
        <v>5566</v>
      </c>
      <c r="B1154" s="21"/>
      <c r="C1154" s="1">
        <v>1</v>
      </c>
      <c r="D1154" s="1" t="s">
        <v>5570</v>
      </c>
      <c r="E1154" s="7">
        <v>4792</v>
      </c>
      <c r="F1154" s="7">
        <v>3</v>
      </c>
      <c r="G1154" s="1">
        <v>4</v>
      </c>
      <c r="H1154" s="34">
        <f>Tabela1[[#This Row],[PESO UNI]]*Tabela1[[#This Row],[QTE]]</f>
        <v>4</v>
      </c>
      <c r="I1154" s="7">
        <v>0</v>
      </c>
      <c r="J1154" s="8" t="s">
        <v>5528</v>
      </c>
      <c r="K1154" s="8" t="s">
        <v>4320</v>
      </c>
      <c r="L1154" s="9" t="s">
        <v>5529</v>
      </c>
      <c r="M1154" s="10">
        <v>46267</v>
      </c>
      <c r="N1154" s="8" t="s">
        <v>5105</v>
      </c>
      <c r="O1154" s="12"/>
      <c r="P1154" s="13"/>
      <c r="Q1154" s="14">
        <f>Tabela1[[#This Row],[QTDE/ Fabricação]]-Tabela1[[#This Row],[QTE]]</f>
        <v>-1</v>
      </c>
      <c r="R1154" s="18">
        <f t="shared" si="261"/>
        <v>1</v>
      </c>
      <c r="S1154" s="18">
        <f t="shared" si="262"/>
        <v>0</v>
      </c>
      <c r="T1154" s="19">
        <f t="shared" si="263"/>
        <v>-4</v>
      </c>
      <c r="U1154" s="16">
        <f>IFERROR(SUMIF('LISTA DE EMBARQUE'!B:B,MICRO!E:E,'LISTA DE EMBARQUE'!G:G),"")</f>
        <v>0</v>
      </c>
      <c r="V1154" s="12" t="str">
        <f>IFERROR(VLOOKUP(Tabela1[[#This Row],[COD.MDE]],'LISTA DE EMBARQUE'!B:L,11,0),"")</f>
        <v/>
      </c>
      <c r="W1154" s="13" t="str">
        <f>IFERROR(VLOOKUP(Tabela1[[#This Row],[COD.MDE]],'LISTA DE EMBARQUE'!B:M,12,0),"")</f>
        <v/>
      </c>
      <c r="X1154" s="14">
        <f>IFERROR(Tabela1[[#This Row],[QIANTIDADE EXPEDIDA]]*Tabela1[[#This Row],[PESO UNI]],"")</f>
        <v>0</v>
      </c>
      <c r="Y1154" s="14">
        <f t="shared" si="264"/>
        <v>-1</v>
      </c>
      <c r="Z1154" s="20">
        <f>Tabela1[[#This Row],[PESO TOTAL]]-Tabela1[[#This Row],[Peso Expedido]]</f>
        <v>4</v>
      </c>
      <c r="AA1154" s="17">
        <v>1</v>
      </c>
      <c r="AB1154" s="33"/>
      <c r="AC1154" s="33"/>
      <c r="AD1154" s="33"/>
      <c r="AE1154" s="33"/>
      <c r="AF1154" s="33"/>
      <c r="AG1154" s="33"/>
      <c r="AH1154" s="33"/>
      <c r="AI1154" s="33"/>
      <c r="AJ1154"/>
      <c r="AK1154"/>
      <c r="AL1154"/>
      <c r="AM1154"/>
      <c r="AN1154"/>
      <c r="AO1154"/>
      <c r="AP1154"/>
      <c r="AQ1154" s="22"/>
      <c r="AR1154" s="24"/>
      <c r="AS1154" s="37"/>
      <c r="AT1154" s="37"/>
      <c r="AU1154" s="37"/>
      <c r="AV1154" s="37"/>
      <c r="AW1154" s="37"/>
    </row>
    <row r="1155" spans="1:49" ht="15.75" customHeight="1" x14ac:dyDescent="0.25">
      <c r="A1155" s="1" t="s">
        <v>5566</v>
      </c>
      <c r="B1155" s="21"/>
      <c r="C1155" s="1">
        <v>1</v>
      </c>
      <c r="D1155" s="1" t="s">
        <v>5571</v>
      </c>
      <c r="E1155" s="7">
        <v>4792</v>
      </c>
      <c r="F1155" s="7">
        <v>3</v>
      </c>
      <c r="G1155" s="1">
        <v>2.9</v>
      </c>
      <c r="H1155" s="34">
        <f>Tabela1[[#This Row],[PESO UNI]]*Tabela1[[#This Row],[QTE]]</f>
        <v>2.9</v>
      </c>
      <c r="I1155" s="7">
        <v>0</v>
      </c>
      <c r="J1155" s="8" t="s">
        <v>5528</v>
      </c>
      <c r="K1155" s="8" t="s">
        <v>4320</v>
      </c>
      <c r="L1155" s="9" t="s">
        <v>5529</v>
      </c>
      <c r="M1155" s="10">
        <v>46267</v>
      </c>
      <c r="N1155" s="8" t="s">
        <v>5105</v>
      </c>
      <c r="O1155" s="12"/>
      <c r="P1155" s="13"/>
      <c r="Q1155" s="14">
        <f>Tabela1[[#This Row],[QTDE/ Fabricação]]-Tabela1[[#This Row],[QTE]]</f>
        <v>-1</v>
      </c>
      <c r="R1155" s="18">
        <f t="shared" si="261"/>
        <v>0.72499999999999998</v>
      </c>
      <c r="S1155" s="18">
        <f t="shared" si="262"/>
        <v>0</v>
      </c>
      <c r="T1155" s="19">
        <f t="shared" si="263"/>
        <v>-2.9</v>
      </c>
      <c r="U1155" s="16">
        <f>IFERROR(SUMIF('LISTA DE EMBARQUE'!B:B,MICRO!E:E,'LISTA DE EMBARQUE'!G:G),"")</f>
        <v>0</v>
      </c>
      <c r="V1155" s="12" t="str">
        <f>IFERROR(VLOOKUP(Tabela1[[#This Row],[COD.MDE]],'LISTA DE EMBARQUE'!B:L,11,0),"")</f>
        <v/>
      </c>
      <c r="W1155" s="13" t="str">
        <f>IFERROR(VLOOKUP(Tabela1[[#This Row],[COD.MDE]],'LISTA DE EMBARQUE'!B:M,12,0),"")</f>
        <v/>
      </c>
      <c r="X1155" s="14">
        <f>IFERROR(Tabela1[[#This Row],[QIANTIDADE EXPEDIDA]]*Tabela1[[#This Row],[PESO UNI]],"")</f>
        <v>0</v>
      </c>
      <c r="Y1155" s="14">
        <f t="shared" si="264"/>
        <v>-1</v>
      </c>
      <c r="Z1155" s="20">
        <f>Tabela1[[#This Row],[PESO TOTAL]]-Tabela1[[#This Row],[Peso Expedido]]</f>
        <v>2.9</v>
      </c>
      <c r="AA1155" s="17">
        <v>1</v>
      </c>
      <c r="AB1155" s="33"/>
      <c r="AC1155" s="33"/>
      <c r="AD1155" s="33"/>
      <c r="AE1155" s="33"/>
      <c r="AF1155" s="33"/>
      <c r="AG1155" s="33"/>
      <c r="AH1155" s="33"/>
      <c r="AI1155" s="33"/>
      <c r="AJ1155"/>
      <c r="AK1155"/>
      <c r="AL1155"/>
      <c r="AM1155"/>
      <c r="AN1155"/>
      <c r="AO1155"/>
      <c r="AP1155"/>
      <c r="AQ1155" s="22"/>
      <c r="AR1155" s="24"/>
      <c r="AS1155" s="37"/>
      <c r="AT1155" s="37"/>
      <c r="AU1155" s="37"/>
      <c r="AV1155" s="37"/>
      <c r="AW1155" s="37"/>
    </row>
    <row r="1156" spans="1:49" ht="15.75" customHeight="1" x14ac:dyDescent="0.25">
      <c r="A1156" s="1" t="s">
        <v>5566</v>
      </c>
      <c r="B1156" s="21"/>
      <c r="C1156" s="1">
        <v>1</v>
      </c>
      <c r="D1156" s="1" t="s">
        <v>5572</v>
      </c>
      <c r="E1156" s="7">
        <v>4793</v>
      </c>
      <c r="F1156" s="7">
        <v>3</v>
      </c>
      <c r="G1156" s="1">
        <v>2</v>
      </c>
      <c r="H1156" s="34">
        <f>Tabela1[[#This Row],[PESO UNI]]*Tabela1[[#This Row],[QTE]]</f>
        <v>2</v>
      </c>
      <c r="I1156" s="7">
        <v>0</v>
      </c>
      <c r="J1156" s="8" t="s">
        <v>5528</v>
      </c>
      <c r="K1156" s="8" t="s">
        <v>4320</v>
      </c>
      <c r="L1156" s="9" t="s">
        <v>5529</v>
      </c>
      <c r="M1156" s="10">
        <v>46267</v>
      </c>
      <c r="N1156" s="8" t="s">
        <v>5105</v>
      </c>
      <c r="O1156" s="12"/>
      <c r="P1156" s="13"/>
      <c r="Q1156" s="14">
        <f>Tabela1[[#This Row],[QTDE/ Fabricação]]-Tabela1[[#This Row],[QTE]]</f>
        <v>-1</v>
      </c>
      <c r="R1156" s="18">
        <f t="shared" si="261"/>
        <v>0.5</v>
      </c>
      <c r="S1156" s="18">
        <f t="shared" si="262"/>
        <v>0</v>
      </c>
      <c r="T1156" s="19">
        <f t="shared" si="263"/>
        <v>-2</v>
      </c>
      <c r="U1156" s="16">
        <f>IFERROR(SUMIF('LISTA DE EMBARQUE'!B:B,MICRO!E:E,'LISTA DE EMBARQUE'!G:G),"")</f>
        <v>0</v>
      </c>
      <c r="V1156" s="12" t="str">
        <f>IFERROR(VLOOKUP(Tabela1[[#This Row],[COD.MDE]],'LISTA DE EMBARQUE'!B:L,11,0),"")</f>
        <v/>
      </c>
      <c r="W1156" s="13" t="str">
        <f>IFERROR(VLOOKUP(Tabela1[[#This Row],[COD.MDE]],'LISTA DE EMBARQUE'!B:M,12,0),"")</f>
        <v/>
      </c>
      <c r="X1156" s="14">
        <f>IFERROR(Tabela1[[#This Row],[QIANTIDADE EXPEDIDA]]*Tabela1[[#This Row],[PESO UNI]],"")</f>
        <v>0</v>
      </c>
      <c r="Y1156" s="14">
        <f t="shared" si="264"/>
        <v>-1</v>
      </c>
      <c r="Z1156" s="20">
        <f>Tabela1[[#This Row],[PESO TOTAL]]-Tabela1[[#This Row],[Peso Expedido]]</f>
        <v>2</v>
      </c>
      <c r="AA1156" s="17">
        <v>1</v>
      </c>
      <c r="AB1156" s="33"/>
      <c r="AC1156" s="33"/>
      <c r="AD1156" s="33"/>
      <c r="AE1156" s="33"/>
      <c r="AF1156" s="33"/>
      <c r="AG1156" s="33"/>
      <c r="AH1156" s="33"/>
      <c r="AI1156" s="33"/>
      <c r="AJ1156"/>
      <c r="AK1156"/>
      <c r="AL1156"/>
      <c r="AM1156"/>
      <c r="AN1156"/>
      <c r="AO1156"/>
      <c r="AP1156"/>
      <c r="AQ1156" s="22"/>
      <c r="AR1156" s="24"/>
      <c r="AS1156" s="37"/>
      <c r="AT1156" s="37"/>
      <c r="AU1156" s="37"/>
      <c r="AV1156" s="37"/>
      <c r="AW1156" s="37"/>
    </row>
    <row r="1157" spans="1:49" ht="15.75" customHeight="1" x14ac:dyDescent="0.25">
      <c r="A1157" s="1" t="s">
        <v>5566</v>
      </c>
      <c r="B1157" s="21"/>
      <c r="C1157" s="1">
        <v>1</v>
      </c>
      <c r="D1157" s="1" t="s">
        <v>5573</v>
      </c>
      <c r="E1157" s="7">
        <v>4794</v>
      </c>
      <c r="F1157" s="7">
        <v>3</v>
      </c>
      <c r="G1157" s="1">
        <v>3.2</v>
      </c>
      <c r="H1157" s="34">
        <f>Tabela1[[#This Row],[PESO UNI]]*Tabela1[[#This Row],[QTE]]</f>
        <v>3.2</v>
      </c>
      <c r="I1157" s="7">
        <v>0</v>
      </c>
      <c r="J1157" s="8" t="s">
        <v>5528</v>
      </c>
      <c r="K1157" s="8" t="s">
        <v>4320</v>
      </c>
      <c r="L1157" s="9" t="s">
        <v>5529</v>
      </c>
      <c r="M1157" s="10">
        <v>46267</v>
      </c>
      <c r="N1157" s="8" t="s">
        <v>5105</v>
      </c>
      <c r="O1157" s="12"/>
      <c r="P1157" s="13"/>
      <c r="Q1157" s="14">
        <f>Tabela1[[#This Row],[QTDE/ Fabricação]]-Tabela1[[#This Row],[QTE]]</f>
        <v>-1</v>
      </c>
      <c r="R1157" s="18">
        <f t="shared" si="261"/>
        <v>0.8</v>
      </c>
      <c r="S1157" s="18">
        <f t="shared" si="262"/>
        <v>0</v>
      </c>
      <c r="T1157" s="19">
        <f t="shared" si="263"/>
        <v>-3.2</v>
      </c>
      <c r="U1157" s="16">
        <f>IFERROR(SUMIF('LISTA DE EMBARQUE'!B:B,MICRO!E:E,'LISTA DE EMBARQUE'!G:G),"")</f>
        <v>0</v>
      </c>
      <c r="V1157" s="12" t="str">
        <f>IFERROR(VLOOKUP(Tabela1[[#This Row],[COD.MDE]],'LISTA DE EMBARQUE'!B:L,11,0),"")</f>
        <v/>
      </c>
      <c r="W1157" s="13" t="str">
        <f>IFERROR(VLOOKUP(Tabela1[[#This Row],[COD.MDE]],'LISTA DE EMBARQUE'!B:M,12,0),"")</f>
        <v/>
      </c>
      <c r="X1157" s="14">
        <f>IFERROR(Tabela1[[#This Row],[QIANTIDADE EXPEDIDA]]*Tabela1[[#This Row],[PESO UNI]],"")</f>
        <v>0</v>
      </c>
      <c r="Y1157" s="14">
        <f t="shared" si="264"/>
        <v>-1</v>
      </c>
      <c r="Z1157" s="20">
        <f>Tabela1[[#This Row],[PESO TOTAL]]-Tabela1[[#This Row],[Peso Expedido]]</f>
        <v>3.2</v>
      </c>
      <c r="AA1157" s="17">
        <v>1</v>
      </c>
      <c r="AB1157" s="33"/>
      <c r="AC1157" s="33"/>
      <c r="AD1157" s="33"/>
      <c r="AE1157" s="33"/>
      <c r="AF1157" s="33"/>
      <c r="AG1157" s="33"/>
      <c r="AH1157" s="33"/>
      <c r="AI1157" s="33"/>
      <c r="AJ1157"/>
      <c r="AK1157"/>
      <c r="AL1157"/>
      <c r="AM1157"/>
      <c r="AN1157"/>
      <c r="AO1157"/>
      <c r="AP1157"/>
      <c r="AQ1157" s="22"/>
      <c r="AR1157" s="24"/>
      <c r="AS1157" s="37"/>
      <c r="AT1157" s="37"/>
      <c r="AU1157" s="37"/>
      <c r="AV1157" s="37"/>
      <c r="AW1157" s="37"/>
    </row>
    <row r="1158" spans="1:49" ht="15.75" customHeight="1" x14ac:dyDescent="0.25">
      <c r="A1158" s="1" t="s">
        <v>5566</v>
      </c>
      <c r="B1158" s="21"/>
      <c r="C1158" s="1">
        <v>1</v>
      </c>
      <c r="D1158" s="1" t="s">
        <v>5574</v>
      </c>
      <c r="E1158" s="7">
        <v>4794</v>
      </c>
      <c r="F1158" s="7">
        <v>3</v>
      </c>
      <c r="G1158" s="1">
        <v>3.3</v>
      </c>
      <c r="H1158" s="34">
        <f>Tabela1[[#This Row],[PESO UNI]]*Tabela1[[#This Row],[QTE]]</f>
        <v>3.3</v>
      </c>
      <c r="I1158" s="7">
        <v>0</v>
      </c>
      <c r="J1158" s="8" t="s">
        <v>5528</v>
      </c>
      <c r="K1158" s="8" t="s">
        <v>4320</v>
      </c>
      <c r="L1158" s="9" t="s">
        <v>5529</v>
      </c>
      <c r="M1158" s="10">
        <v>46267</v>
      </c>
      <c r="N1158" s="8" t="s">
        <v>5105</v>
      </c>
      <c r="O1158" s="12"/>
      <c r="P1158" s="13"/>
      <c r="Q1158" s="14">
        <f>Tabela1[[#This Row],[QTDE/ Fabricação]]-Tabela1[[#This Row],[QTE]]</f>
        <v>-1</v>
      </c>
      <c r="R1158" s="18">
        <f t="shared" si="261"/>
        <v>0.82499999999999996</v>
      </c>
      <c r="S1158" s="18">
        <f t="shared" si="262"/>
        <v>0</v>
      </c>
      <c r="T1158" s="19">
        <f t="shared" si="263"/>
        <v>-3.3</v>
      </c>
      <c r="U1158" s="16">
        <f>IFERROR(SUMIF('LISTA DE EMBARQUE'!B:B,MICRO!E:E,'LISTA DE EMBARQUE'!G:G),"")</f>
        <v>0</v>
      </c>
      <c r="V1158" s="12" t="str">
        <f>IFERROR(VLOOKUP(Tabela1[[#This Row],[COD.MDE]],'LISTA DE EMBARQUE'!B:L,11,0),"")</f>
        <v/>
      </c>
      <c r="W1158" s="13" t="str">
        <f>IFERROR(VLOOKUP(Tabela1[[#This Row],[COD.MDE]],'LISTA DE EMBARQUE'!B:M,12,0),"")</f>
        <v/>
      </c>
      <c r="X1158" s="14">
        <f>IFERROR(Tabela1[[#This Row],[QIANTIDADE EXPEDIDA]]*Tabela1[[#This Row],[PESO UNI]],"")</f>
        <v>0</v>
      </c>
      <c r="Y1158" s="14">
        <f t="shared" si="264"/>
        <v>-1</v>
      </c>
      <c r="Z1158" s="20">
        <f>Tabela1[[#This Row],[PESO TOTAL]]-Tabela1[[#This Row],[Peso Expedido]]</f>
        <v>3.3</v>
      </c>
      <c r="AA1158" s="17">
        <v>1</v>
      </c>
      <c r="AB1158" s="33"/>
      <c r="AC1158" s="33"/>
      <c r="AD1158" s="33"/>
      <c r="AE1158" s="33"/>
      <c r="AF1158" s="33"/>
      <c r="AG1158" s="33"/>
      <c r="AH1158" s="33"/>
      <c r="AI1158" s="33"/>
      <c r="AJ1158"/>
      <c r="AK1158"/>
      <c r="AL1158"/>
      <c r="AM1158"/>
      <c r="AN1158"/>
      <c r="AO1158"/>
      <c r="AP1158"/>
      <c r="AQ1158" s="22"/>
      <c r="AR1158" s="24"/>
      <c r="AS1158" s="37"/>
      <c r="AT1158" s="37"/>
      <c r="AU1158" s="37"/>
      <c r="AV1158" s="37"/>
      <c r="AW1158" s="37"/>
    </row>
    <row r="1159" spans="1:49" ht="15.75" customHeight="1" x14ac:dyDescent="0.25">
      <c r="A1159" s="1" t="s">
        <v>5566</v>
      </c>
      <c r="B1159" s="21"/>
      <c r="C1159" s="1">
        <v>1</v>
      </c>
      <c r="D1159" s="1" t="s">
        <v>5575</v>
      </c>
      <c r="E1159" s="7">
        <v>4795</v>
      </c>
      <c r="F1159" s="7">
        <v>3</v>
      </c>
      <c r="G1159" s="1">
        <v>3.2</v>
      </c>
      <c r="H1159" s="34">
        <f>Tabela1[[#This Row],[PESO UNI]]*Tabela1[[#This Row],[QTE]]</f>
        <v>3.2</v>
      </c>
      <c r="I1159" s="7">
        <v>0</v>
      </c>
      <c r="J1159" s="8" t="s">
        <v>5528</v>
      </c>
      <c r="K1159" s="8" t="s">
        <v>4320</v>
      </c>
      <c r="L1159" s="9" t="s">
        <v>5529</v>
      </c>
      <c r="M1159" s="10">
        <v>46267</v>
      </c>
      <c r="N1159" s="8" t="s">
        <v>5105</v>
      </c>
      <c r="O1159" s="12"/>
      <c r="P1159" s="13"/>
      <c r="Q1159" s="14">
        <f>Tabela1[[#This Row],[QTDE/ Fabricação]]-Tabela1[[#This Row],[QTE]]</f>
        <v>-1</v>
      </c>
      <c r="R1159" s="18">
        <f t="shared" si="261"/>
        <v>0.8</v>
      </c>
      <c r="S1159" s="18">
        <f t="shared" si="262"/>
        <v>0</v>
      </c>
      <c r="T1159" s="19">
        <f t="shared" si="263"/>
        <v>-3.2</v>
      </c>
      <c r="U1159" s="16">
        <f>IFERROR(SUMIF('LISTA DE EMBARQUE'!B:B,MICRO!E:E,'LISTA DE EMBARQUE'!G:G),"")</f>
        <v>0</v>
      </c>
      <c r="V1159" s="12" t="str">
        <f>IFERROR(VLOOKUP(Tabela1[[#This Row],[COD.MDE]],'LISTA DE EMBARQUE'!B:L,11,0),"")</f>
        <v/>
      </c>
      <c r="W1159" s="13" t="str">
        <f>IFERROR(VLOOKUP(Tabela1[[#This Row],[COD.MDE]],'LISTA DE EMBARQUE'!B:M,12,0),"")</f>
        <v/>
      </c>
      <c r="X1159" s="14">
        <f>IFERROR(Tabela1[[#This Row],[QIANTIDADE EXPEDIDA]]*Tabela1[[#This Row],[PESO UNI]],"")</f>
        <v>0</v>
      </c>
      <c r="Y1159" s="14">
        <f t="shared" si="264"/>
        <v>-1</v>
      </c>
      <c r="Z1159" s="20">
        <f>Tabela1[[#This Row],[PESO TOTAL]]-Tabela1[[#This Row],[Peso Expedido]]</f>
        <v>3.2</v>
      </c>
      <c r="AA1159" s="17">
        <v>1</v>
      </c>
      <c r="AB1159" s="33"/>
      <c r="AC1159" s="33"/>
      <c r="AD1159" s="33"/>
      <c r="AE1159" s="33"/>
      <c r="AF1159" s="33"/>
      <c r="AG1159" s="33"/>
      <c r="AH1159" s="33"/>
      <c r="AI1159" s="33"/>
      <c r="AJ1159"/>
      <c r="AK1159"/>
      <c r="AL1159"/>
      <c r="AM1159"/>
      <c r="AN1159"/>
      <c r="AO1159"/>
      <c r="AP1159"/>
      <c r="AQ1159" s="22"/>
      <c r="AR1159" s="24"/>
      <c r="AS1159" s="37"/>
      <c r="AT1159" s="37"/>
      <c r="AU1159" s="37"/>
      <c r="AV1159" s="37"/>
      <c r="AW1159" s="37"/>
    </row>
    <row r="1160" spans="1:49" ht="15.75" customHeight="1" x14ac:dyDescent="0.25">
      <c r="A1160" s="1" t="s">
        <v>5576</v>
      </c>
      <c r="B1160" s="21"/>
      <c r="C1160" s="1">
        <v>1</v>
      </c>
      <c r="D1160" s="1" t="s">
        <v>5577</v>
      </c>
      <c r="E1160" s="7">
        <v>4796</v>
      </c>
      <c r="F1160" s="7">
        <v>9</v>
      </c>
      <c r="G1160" s="1">
        <v>208.6</v>
      </c>
      <c r="H1160" s="34">
        <f>Tabela1[[#This Row],[PESO UNI]]*Tabela1[[#This Row],[QTE]]</f>
        <v>208.6</v>
      </c>
      <c r="I1160" s="7">
        <v>0</v>
      </c>
      <c r="J1160" s="8" t="s">
        <v>5255</v>
      </c>
      <c r="K1160" s="8" t="s">
        <v>4320</v>
      </c>
      <c r="L1160" s="9" t="s">
        <v>5256</v>
      </c>
      <c r="M1160" s="10">
        <v>46267</v>
      </c>
      <c r="N1160" s="8" t="s">
        <v>38</v>
      </c>
      <c r="O1160" s="12"/>
      <c r="P1160" s="13"/>
      <c r="Q1160" s="14">
        <f>Tabela1[[#This Row],[QTDE/ Fabricação]]-Tabela1[[#This Row],[QTE]]</f>
        <v>-1</v>
      </c>
      <c r="R1160" s="18">
        <f t="shared" si="261"/>
        <v>52.15</v>
      </c>
      <c r="S1160" s="18">
        <f t="shared" si="262"/>
        <v>0</v>
      </c>
      <c r="T1160" s="19">
        <f t="shared" si="263"/>
        <v>-208.6</v>
      </c>
      <c r="U1160" s="16">
        <f>IFERROR(SUMIF('LISTA DE EMBARQUE'!B:B,MICRO!E:E,'LISTA DE EMBARQUE'!G:G),"")</f>
        <v>0</v>
      </c>
      <c r="V1160" s="12" t="str">
        <f>IFERROR(VLOOKUP(Tabela1[[#This Row],[COD.MDE]],'LISTA DE EMBARQUE'!B:L,11,0),"")</f>
        <v/>
      </c>
      <c r="W1160" s="13" t="str">
        <f>IFERROR(VLOOKUP(Tabela1[[#This Row],[COD.MDE]],'LISTA DE EMBARQUE'!B:M,12,0),"")</f>
        <v/>
      </c>
      <c r="X1160" s="14">
        <f>IFERROR(Tabela1[[#This Row],[QIANTIDADE EXPEDIDA]]*Tabela1[[#This Row],[PESO UNI]],"")</f>
        <v>0</v>
      </c>
      <c r="Y1160" s="14">
        <f t="shared" si="264"/>
        <v>-1</v>
      </c>
      <c r="Z1160" s="20">
        <f>Tabela1[[#This Row],[PESO TOTAL]]-Tabela1[[#This Row],[Peso Expedido]]</f>
        <v>208.6</v>
      </c>
      <c r="AA1160" s="17">
        <v>1</v>
      </c>
      <c r="AB1160" s="33"/>
      <c r="AC1160" s="33"/>
      <c r="AD1160" s="33"/>
      <c r="AE1160" s="33"/>
      <c r="AF1160" s="33"/>
      <c r="AG1160" s="33"/>
      <c r="AH1160" s="33"/>
      <c r="AI1160" s="33"/>
      <c r="AJ1160"/>
      <c r="AK1160"/>
      <c r="AL1160"/>
      <c r="AM1160"/>
      <c r="AN1160"/>
      <c r="AO1160"/>
      <c r="AP1160"/>
      <c r="AQ1160" s="22"/>
      <c r="AR1160" s="24"/>
      <c r="AS1160" s="37"/>
      <c r="AT1160" s="37"/>
      <c r="AU1160" s="37"/>
      <c r="AV1160" s="37"/>
      <c r="AW1160" s="37"/>
    </row>
    <row r="1161" spans="1:49" ht="15.75" customHeight="1" x14ac:dyDescent="0.25">
      <c r="A1161" s="1" t="s">
        <v>5576</v>
      </c>
      <c r="B1161" s="21"/>
      <c r="C1161" s="1">
        <v>1</v>
      </c>
      <c r="D1161" s="1" t="s">
        <v>5578</v>
      </c>
      <c r="E1161" s="7">
        <v>4797</v>
      </c>
      <c r="F1161" s="7">
        <v>9</v>
      </c>
      <c r="G1161" s="1">
        <v>208.6</v>
      </c>
      <c r="H1161" s="34">
        <f>Tabela1[[#This Row],[PESO UNI]]*Tabela1[[#This Row],[QTE]]</f>
        <v>208.6</v>
      </c>
      <c r="I1161" s="7">
        <v>0</v>
      </c>
      <c r="J1161" s="8" t="s">
        <v>5255</v>
      </c>
      <c r="K1161" s="8" t="s">
        <v>4320</v>
      </c>
      <c r="L1161" s="9" t="s">
        <v>5256</v>
      </c>
      <c r="M1161" s="10">
        <v>46267</v>
      </c>
      <c r="N1161" s="8" t="s">
        <v>38</v>
      </c>
      <c r="O1161" s="12"/>
      <c r="P1161" s="13"/>
      <c r="Q1161" s="14">
        <f>Tabela1[[#This Row],[QTDE/ Fabricação]]-Tabela1[[#This Row],[QTE]]</f>
        <v>-1</v>
      </c>
      <c r="R1161" s="18">
        <f t="shared" si="261"/>
        <v>52.15</v>
      </c>
      <c r="S1161" s="18">
        <f t="shared" si="262"/>
        <v>0</v>
      </c>
      <c r="T1161" s="19">
        <f t="shared" si="263"/>
        <v>-208.6</v>
      </c>
      <c r="U1161" s="16">
        <f>IFERROR(SUMIF('LISTA DE EMBARQUE'!B:B,MICRO!E:E,'LISTA DE EMBARQUE'!G:G),"")</f>
        <v>0</v>
      </c>
      <c r="V1161" s="12" t="str">
        <f>IFERROR(VLOOKUP(Tabela1[[#This Row],[COD.MDE]],'LISTA DE EMBARQUE'!B:L,11,0),"")</f>
        <v/>
      </c>
      <c r="W1161" s="13" t="str">
        <f>IFERROR(VLOOKUP(Tabela1[[#This Row],[COD.MDE]],'LISTA DE EMBARQUE'!B:M,12,0),"")</f>
        <v/>
      </c>
      <c r="X1161" s="14">
        <f>IFERROR(Tabela1[[#This Row],[QIANTIDADE EXPEDIDA]]*Tabela1[[#This Row],[PESO UNI]],"")</f>
        <v>0</v>
      </c>
      <c r="Y1161" s="14">
        <f t="shared" si="264"/>
        <v>-1</v>
      </c>
      <c r="Z1161" s="20">
        <f>Tabela1[[#This Row],[PESO TOTAL]]-Tabela1[[#This Row],[Peso Expedido]]</f>
        <v>208.6</v>
      </c>
      <c r="AA1161" s="17">
        <v>1</v>
      </c>
      <c r="AB1161" s="33"/>
      <c r="AC1161" s="33"/>
      <c r="AD1161" s="33"/>
      <c r="AE1161" s="33"/>
      <c r="AF1161" s="33"/>
      <c r="AG1161" s="33"/>
      <c r="AH1161" s="33"/>
      <c r="AI1161" s="33"/>
      <c r="AJ1161"/>
      <c r="AK1161"/>
      <c r="AL1161"/>
      <c r="AM1161"/>
      <c r="AN1161"/>
      <c r="AO1161"/>
      <c r="AP1161"/>
      <c r="AQ1161" s="22"/>
      <c r="AR1161" s="24"/>
      <c r="AS1161" s="37"/>
      <c r="AT1161" s="37"/>
      <c r="AU1161" s="37"/>
      <c r="AV1161" s="37"/>
      <c r="AW1161" s="37"/>
    </row>
    <row r="1162" spans="1:49" ht="15.75" customHeight="1" x14ac:dyDescent="0.25">
      <c r="A1162" s="1" t="s">
        <v>5576</v>
      </c>
      <c r="B1162" s="21"/>
      <c r="C1162" s="1">
        <v>1</v>
      </c>
      <c r="D1162" s="1" t="s">
        <v>5579</v>
      </c>
      <c r="E1162" s="7">
        <v>4798</v>
      </c>
      <c r="F1162" s="7">
        <v>9</v>
      </c>
      <c r="G1162" s="1">
        <v>157.6</v>
      </c>
      <c r="H1162" s="34">
        <f>Tabela1[[#This Row],[PESO UNI]]*Tabela1[[#This Row],[QTE]]</f>
        <v>157.6</v>
      </c>
      <c r="I1162" s="7">
        <v>0</v>
      </c>
      <c r="J1162" s="8" t="s">
        <v>5255</v>
      </c>
      <c r="K1162" s="8" t="s">
        <v>4320</v>
      </c>
      <c r="L1162" s="9" t="s">
        <v>5256</v>
      </c>
      <c r="M1162" s="10">
        <v>46267</v>
      </c>
      <c r="N1162" s="8" t="s">
        <v>38</v>
      </c>
      <c r="O1162" s="12"/>
      <c r="P1162" s="13"/>
      <c r="Q1162" s="14">
        <f>Tabela1[[#This Row],[QTDE/ Fabricação]]-Tabela1[[#This Row],[QTE]]</f>
        <v>-1</v>
      </c>
      <c r="R1162" s="18">
        <f t="shared" si="261"/>
        <v>39.4</v>
      </c>
      <c r="S1162" s="18">
        <f t="shared" si="262"/>
        <v>0</v>
      </c>
      <c r="T1162" s="19">
        <f t="shared" si="263"/>
        <v>-157.6</v>
      </c>
      <c r="U1162" s="16">
        <f>IFERROR(SUMIF('LISTA DE EMBARQUE'!B:B,MICRO!E:E,'LISTA DE EMBARQUE'!G:G),"")</f>
        <v>0</v>
      </c>
      <c r="V1162" s="12" t="str">
        <f>IFERROR(VLOOKUP(Tabela1[[#This Row],[COD.MDE]],'LISTA DE EMBARQUE'!B:L,11,0),"")</f>
        <v/>
      </c>
      <c r="W1162" s="13" t="str">
        <f>IFERROR(VLOOKUP(Tabela1[[#This Row],[COD.MDE]],'LISTA DE EMBARQUE'!B:M,12,0),"")</f>
        <v/>
      </c>
      <c r="X1162" s="14">
        <f>IFERROR(Tabela1[[#This Row],[QIANTIDADE EXPEDIDA]]*Tabela1[[#This Row],[PESO UNI]],"")</f>
        <v>0</v>
      </c>
      <c r="Y1162" s="14">
        <f t="shared" si="264"/>
        <v>-1</v>
      </c>
      <c r="Z1162" s="20">
        <f>Tabela1[[#This Row],[PESO TOTAL]]-Tabela1[[#This Row],[Peso Expedido]]</f>
        <v>157.6</v>
      </c>
      <c r="AA1162" s="17">
        <v>1</v>
      </c>
      <c r="AB1162" s="33"/>
      <c r="AC1162" s="33"/>
      <c r="AD1162" s="33"/>
      <c r="AE1162" s="33"/>
      <c r="AF1162" s="33"/>
      <c r="AG1162" s="33"/>
      <c r="AH1162" s="33"/>
      <c r="AI1162" s="33"/>
      <c r="AJ1162"/>
      <c r="AK1162"/>
      <c r="AL1162"/>
      <c r="AM1162"/>
      <c r="AN1162"/>
      <c r="AO1162"/>
      <c r="AP1162"/>
      <c r="AQ1162" s="22"/>
      <c r="AR1162" s="24"/>
      <c r="AS1162" s="37"/>
      <c r="AT1162" s="37"/>
      <c r="AU1162" s="37"/>
      <c r="AV1162" s="37"/>
      <c r="AW1162" s="37"/>
    </row>
    <row r="1163" spans="1:49" ht="15.75" customHeight="1" x14ac:dyDescent="0.25">
      <c r="A1163" s="1"/>
      <c r="B1163" s="21"/>
      <c r="C1163" s="1"/>
      <c r="D1163" s="1" t="s">
        <v>5624</v>
      </c>
      <c r="E1163" s="7">
        <v>4844</v>
      </c>
      <c r="F1163" s="7">
        <v>1</v>
      </c>
      <c r="G1163" s="1"/>
      <c r="H1163" s="34"/>
      <c r="I1163" s="7"/>
      <c r="J1163" s="8" t="s">
        <v>5625</v>
      </c>
      <c r="K1163" s="8" t="s">
        <v>5626</v>
      </c>
      <c r="L1163" s="9" t="s">
        <v>5627</v>
      </c>
      <c r="M1163" s="10">
        <v>46262</v>
      </c>
      <c r="N1163" s="8" t="s">
        <v>38</v>
      </c>
      <c r="O1163" s="12"/>
      <c r="P1163" s="13"/>
      <c r="Q1163" s="14">
        <f>Tabela1[[#This Row],[QTDE/ Fabricação]]-Tabela1[[#This Row],[QTE]]</f>
        <v>0</v>
      </c>
      <c r="R1163" s="18">
        <f t="shared" ref="R1163:R1168" si="265">IFERROR(H1163*((AA1163*0.25)+(AC1163*0.25)+(AD1163*0.225)+(AE1163*0.225)+(AF1163*0.05)),"")</f>
        <v>0</v>
      </c>
      <c r="S1163" s="18">
        <f t="shared" ref="S1163:S1168" si="266">IFERROR(H1163*AG1163,"")</f>
        <v>0</v>
      </c>
      <c r="T1163" s="19">
        <f t="shared" ref="T1163:T1168" si="267">IFERROR(S1163-H1163,"")</f>
        <v>0</v>
      </c>
      <c r="U1163" s="16">
        <f>IFERROR(SUMIF('LISTA DE EMBARQUE'!B:B,MICRO!E:E,'LISTA DE EMBARQUE'!G:G),"")</f>
        <v>0</v>
      </c>
      <c r="V1163" s="12" t="str">
        <f>IFERROR(VLOOKUP(Tabela1[[#This Row],[COD.MDE]],'LISTA DE EMBARQUE'!B:L,11,0),"")</f>
        <v/>
      </c>
      <c r="W1163" s="13" t="str">
        <f>IFERROR(VLOOKUP(Tabela1[[#This Row],[COD.MDE]],'LISTA DE EMBARQUE'!B:M,12,0),"")</f>
        <v/>
      </c>
      <c r="X1163" s="14">
        <f>IFERROR(Tabela1[[#This Row],[QIANTIDADE EXPEDIDA]]*Tabela1[[#This Row],[PESO UNI]],"")</f>
        <v>0</v>
      </c>
      <c r="Y1163" s="14">
        <f t="shared" ref="Y1163:Y1168" si="268">U1163-C1163</f>
        <v>0</v>
      </c>
      <c r="Z1163" s="20">
        <f>Tabela1[[#This Row],[PESO TOTAL]]-Tabela1[[#This Row],[Peso Expedido]]</f>
        <v>0</v>
      </c>
      <c r="AA1163" s="17"/>
      <c r="AB1163" s="33"/>
      <c r="AC1163" s="33"/>
      <c r="AD1163" s="33"/>
      <c r="AE1163" s="33"/>
      <c r="AF1163" s="33"/>
      <c r="AG1163" s="33"/>
      <c r="AH1163" s="33"/>
      <c r="AI1163" s="33"/>
      <c r="AJ1163"/>
      <c r="AK1163"/>
      <c r="AL1163"/>
      <c r="AM1163"/>
      <c r="AN1163"/>
      <c r="AO1163"/>
      <c r="AP1163"/>
      <c r="AQ1163" s="22"/>
      <c r="AR1163" s="24"/>
      <c r="AS1163" s="37"/>
      <c r="AT1163" s="37"/>
      <c r="AU1163" s="37"/>
      <c r="AV1163" s="37"/>
      <c r="AW1163" s="37"/>
    </row>
    <row r="1164" spans="1:49" ht="15.75" customHeight="1" x14ac:dyDescent="0.25">
      <c r="A1164" s="1" t="s">
        <v>5631</v>
      </c>
      <c r="B1164" s="21" t="s">
        <v>5632</v>
      </c>
      <c r="C1164" s="1">
        <v>1</v>
      </c>
      <c r="D1164" s="1" t="s">
        <v>5633</v>
      </c>
      <c r="E1164" s="7">
        <v>4845</v>
      </c>
      <c r="F1164" s="7">
        <v>66</v>
      </c>
      <c r="G1164" s="1">
        <v>498.4</v>
      </c>
      <c r="H1164" s="34">
        <f>Tabela1[[#This Row],[PESO UNI]]*Tabela1[[#This Row],[QTE]]</f>
        <v>498.4</v>
      </c>
      <c r="I1164" s="7">
        <v>0</v>
      </c>
      <c r="J1164" s="8" t="s">
        <v>3140</v>
      </c>
      <c r="K1164" s="8" t="s">
        <v>4320</v>
      </c>
      <c r="L1164" s="9" t="s">
        <v>2984</v>
      </c>
      <c r="M1164" s="10">
        <v>46273</v>
      </c>
      <c r="N1164" s="8" t="s">
        <v>38</v>
      </c>
      <c r="O1164" s="12"/>
      <c r="P1164" s="13"/>
      <c r="Q1164" s="14">
        <f>Tabela1[[#This Row],[QTDE/ Fabricação]]-Tabela1[[#This Row],[QTE]]</f>
        <v>-1</v>
      </c>
      <c r="R1164" s="18">
        <f t="shared" si="265"/>
        <v>124.6</v>
      </c>
      <c r="S1164" s="18">
        <f t="shared" si="266"/>
        <v>0</v>
      </c>
      <c r="T1164" s="19">
        <f t="shared" si="267"/>
        <v>-498.4</v>
      </c>
      <c r="U1164" s="16">
        <f>IFERROR(SUMIF('LISTA DE EMBARQUE'!B:B,MICRO!E:E,'LISTA DE EMBARQUE'!G:G),"")</f>
        <v>0</v>
      </c>
      <c r="V1164" s="12" t="str">
        <f>IFERROR(VLOOKUP(Tabela1[[#This Row],[COD.MDE]],'LISTA DE EMBARQUE'!B:L,11,0),"")</f>
        <v/>
      </c>
      <c r="W1164" s="13" t="str">
        <f>IFERROR(VLOOKUP(Tabela1[[#This Row],[COD.MDE]],'LISTA DE EMBARQUE'!B:M,12,0),"")</f>
        <v/>
      </c>
      <c r="X1164" s="14">
        <f>IFERROR(Tabela1[[#This Row],[QIANTIDADE EXPEDIDA]]*Tabela1[[#This Row],[PESO UNI]],"")</f>
        <v>0</v>
      </c>
      <c r="Y1164" s="14">
        <f t="shared" si="268"/>
        <v>-1</v>
      </c>
      <c r="Z1164" s="20">
        <f>Tabela1[[#This Row],[PESO TOTAL]]-Tabela1[[#This Row],[Peso Expedido]]</f>
        <v>498.4</v>
      </c>
      <c r="AA1164" s="17">
        <v>1</v>
      </c>
      <c r="AB1164" s="33"/>
      <c r="AC1164" s="33"/>
      <c r="AD1164" s="33"/>
      <c r="AE1164" s="33"/>
      <c r="AF1164" s="33"/>
      <c r="AG1164" s="33"/>
      <c r="AH1164" s="33"/>
      <c r="AI1164" s="33"/>
      <c r="AJ1164"/>
      <c r="AK1164"/>
      <c r="AL1164"/>
      <c r="AM1164"/>
      <c r="AN1164"/>
      <c r="AO1164"/>
      <c r="AP1164"/>
      <c r="AQ1164" s="22"/>
      <c r="AR1164" s="24"/>
      <c r="AS1164" s="37"/>
      <c r="AT1164" s="37"/>
      <c r="AU1164" s="37"/>
      <c r="AV1164" s="37"/>
      <c r="AW1164" s="37"/>
    </row>
    <row r="1165" spans="1:49" ht="15.75" customHeight="1" x14ac:dyDescent="0.25">
      <c r="A1165" s="1" t="s">
        <v>5631</v>
      </c>
      <c r="B1165" s="21" t="s">
        <v>5632</v>
      </c>
      <c r="C1165" s="1">
        <v>1</v>
      </c>
      <c r="D1165" s="1" t="s">
        <v>5634</v>
      </c>
      <c r="E1165" s="7">
        <v>4846</v>
      </c>
      <c r="F1165" s="7">
        <v>66</v>
      </c>
      <c r="G1165" s="1">
        <v>287.39999999999998</v>
      </c>
      <c r="H1165" s="34">
        <f>Tabela1[[#This Row],[PESO UNI]]*Tabela1[[#This Row],[QTE]]</f>
        <v>287.39999999999998</v>
      </c>
      <c r="I1165" s="7">
        <v>0</v>
      </c>
      <c r="J1165" s="8" t="s">
        <v>3140</v>
      </c>
      <c r="K1165" s="8" t="s">
        <v>4320</v>
      </c>
      <c r="L1165" s="9" t="s">
        <v>2984</v>
      </c>
      <c r="M1165" s="10">
        <v>46273</v>
      </c>
      <c r="N1165" s="8" t="s">
        <v>38</v>
      </c>
      <c r="O1165" s="12"/>
      <c r="P1165" s="13"/>
      <c r="Q1165" s="14">
        <f>Tabela1[[#This Row],[QTDE/ Fabricação]]-Tabela1[[#This Row],[QTE]]</f>
        <v>-1</v>
      </c>
      <c r="R1165" s="18">
        <f t="shared" si="265"/>
        <v>71.849999999999994</v>
      </c>
      <c r="S1165" s="18">
        <f t="shared" si="266"/>
        <v>0</v>
      </c>
      <c r="T1165" s="19">
        <f t="shared" si="267"/>
        <v>-287.39999999999998</v>
      </c>
      <c r="U1165" s="16">
        <f>IFERROR(SUMIF('LISTA DE EMBARQUE'!B:B,MICRO!E:E,'LISTA DE EMBARQUE'!G:G),"")</f>
        <v>0</v>
      </c>
      <c r="V1165" s="12" t="str">
        <f>IFERROR(VLOOKUP(Tabela1[[#This Row],[COD.MDE]],'LISTA DE EMBARQUE'!B:L,11,0),"")</f>
        <v/>
      </c>
      <c r="W1165" s="13" t="str">
        <f>IFERROR(VLOOKUP(Tabela1[[#This Row],[COD.MDE]],'LISTA DE EMBARQUE'!B:M,12,0),"")</f>
        <v/>
      </c>
      <c r="X1165" s="14">
        <f>IFERROR(Tabela1[[#This Row],[QIANTIDADE EXPEDIDA]]*Tabela1[[#This Row],[PESO UNI]],"")</f>
        <v>0</v>
      </c>
      <c r="Y1165" s="14">
        <f t="shared" si="268"/>
        <v>-1</v>
      </c>
      <c r="Z1165" s="20">
        <f>Tabela1[[#This Row],[PESO TOTAL]]-Tabela1[[#This Row],[Peso Expedido]]</f>
        <v>287.39999999999998</v>
      </c>
      <c r="AA1165" s="17">
        <v>1</v>
      </c>
      <c r="AB1165" s="33"/>
      <c r="AC1165" s="33"/>
      <c r="AD1165" s="33"/>
      <c r="AE1165" s="33"/>
      <c r="AF1165" s="33"/>
      <c r="AG1165" s="33"/>
      <c r="AH1165" s="33"/>
      <c r="AI1165" s="33"/>
      <c r="AJ1165"/>
      <c r="AK1165"/>
      <c r="AL1165"/>
      <c r="AM1165"/>
      <c r="AN1165"/>
      <c r="AO1165"/>
      <c r="AP1165"/>
      <c r="AQ1165" s="22"/>
      <c r="AR1165" s="24"/>
      <c r="AS1165" s="37"/>
      <c r="AT1165" s="37"/>
      <c r="AU1165" s="37"/>
      <c r="AV1165" s="37"/>
      <c r="AW1165" s="37"/>
    </row>
    <row r="1166" spans="1:49" ht="15.75" customHeight="1" x14ac:dyDescent="0.25">
      <c r="A1166" s="1" t="s">
        <v>5631</v>
      </c>
      <c r="B1166" s="21" t="s">
        <v>5632</v>
      </c>
      <c r="C1166" s="1">
        <v>1</v>
      </c>
      <c r="D1166" s="1" t="s">
        <v>5635</v>
      </c>
      <c r="E1166" s="7">
        <v>4847</v>
      </c>
      <c r="F1166" s="7">
        <v>66</v>
      </c>
      <c r="G1166" s="1">
        <v>190</v>
      </c>
      <c r="H1166" s="34">
        <f>Tabela1[[#This Row],[PESO UNI]]*Tabela1[[#This Row],[QTE]]</f>
        <v>190</v>
      </c>
      <c r="I1166" s="7">
        <v>0</v>
      </c>
      <c r="J1166" s="8" t="s">
        <v>3140</v>
      </c>
      <c r="K1166" s="8" t="s">
        <v>4320</v>
      </c>
      <c r="L1166" s="9" t="s">
        <v>2984</v>
      </c>
      <c r="M1166" s="10">
        <v>46273</v>
      </c>
      <c r="N1166" s="8" t="s">
        <v>38</v>
      </c>
      <c r="O1166" s="12"/>
      <c r="P1166" s="13"/>
      <c r="Q1166" s="14">
        <f>Tabela1[[#This Row],[QTDE/ Fabricação]]-Tabela1[[#This Row],[QTE]]</f>
        <v>-1</v>
      </c>
      <c r="R1166" s="18">
        <f t="shared" si="265"/>
        <v>47.5</v>
      </c>
      <c r="S1166" s="18">
        <f t="shared" si="266"/>
        <v>0</v>
      </c>
      <c r="T1166" s="19">
        <f t="shared" si="267"/>
        <v>-190</v>
      </c>
      <c r="U1166" s="16">
        <f>IFERROR(SUMIF('LISTA DE EMBARQUE'!B:B,MICRO!E:E,'LISTA DE EMBARQUE'!G:G),"")</f>
        <v>0</v>
      </c>
      <c r="V1166" s="12" t="str">
        <f>IFERROR(VLOOKUP(Tabela1[[#This Row],[COD.MDE]],'LISTA DE EMBARQUE'!B:L,11,0),"")</f>
        <v/>
      </c>
      <c r="W1166" s="13" t="str">
        <f>IFERROR(VLOOKUP(Tabela1[[#This Row],[COD.MDE]],'LISTA DE EMBARQUE'!B:M,12,0),"")</f>
        <v/>
      </c>
      <c r="X1166" s="14">
        <f>IFERROR(Tabela1[[#This Row],[QIANTIDADE EXPEDIDA]]*Tabela1[[#This Row],[PESO UNI]],"")</f>
        <v>0</v>
      </c>
      <c r="Y1166" s="14">
        <f t="shared" si="268"/>
        <v>-1</v>
      </c>
      <c r="Z1166" s="20">
        <f>Tabela1[[#This Row],[PESO TOTAL]]-Tabela1[[#This Row],[Peso Expedido]]</f>
        <v>190</v>
      </c>
      <c r="AA1166" s="17">
        <v>1</v>
      </c>
      <c r="AB1166" s="33"/>
      <c r="AC1166" s="33"/>
      <c r="AD1166" s="33"/>
      <c r="AE1166" s="33"/>
      <c r="AF1166" s="33"/>
      <c r="AG1166" s="33"/>
      <c r="AH1166" s="33"/>
      <c r="AI1166" s="33"/>
      <c r="AJ1166"/>
      <c r="AK1166"/>
      <c r="AL1166"/>
      <c r="AM1166"/>
      <c r="AN1166"/>
      <c r="AO1166"/>
      <c r="AP1166"/>
      <c r="AQ1166" s="22"/>
      <c r="AR1166" s="24"/>
      <c r="AS1166" s="37"/>
      <c r="AT1166" s="37"/>
      <c r="AU1166" s="37"/>
      <c r="AV1166" s="37"/>
      <c r="AW1166" s="37"/>
    </row>
    <row r="1167" spans="1:49" ht="15.75" customHeight="1" x14ac:dyDescent="0.25">
      <c r="A1167" s="1" t="s">
        <v>5631</v>
      </c>
      <c r="B1167" s="21" t="s">
        <v>5632</v>
      </c>
      <c r="C1167" s="1">
        <v>1</v>
      </c>
      <c r="D1167" s="1" t="s">
        <v>5636</v>
      </c>
      <c r="E1167" s="7">
        <v>4848</v>
      </c>
      <c r="F1167" s="7">
        <v>66</v>
      </c>
      <c r="G1167" s="1">
        <v>14.5</v>
      </c>
      <c r="H1167" s="34">
        <f>Tabela1[[#This Row],[PESO UNI]]*Tabela1[[#This Row],[QTE]]</f>
        <v>14.5</v>
      </c>
      <c r="I1167" s="7">
        <v>0</v>
      </c>
      <c r="J1167" s="8" t="s">
        <v>3140</v>
      </c>
      <c r="K1167" s="8" t="s">
        <v>4320</v>
      </c>
      <c r="L1167" s="9" t="s">
        <v>2984</v>
      </c>
      <c r="M1167" s="10">
        <v>46273</v>
      </c>
      <c r="N1167" s="8" t="s">
        <v>38</v>
      </c>
      <c r="O1167" s="12"/>
      <c r="P1167" s="13"/>
      <c r="Q1167" s="14">
        <f>Tabela1[[#This Row],[QTDE/ Fabricação]]-Tabela1[[#This Row],[QTE]]</f>
        <v>-1</v>
      </c>
      <c r="R1167" s="18">
        <f t="shared" si="265"/>
        <v>3.625</v>
      </c>
      <c r="S1167" s="18">
        <f t="shared" si="266"/>
        <v>0</v>
      </c>
      <c r="T1167" s="19">
        <f t="shared" si="267"/>
        <v>-14.5</v>
      </c>
      <c r="U1167" s="16">
        <f>IFERROR(SUMIF('LISTA DE EMBARQUE'!B:B,MICRO!E:E,'LISTA DE EMBARQUE'!G:G),"")</f>
        <v>0</v>
      </c>
      <c r="V1167" s="12" t="str">
        <f>IFERROR(VLOOKUP(Tabela1[[#This Row],[COD.MDE]],'LISTA DE EMBARQUE'!B:L,11,0),"")</f>
        <v/>
      </c>
      <c r="W1167" s="13" t="str">
        <f>IFERROR(VLOOKUP(Tabela1[[#This Row],[COD.MDE]],'LISTA DE EMBARQUE'!B:M,12,0),"")</f>
        <v/>
      </c>
      <c r="X1167" s="14">
        <f>IFERROR(Tabela1[[#This Row],[QIANTIDADE EXPEDIDA]]*Tabela1[[#This Row],[PESO UNI]],"")</f>
        <v>0</v>
      </c>
      <c r="Y1167" s="14">
        <f t="shared" si="268"/>
        <v>-1</v>
      </c>
      <c r="Z1167" s="20">
        <f>Tabela1[[#This Row],[PESO TOTAL]]-Tabela1[[#This Row],[Peso Expedido]]</f>
        <v>14.5</v>
      </c>
      <c r="AA1167" s="17">
        <v>1</v>
      </c>
      <c r="AB1167" s="33"/>
      <c r="AC1167" s="33"/>
      <c r="AD1167" s="33"/>
      <c r="AE1167" s="33"/>
      <c r="AF1167" s="33"/>
      <c r="AG1167" s="33"/>
      <c r="AH1167" s="33"/>
      <c r="AI1167" s="33"/>
      <c r="AJ1167"/>
      <c r="AK1167"/>
      <c r="AL1167"/>
      <c r="AM1167"/>
      <c r="AN1167"/>
      <c r="AO1167"/>
      <c r="AP1167"/>
      <c r="AQ1167" s="22"/>
      <c r="AR1167" s="24"/>
      <c r="AS1167" s="37"/>
      <c r="AT1167" s="37"/>
      <c r="AU1167" s="37"/>
      <c r="AV1167" s="37"/>
      <c r="AW1167" s="37"/>
    </row>
    <row r="1168" spans="1:49" ht="15.75" customHeight="1" x14ac:dyDescent="0.25">
      <c r="A1168" s="1" t="s">
        <v>5637</v>
      </c>
      <c r="B1168" s="21" t="s">
        <v>5638</v>
      </c>
      <c r="C1168" s="1">
        <v>1</v>
      </c>
      <c r="D1168" s="1" t="s">
        <v>5639</v>
      </c>
      <c r="E1168" s="7">
        <v>4849</v>
      </c>
      <c r="F1168" s="7">
        <v>67</v>
      </c>
      <c r="G1168" s="1">
        <v>106.3</v>
      </c>
      <c r="H1168" s="34">
        <f>Tabela1[[#This Row],[PESO UNI]]*Tabela1[[#This Row],[QTE]]</f>
        <v>106.3</v>
      </c>
      <c r="I1168" s="7">
        <v>0</v>
      </c>
      <c r="J1168" s="8" t="s">
        <v>3140</v>
      </c>
      <c r="K1168" s="8" t="s">
        <v>4320</v>
      </c>
      <c r="L1168" s="9" t="s">
        <v>2984</v>
      </c>
      <c r="M1168" s="10">
        <v>46274</v>
      </c>
      <c r="N1168" s="8" t="s">
        <v>5105</v>
      </c>
      <c r="O1168" s="12"/>
      <c r="P1168" s="13"/>
      <c r="Q1168" s="14">
        <f>Tabela1[[#This Row],[QTDE/ Fabricação]]-Tabela1[[#This Row],[QTE]]</f>
        <v>-1</v>
      </c>
      <c r="R1168" s="18">
        <f t="shared" si="265"/>
        <v>26.574999999999999</v>
      </c>
      <c r="S1168" s="18">
        <f t="shared" si="266"/>
        <v>0</v>
      </c>
      <c r="T1168" s="19">
        <f t="shared" si="267"/>
        <v>-106.3</v>
      </c>
      <c r="U1168" s="16">
        <f>IFERROR(SUMIF('LISTA DE EMBARQUE'!B:B,MICRO!E:E,'LISTA DE EMBARQUE'!G:G),"")</f>
        <v>0</v>
      </c>
      <c r="V1168" s="12" t="str">
        <f>IFERROR(VLOOKUP(Tabela1[[#This Row],[COD.MDE]],'LISTA DE EMBARQUE'!B:L,11,0),"")</f>
        <v/>
      </c>
      <c r="W1168" s="13" t="str">
        <f>IFERROR(VLOOKUP(Tabela1[[#This Row],[COD.MDE]],'LISTA DE EMBARQUE'!B:M,12,0),"")</f>
        <v/>
      </c>
      <c r="X1168" s="14">
        <f>IFERROR(Tabela1[[#This Row],[QIANTIDADE EXPEDIDA]]*Tabela1[[#This Row],[PESO UNI]],"")</f>
        <v>0</v>
      </c>
      <c r="Y1168" s="14">
        <f t="shared" si="268"/>
        <v>-1</v>
      </c>
      <c r="Z1168" s="20">
        <f>Tabela1[[#This Row],[PESO TOTAL]]-Tabela1[[#This Row],[Peso Expedido]]</f>
        <v>106.3</v>
      </c>
      <c r="AA1168" s="17">
        <v>1</v>
      </c>
      <c r="AB1168" s="33"/>
      <c r="AC1168" s="33"/>
      <c r="AD1168" s="33"/>
      <c r="AE1168" s="33"/>
      <c r="AF1168" s="33"/>
      <c r="AG1168" s="33"/>
      <c r="AH1168" s="33"/>
      <c r="AI1168" s="33"/>
      <c r="AJ1168"/>
      <c r="AK1168"/>
      <c r="AL1168"/>
      <c r="AM1168"/>
      <c r="AN1168"/>
      <c r="AO1168"/>
      <c r="AP1168"/>
      <c r="AQ1168" s="22"/>
      <c r="AR1168" s="24"/>
      <c r="AS1168" s="37"/>
      <c r="AT1168" s="37"/>
      <c r="AU1168" s="37"/>
      <c r="AV1168" s="37"/>
      <c r="AW1168" s="37"/>
    </row>
    <row r="1169" spans="1:49" ht="15.75" customHeight="1" x14ac:dyDescent="0.25">
      <c r="A1169" s="1" t="s">
        <v>5637</v>
      </c>
      <c r="B1169" s="21" t="s">
        <v>5638</v>
      </c>
      <c r="C1169" s="1">
        <v>1</v>
      </c>
      <c r="D1169" s="1" t="s">
        <v>5640</v>
      </c>
      <c r="E1169" s="7">
        <v>4850</v>
      </c>
      <c r="F1169" s="7">
        <v>67</v>
      </c>
      <c r="G1169" s="1">
        <v>105.5</v>
      </c>
      <c r="H1169" s="34">
        <f>Tabela1[[#This Row],[PESO UNI]]*Tabela1[[#This Row],[QTE]]</f>
        <v>105.5</v>
      </c>
      <c r="I1169" s="7">
        <v>0</v>
      </c>
      <c r="J1169" s="8" t="s">
        <v>3140</v>
      </c>
      <c r="K1169" s="8" t="s">
        <v>4320</v>
      </c>
      <c r="L1169" s="9" t="s">
        <v>2984</v>
      </c>
      <c r="M1169" s="10">
        <v>46274</v>
      </c>
      <c r="N1169" s="8" t="s">
        <v>5105</v>
      </c>
      <c r="O1169" s="12"/>
      <c r="P1169" s="13"/>
      <c r="Q1169" s="14">
        <f>Tabela1[[#This Row],[QTDE/ Fabricação]]-Tabela1[[#This Row],[QTE]]</f>
        <v>-1</v>
      </c>
      <c r="R1169" s="18">
        <f t="shared" ref="R1169:R1179" si="269">IFERROR(H1169*((AA1169*0.25)+(AC1169*0.25)+(AD1169*0.225)+(AE1169*0.225)+(AF1169*0.05)),"")</f>
        <v>26.375</v>
      </c>
      <c r="S1169" s="18">
        <f t="shared" ref="S1169:S1179" si="270">IFERROR(H1169*AG1169,"")</f>
        <v>0</v>
      </c>
      <c r="T1169" s="19">
        <f t="shared" ref="T1169:T1179" si="271">IFERROR(S1169-H1169,"")</f>
        <v>-105.5</v>
      </c>
      <c r="U1169" s="16">
        <f>IFERROR(SUMIF('LISTA DE EMBARQUE'!B:B,MICRO!E:E,'LISTA DE EMBARQUE'!G:G),"")</f>
        <v>0</v>
      </c>
      <c r="V1169" s="12" t="str">
        <f>IFERROR(VLOOKUP(Tabela1[[#This Row],[COD.MDE]],'LISTA DE EMBARQUE'!B:L,11,0),"")</f>
        <v/>
      </c>
      <c r="W1169" s="13" t="str">
        <f>IFERROR(VLOOKUP(Tabela1[[#This Row],[COD.MDE]],'LISTA DE EMBARQUE'!B:M,12,0),"")</f>
        <v/>
      </c>
      <c r="X1169" s="14">
        <f>IFERROR(Tabela1[[#This Row],[QIANTIDADE EXPEDIDA]]*Tabela1[[#This Row],[PESO UNI]],"")</f>
        <v>0</v>
      </c>
      <c r="Y1169" s="14">
        <f t="shared" ref="Y1169:Y1179" si="272">U1169-C1169</f>
        <v>-1</v>
      </c>
      <c r="Z1169" s="20">
        <f>Tabela1[[#This Row],[PESO TOTAL]]-Tabela1[[#This Row],[Peso Expedido]]</f>
        <v>105.5</v>
      </c>
      <c r="AA1169" s="17">
        <v>1</v>
      </c>
      <c r="AB1169" s="33"/>
      <c r="AC1169" s="33"/>
      <c r="AD1169" s="33"/>
      <c r="AE1169" s="33"/>
      <c r="AF1169" s="33"/>
      <c r="AG1169" s="33"/>
      <c r="AH1169" s="33"/>
      <c r="AI1169" s="33"/>
      <c r="AJ1169"/>
      <c r="AK1169"/>
      <c r="AL1169"/>
      <c r="AM1169"/>
      <c r="AN1169"/>
      <c r="AO1169"/>
      <c r="AP1169"/>
      <c r="AQ1169" s="22"/>
      <c r="AR1169" s="24"/>
      <c r="AS1169" s="37"/>
      <c r="AT1169" s="37"/>
      <c r="AU1169" s="37"/>
      <c r="AV1169" s="37"/>
      <c r="AW1169" s="37"/>
    </row>
    <row r="1170" spans="1:49" ht="15.75" customHeight="1" x14ac:dyDescent="0.25">
      <c r="A1170" s="1" t="s">
        <v>5643</v>
      </c>
      <c r="B1170" s="21" t="s">
        <v>5644</v>
      </c>
      <c r="C1170" s="1">
        <v>6</v>
      </c>
      <c r="D1170" s="1" t="s">
        <v>5645</v>
      </c>
      <c r="E1170" s="7">
        <v>4851</v>
      </c>
      <c r="F1170" s="7">
        <v>68</v>
      </c>
      <c r="G1170" s="1">
        <v>1.1000000000000001</v>
      </c>
      <c r="H1170" s="34">
        <f>Tabela1[[#This Row],[PESO UNI]]*Tabela1[[#This Row],[QTE]]</f>
        <v>6.6000000000000005</v>
      </c>
      <c r="I1170" s="7">
        <v>0</v>
      </c>
      <c r="J1170" s="8" t="s">
        <v>3140</v>
      </c>
      <c r="K1170" s="8" t="s">
        <v>4320</v>
      </c>
      <c r="L1170" s="9" t="s">
        <v>2984</v>
      </c>
      <c r="M1170" s="10">
        <v>46274</v>
      </c>
      <c r="N1170" s="8" t="s">
        <v>5105</v>
      </c>
      <c r="O1170" s="12"/>
      <c r="P1170" s="13"/>
      <c r="Q1170" s="14">
        <f>Tabela1[[#This Row],[QTDE/ Fabricação]]-Tabela1[[#This Row],[QTE]]</f>
        <v>-6</v>
      </c>
      <c r="R1170" s="18">
        <f t="shared" si="269"/>
        <v>1.6500000000000001</v>
      </c>
      <c r="S1170" s="18">
        <f t="shared" si="270"/>
        <v>0</v>
      </c>
      <c r="T1170" s="19">
        <f t="shared" si="271"/>
        <v>-6.6000000000000005</v>
      </c>
      <c r="U1170" s="16">
        <f>IFERROR(SUMIF('LISTA DE EMBARQUE'!B:B,MICRO!E:E,'LISTA DE EMBARQUE'!G:G),"")</f>
        <v>0</v>
      </c>
      <c r="V1170" s="12" t="str">
        <f>IFERROR(VLOOKUP(Tabela1[[#This Row],[COD.MDE]],'LISTA DE EMBARQUE'!B:L,11,0),"")</f>
        <v/>
      </c>
      <c r="W1170" s="13" t="str">
        <f>IFERROR(VLOOKUP(Tabela1[[#This Row],[COD.MDE]],'LISTA DE EMBARQUE'!B:M,12,0),"")</f>
        <v/>
      </c>
      <c r="X1170" s="14">
        <f>IFERROR(Tabela1[[#This Row],[QIANTIDADE EXPEDIDA]]*Tabela1[[#This Row],[PESO UNI]],"")</f>
        <v>0</v>
      </c>
      <c r="Y1170" s="14">
        <f t="shared" si="272"/>
        <v>-6</v>
      </c>
      <c r="Z1170" s="20">
        <f>Tabela1[[#This Row],[PESO TOTAL]]-Tabela1[[#This Row],[Peso Expedido]]</f>
        <v>6.6000000000000005</v>
      </c>
      <c r="AA1170" s="17">
        <v>1</v>
      </c>
      <c r="AB1170" s="33"/>
      <c r="AC1170" s="33"/>
      <c r="AD1170" s="33"/>
      <c r="AE1170" s="33"/>
      <c r="AF1170" s="33"/>
      <c r="AG1170" s="33"/>
      <c r="AH1170" s="33"/>
      <c r="AI1170" s="33"/>
      <c r="AJ1170"/>
      <c r="AK1170"/>
      <c r="AL1170"/>
      <c r="AM1170"/>
      <c r="AN1170"/>
      <c r="AO1170"/>
      <c r="AP1170"/>
      <c r="AQ1170" s="22"/>
      <c r="AR1170" s="24"/>
      <c r="AS1170" s="37"/>
      <c r="AT1170" s="37"/>
      <c r="AU1170" s="37"/>
      <c r="AV1170" s="37"/>
      <c r="AW1170" s="37"/>
    </row>
    <row r="1171" spans="1:49" ht="15.75" customHeight="1" x14ac:dyDescent="0.25">
      <c r="A1171" s="1" t="s">
        <v>5643</v>
      </c>
      <c r="B1171" s="21" t="s">
        <v>5644</v>
      </c>
      <c r="C1171" s="1">
        <v>6</v>
      </c>
      <c r="D1171" s="1" t="s">
        <v>5646</v>
      </c>
      <c r="E1171" s="7">
        <v>4852</v>
      </c>
      <c r="F1171" s="7">
        <v>68</v>
      </c>
      <c r="G1171" s="1">
        <v>8.1999999999999993</v>
      </c>
      <c r="H1171" s="34">
        <f>Tabela1[[#This Row],[PESO UNI]]*Tabela1[[#This Row],[QTE]]</f>
        <v>49.199999999999996</v>
      </c>
      <c r="I1171" s="7">
        <v>0</v>
      </c>
      <c r="J1171" s="8" t="s">
        <v>3140</v>
      </c>
      <c r="K1171" s="8" t="s">
        <v>4320</v>
      </c>
      <c r="L1171" s="9" t="s">
        <v>2984</v>
      </c>
      <c r="M1171" s="10">
        <v>46274</v>
      </c>
      <c r="N1171" s="8" t="s">
        <v>5105</v>
      </c>
      <c r="O1171" s="12"/>
      <c r="P1171" s="13"/>
      <c r="Q1171" s="14">
        <f>Tabela1[[#This Row],[QTDE/ Fabricação]]-Tabela1[[#This Row],[QTE]]</f>
        <v>-6</v>
      </c>
      <c r="R1171" s="18">
        <f t="shared" si="269"/>
        <v>12.299999999999999</v>
      </c>
      <c r="S1171" s="18">
        <f t="shared" si="270"/>
        <v>0</v>
      </c>
      <c r="T1171" s="19">
        <f t="shared" si="271"/>
        <v>-49.199999999999996</v>
      </c>
      <c r="U1171" s="16">
        <f>IFERROR(SUMIF('LISTA DE EMBARQUE'!B:B,MICRO!E:E,'LISTA DE EMBARQUE'!G:G),"")</f>
        <v>0</v>
      </c>
      <c r="V1171" s="12" t="str">
        <f>IFERROR(VLOOKUP(Tabela1[[#This Row],[COD.MDE]],'LISTA DE EMBARQUE'!B:L,11,0),"")</f>
        <v/>
      </c>
      <c r="W1171" s="13" t="str">
        <f>IFERROR(VLOOKUP(Tabela1[[#This Row],[COD.MDE]],'LISTA DE EMBARQUE'!B:M,12,0),"")</f>
        <v/>
      </c>
      <c r="X1171" s="14">
        <f>IFERROR(Tabela1[[#This Row],[QIANTIDADE EXPEDIDA]]*Tabela1[[#This Row],[PESO UNI]],"")</f>
        <v>0</v>
      </c>
      <c r="Y1171" s="14">
        <f t="shared" si="272"/>
        <v>-6</v>
      </c>
      <c r="Z1171" s="20">
        <f>Tabela1[[#This Row],[PESO TOTAL]]-Tabela1[[#This Row],[Peso Expedido]]</f>
        <v>49.199999999999996</v>
      </c>
      <c r="AA1171" s="17">
        <v>1</v>
      </c>
      <c r="AB1171" s="33"/>
      <c r="AC1171" s="33"/>
      <c r="AD1171" s="33"/>
      <c r="AE1171" s="33"/>
      <c r="AF1171" s="33"/>
      <c r="AG1171" s="33"/>
      <c r="AH1171" s="33"/>
      <c r="AI1171" s="33"/>
      <c r="AJ1171"/>
      <c r="AK1171"/>
      <c r="AL1171"/>
      <c r="AM1171"/>
      <c r="AN1171"/>
      <c r="AO1171"/>
      <c r="AP1171"/>
      <c r="AQ1171" s="22"/>
      <c r="AR1171" s="24"/>
      <c r="AS1171" s="37"/>
      <c r="AT1171" s="37"/>
      <c r="AU1171" s="37"/>
      <c r="AV1171" s="37"/>
      <c r="AW1171" s="37"/>
    </row>
    <row r="1172" spans="1:49" ht="15.75" customHeight="1" x14ac:dyDescent="0.25">
      <c r="A1172" s="1" t="s">
        <v>5643</v>
      </c>
      <c r="B1172" s="21" t="s">
        <v>5644</v>
      </c>
      <c r="C1172" s="1">
        <v>4</v>
      </c>
      <c r="D1172" s="1" t="s">
        <v>5647</v>
      </c>
      <c r="E1172" s="7">
        <v>4853</v>
      </c>
      <c r="F1172" s="7">
        <v>68</v>
      </c>
      <c r="G1172" s="1">
        <v>50.9</v>
      </c>
      <c r="H1172" s="34">
        <f>Tabela1[[#This Row],[PESO UNI]]*Tabela1[[#This Row],[QTE]]</f>
        <v>203.6</v>
      </c>
      <c r="I1172" s="7">
        <v>0</v>
      </c>
      <c r="J1172" s="8" t="s">
        <v>3140</v>
      </c>
      <c r="K1172" s="8" t="s">
        <v>4320</v>
      </c>
      <c r="L1172" s="9" t="s">
        <v>2984</v>
      </c>
      <c r="M1172" s="10">
        <v>46274</v>
      </c>
      <c r="N1172" s="8" t="s">
        <v>5105</v>
      </c>
      <c r="O1172" s="12"/>
      <c r="P1172" s="13"/>
      <c r="Q1172" s="14">
        <f>Tabela1[[#This Row],[QTDE/ Fabricação]]-Tabela1[[#This Row],[QTE]]</f>
        <v>-4</v>
      </c>
      <c r="R1172" s="18">
        <f t="shared" si="269"/>
        <v>50.9</v>
      </c>
      <c r="S1172" s="18">
        <f t="shared" si="270"/>
        <v>0</v>
      </c>
      <c r="T1172" s="19">
        <f t="shared" si="271"/>
        <v>-203.6</v>
      </c>
      <c r="U1172" s="16">
        <f>IFERROR(SUMIF('LISTA DE EMBARQUE'!B:B,MICRO!E:E,'LISTA DE EMBARQUE'!G:G),"")</f>
        <v>0</v>
      </c>
      <c r="V1172" s="12" t="str">
        <f>IFERROR(VLOOKUP(Tabela1[[#This Row],[COD.MDE]],'LISTA DE EMBARQUE'!B:L,11,0),"")</f>
        <v/>
      </c>
      <c r="W1172" s="13" t="str">
        <f>IFERROR(VLOOKUP(Tabela1[[#This Row],[COD.MDE]],'LISTA DE EMBARQUE'!B:M,12,0),"")</f>
        <v/>
      </c>
      <c r="X1172" s="14">
        <f>IFERROR(Tabela1[[#This Row],[QIANTIDADE EXPEDIDA]]*Tabela1[[#This Row],[PESO UNI]],"")</f>
        <v>0</v>
      </c>
      <c r="Y1172" s="14">
        <f t="shared" si="272"/>
        <v>-4</v>
      </c>
      <c r="Z1172" s="20">
        <f>Tabela1[[#This Row],[PESO TOTAL]]-Tabela1[[#This Row],[Peso Expedido]]</f>
        <v>203.6</v>
      </c>
      <c r="AA1172" s="17">
        <v>1</v>
      </c>
      <c r="AB1172" s="33"/>
      <c r="AC1172" s="33"/>
      <c r="AD1172" s="33"/>
      <c r="AE1172" s="33"/>
      <c r="AF1172" s="33"/>
      <c r="AG1172" s="33"/>
      <c r="AH1172" s="33"/>
      <c r="AI1172" s="33"/>
      <c r="AJ1172"/>
      <c r="AK1172"/>
      <c r="AL1172"/>
      <c r="AM1172"/>
      <c r="AN1172"/>
      <c r="AO1172"/>
      <c r="AP1172"/>
      <c r="AQ1172" s="22"/>
      <c r="AR1172" s="24"/>
      <c r="AS1172" s="37"/>
      <c r="AT1172" s="37"/>
      <c r="AU1172" s="37"/>
      <c r="AV1172" s="37"/>
      <c r="AW1172" s="37"/>
    </row>
    <row r="1173" spans="1:49" ht="15.75" customHeight="1" x14ac:dyDescent="0.25">
      <c r="A1173" s="1" t="s">
        <v>5643</v>
      </c>
      <c r="B1173" s="21" t="s">
        <v>5644</v>
      </c>
      <c r="C1173" s="1">
        <v>4</v>
      </c>
      <c r="D1173" s="1" t="s">
        <v>5648</v>
      </c>
      <c r="E1173" s="7">
        <v>4854</v>
      </c>
      <c r="F1173" s="7">
        <v>68</v>
      </c>
      <c r="G1173" s="1">
        <v>4.2</v>
      </c>
      <c r="H1173" s="34">
        <f>Tabela1[[#This Row],[PESO UNI]]*Tabela1[[#This Row],[QTE]]</f>
        <v>16.8</v>
      </c>
      <c r="I1173" s="7">
        <v>0</v>
      </c>
      <c r="J1173" s="8" t="s">
        <v>3140</v>
      </c>
      <c r="K1173" s="8" t="s">
        <v>4320</v>
      </c>
      <c r="L1173" s="9" t="s">
        <v>2984</v>
      </c>
      <c r="M1173" s="10">
        <v>46274</v>
      </c>
      <c r="N1173" s="8" t="s">
        <v>5105</v>
      </c>
      <c r="O1173" s="12"/>
      <c r="P1173" s="13"/>
      <c r="Q1173" s="14">
        <f>Tabela1[[#This Row],[QTDE/ Fabricação]]-Tabela1[[#This Row],[QTE]]</f>
        <v>-4</v>
      </c>
      <c r="R1173" s="18">
        <f t="shared" si="269"/>
        <v>4.2</v>
      </c>
      <c r="S1173" s="18">
        <f t="shared" si="270"/>
        <v>0</v>
      </c>
      <c r="T1173" s="19">
        <f t="shared" si="271"/>
        <v>-16.8</v>
      </c>
      <c r="U1173" s="16">
        <f>IFERROR(SUMIF('LISTA DE EMBARQUE'!B:B,MICRO!E:E,'LISTA DE EMBARQUE'!G:G),"")</f>
        <v>0</v>
      </c>
      <c r="V1173" s="12" t="str">
        <f>IFERROR(VLOOKUP(Tabela1[[#This Row],[COD.MDE]],'LISTA DE EMBARQUE'!B:L,11,0),"")</f>
        <v/>
      </c>
      <c r="W1173" s="13" t="str">
        <f>IFERROR(VLOOKUP(Tabela1[[#This Row],[COD.MDE]],'LISTA DE EMBARQUE'!B:M,12,0),"")</f>
        <v/>
      </c>
      <c r="X1173" s="14">
        <f>IFERROR(Tabela1[[#This Row],[QIANTIDADE EXPEDIDA]]*Tabela1[[#This Row],[PESO UNI]],"")</f>
        <v>0</v>
      </c>
      <c r="Y1173" s="14">
        <f t="shared" si="272"/>
        <v>-4</v>
      </c>
      <c r="Z1173" s="20">
        <f>Tabela1[[#This Row],[PESO TOTAL]]-Tabela1[[#This Row],[Peso Expedido]]</f>
        <v>16.8</v>
      </c>
      <c r="AA1173" s="17">
        <v>1</v>
      </c>
      <c r="AB1173" s="33"/>
      <c r="AC1173" s="33"/>
      <c r="AD1173" s="33"/>
      <c r="AE1173" s="33"/>
      <c r="AF1173" s="33"/>
      <c r="AG1173" s="33"/>
      <c r="AH1173" s="33"/>
      <c r="AI1173" s="33"/>
      <c r="AJ1173"/>
      <c r="AK1173"/>
      <c r="AL1173"/>
      <c r="AM1173"/>
      <c r="AN1173"/>
      <c r="AO1173"/>
      <c r="AP1173"/>
      <c r="AQ1173" s="22"/>
      <c r="AR1173" s="24"/>
      <c r="AS1173" s="37"/>
      <c r="AT1173" s="37"/>
      <c r="AU1173" s="37"/>
      <c r="AV1173" s="37"/>
      <c r="AW1173" s="37"/>
    </row>
    <row r="1174" spans="1:49" ht="15.75" customHeight="1" x14ac:dyDescent="0.25">
      <c r="A1174" s="1" t="s">
        <v>5643</v>
      </c>
      <c r="B1174" s="21" t="s">
        <v>5644</v>
      </c>
      <c r="C1174" s="1">
        <v>4</v>
      </c>
      <c r="D1174" s="1" t="s">
        <v>5649</v>
      </c>
      <c r="E1174" s="7">
        <v>4855</v>
      </c>
      <c r="F1174" s="7">
        <v>68</v>
      </c>
      <c r="G1174" s="1">
        <v>3.8</v>
      </c>
      <c r="H1174" s="34">
        <f>Tabela1[[#This Row],[PESO UNI]]*Tabela1[[#This Row],[QTE]]</f>
        <v>15.2</v>
      </c>
      <c r="I1174" s="7">
        <v>0</v>
      </c>
      <c r="J1174" s="8" t="s">
        <v>3140</v>
      </c>
      <c r="K1174" s="8" t="s">
        <v>4320</v>
      </c>
      <c r="L1174" s="9" t="s">
        <v>2984</v>
      </c>
      <c r="M1174" s="10">
        <v>46274</v>
      </c>
      <c r="N1174" s="8" t="s">
        <v>5105</v>
      </c>
      <c r="O1174" s="12"/>
      <c r="P1174" s="13"/>
      <c r="Q1174" s="14">
        <f>Tabela1[[#This Row],[QTDE/ Fabricação]]-Tabela1[[#This Row],[QTE]]</f>
        <v>-4</v>
      </c>
      <c r="R1174" s="18">
        <f t="shared" si="269"/>
        <v>3.8</v>
      </c>
      <c r="S1174" s="18">
        <f t="shared" si="270"/>
        <v>0</v>
      </c>
      <c r="T1174" s="19">
        <f t="shared" si="271"/>
        <v>-15.2</v>
      </c>
      <c r="U1174" s="16">
        <f>IFERROR(SUMIF('LISTA DE EMBARQUE'!B:B,MICRO!E:E,'LISTA DE EMBARQUE'!G:G),"")</f>
        <v>0</v>
      </c>
      <c r="V1174" s="12" t="str">
        <f>IFERROR(VLOOKUP(Tabela1[[#This Row],[COD.MDE]],'LISTA DE EMBARQUE'!B:L,11,0),"")</f>
        <v/>
      </c>
      <c r="W1174" s="13" t="str">
        <f>IFERROR(VLOOKUP(Tabela1[[#This Row],[COD.MDE]],'LISTA DE EMBARQUE'!B:M,12,0),"")</f>
        <v/>
      </c>
      <c r="X1174" s="14">
        <f>IFERROR(Tabela1[[#This Row],[QIANTIDADE EXPEDIDA]]*Tabela1[[#This Row],[PESO UNI]],"")</f>
        <v>0</v>
      </c>
      <c r="Y1174" s="14">
        <f t="shared" si="272"/>
        <v>-4</v>
      </c>
      <c r="Z1174" s="20">
        <f>Tabela1[[#This Row],[PESO TOTAL]]-Tabela1[[#This Row],[Peso Expedido]]</f>
        <v>15.2</v>
      </c>
      <c r="AA1174" s="17">
        <v>1</v>
      </c>
      <c r="AB1174" s="33"/>
      <c r="AC1174" s="33"/>
      <c r="AD1174" s="33"/>
      <c r="AE1174" s="33"/>
      <c r="AF1174" s="33"/>
      <c r="AG1174" s="33"/>
      <c r="AH1174" s="33"/>
      <c r="AI1174" s="33"/>
      <c r="AJ1174"/>
      <c r="AK1174"/>
      <c r="AL1174"/>
      <c r="AM1174"/>
      <c r="AN1174"/>
      <c r="AO1174"/>
      <c r="AP1174"/>
      <c r="AQ1174" s="22"/>
      <c r="AR1174" s="24"/>
      <c r="AS1174" s="37"/>
      <c r="AT1174" s="37"/>
      <c r="AU1174" s="37"/>
      <c r="AV1174" s="37"/>
      <c r="AW1174" s="37"/>
    </row>
    <row r="1175" spans="1:49" ht="15.75" customHeight="1" x14ac:dyDescent="0.25">
      <c r="A1175" s="1" t="s">
        <v>5643</v>
      </c>
      <c r="B1175" s="21" t="s">
        <v>5644</v>
      </c>
      <c r="C1175" s="1">
        <v>22</v>
      </c>
      <c r="D1175" s="1" t="s">
        <v>5650</v>
      </c>
      <c r="E1175" s="7">
        <v>4856</v>
      </c>
      <c r="F1175" s="7">
        <v>68</v>
      </c>
      <c r="G1175" s="1">
        <v>7.7</v>
      </c>
      <c r="H1175" s="34">
        <f>Tabela1[[#This Row],[PESO UNI]]*Tabela1[[#This Row],[QTE]]</f>
        <v>169.4</v>
      </c>
      <c r="I1175" s="7">
        <v>0</v>
      </c>
      <c r="J1175" s="8" t="s">
        <v>3140</v>
      </c>
      <c r="K1175" s="8" t="s">
        <v>4320</v>
      </c>
      <c r="L1175" s="9" t="s">
        <v>2984</v>
      </c>
      <c r="M1175" s="10">
        <v>46274</v>
      </c>
      <c r="N1175" s="8" t="s">
        <v>5105</v>
      </c>
      <c r="O1175" s="12"/>
      <c r="P1175" s="13"/>
      <c r="Q1175" s="14">
        <f>Tabela1[[#This Row],[QTDE/ Fabricação]]-Tabela1[[#This Row],[QTE]]</f>
        <v>-22</v>
      </c>
      <c r="R1175" s="18">
        <f t="shared" si="269"/>
        <v>42.35</v>
      </c>
      <c r="S1175" s="18">
        <f t="shared" si="270"/>
        <v>0</v>
      </c>
      <c r="T1175" s="19">
        <f t="shared" si="271"/>
        <v>-169.4</v>
      </c>
      <c r="U1175" s="16">
        <f>IFERROR(SUMIF('LISTA DE EMBARQUE'!B:B,MICRO!E:E,'LISTA DE EMBARQUE'!G:G),"")</f>
        <v>0</v>
      </c>
      <c r="V1175" s="12" t="str">
        <f>IFERROR(VLOOKUP(Tabela1[[#This Row],[COD.MDE]],'LISTA DE EMBARQUE'!B:L,11,0),"")</f>
        <v/>
      </c>
      <c r="W1175" s="13" t="str">
        <f>IFERROR(VLOOKUP(Tabela1[[#This Row],[COD.MDE]],'LISTA DE EMBARQUE'!B:M,12,0),"")</f>
        <v/>
      </c>
      <c r="X1175" s="14">
        <f>IFERROR(Tabela1[[#This Row],[QIANTIDADE EXPEDIDA]]*Tabela1[[#This Row],[PESO UNI]],"")</f>
        <v>0</v>
      </c>
      <c r="Y1175" s="14">
        <f t="shared" si="272"/>
        <v>-22</v>
      </c>
      <c r="Z1175" s="20">
        <f>Tabela1[[#This Row],[PESO TOTAL]]-Tabela1[[#This Row],[Peso Expedido]]</f>
        <v>169.4</v>
      </c>
      <c r="AA1175" s="17">
        <v>1</v>
      </c>
      <c r="AB1175" s="33"/>
      <c r="AC1175" s="33"/>
      <c r="AD1175" s="33"/>
      <c r="AE1175" s="33"/>
      <c r="AF1175" s="33"/>
      <c r="AG1175" s="33"/>
      <c r="AH1175" s="33"/>
      <c r="AI1175" s="33"/>
      <c r="AJ1175"/>
      <c r="AK1175"/>
      <c r="AL1175"/>
      <c r="AM1175"/>
      <c r="AN1175"/>
      <c r="AO1175"/>
      <c r="AP1175"/>
      <c r="AQ1175" s="22"/>
      <c r="AR1175" s="24"/>
      <c r="AS1175" s="37"/>
      <c r="AT1175" s="37"/>
      <c r="AU1175" s="37"/>
      <c r="AV1175" s="37"/>
      <c r="AW1175" s="37"/>
    </row>
    <row r="1176" spans="1:49" ht="15.75" customHeight="1" x14ac:dyDescent="0.25">
      <c r="A1176" s="1" t="s">
        <v>5643</v>
      </c>
      <c r="B1176" s="21" t="s">
        <v>5644</v>
      </c>
      <c r="C1176" s="1">
        <v>1</v>
      </c>
      <c r="D1176" s="1" t="s">
        <v>5651</v>
      </c>
      <c r="E1176" s="7">
        <v>4857</v>
      </c>
      <c r="F1176" s="7">
        <v>68</v>
      </c>
      <c r="G1176" s="1">
        <v>15.1</v>
      </c>
      <c r="H1176" s="34">
        <f>Tabela1[[#This Row],[PESO UNI]]*Tabela1[[#This Row],[QTE]]</f>
        <v>15.1</v>
      </c>
      <c r="I1176" s="7">
        <v>0</v>
      </c>
      <c r="J1176" s="8" t="s">
        <v>3140</v>
      </c>
      <c r="K1176" s="8" t="s">
        <v>4320</v>
      </c>
      <c r="L1176" s="9" t="s">
        <v>2984</v>
      </c>
      <c r="M1176" s="10">
        <v>46274</v>
      </c>
      <c r="N1176" s="8" t="s">
        <v>5105</v>
      </c>
      <c r="O1176" s="12"/>
      <c r="P1176" s="13"/>
      <c r="Q1176" s="14">
        <f>Tabela1[[#This Row],[QTDE/ Fabricação]]-Tabela1[[#This Row],[QTE]]</f>
        <v>-1</v>
      </c>
      <c r="R1176" s="18">
        <f t="shared" si="269"/>
        <v>3.7749999999999999</v>
      </c>
      <c r="S1176" s="18">
        <f t="shared" si="270"/>
        <v>0</v>
      </c>
      <c r="T1176" s="19">
        <f t="shared" si="271"/>
        <v>-15.1</v>
      </c>
      <c r="U1176" s="16">
        <f>IFERROR(SUMIF('LISTA DE EMBARQUE'!B:B,MICRO!E:E,'LISTA DE EMBARQUE'!G:G),"")</f>
        <v>0</v>
      </c>
      <c r="V1176" s="12" t="str">
        <f>IFERROR(VLOOKUP(Tabela1[[#This Row],[COD.MDE]],'LISTA DE EMBARQUE'!B:L,11,0),"")</f>
        <v/>
      </c>
      <c r="W1176" s="13" t="str">
        <f>IFERROR(VLOOKUP(Tabela1[[#This Row],[COD.MDE]],'LISTA DE EMBARQUE'!B:M,12,0),"")</f>
        <v/>
      </c>
      <c r="X1176" s="14">
        <f>IFERROR(Tabela1[[#This Row],[QIANTIDADE EXPEDIDA]]*Tabela1[[#This Row],[PESO UNI]],"")</f>
        <v>0</v>
      </c>
      <c r="Y1176" s="14">
        <f t="shared" si="272"/>
        <v>-1</v>
      </c>
      <c r="Z1176" s="20">
        <f>Tabela1[[#This Row],[PESO TOTAL]]-Tabela1[[#This Row],[Peso Expedido]]</f>
        <v>15.1</v>
      </c>
      <c r="AA1176" s="17">
        <v>1</v>
      </c>
      <c r="AB1176" s="33"/>
      <c r="AC1176" s="33"/>
      <c r="AD1176" s="33"/>
      <c r="AE1176" s="33"/>
      <c r="AF1176" s="33"/>
      <c r="AG1176" s="33"/>
      <c r="AH1176" s="33"/>
      <c r="AI1176" s="33"/>
      <c r="AJ1176"/>
      <c r="AK1176"/>
      <c r="AL1176"/>
      <c r="AM1176"/>
      <c r="AN1176"/>
      <c r="AO1176"/>
      <c r="AP1176"/>
      <c r="AQ1176" s="22"/>
      <c r="AR1176" s="24"/>
      <c r="AS1176" s="37"/>
      <c r="AT1176" s="37"/>
      <c r="AU1176" s="37"/>
      <c r="AV1176" s="37"/>
      <c r="AW1176" s="37"/>
    </row>
    <row r="1177" spans="1:49" ht="15.75" customHeight="1" x14ac:dyDescent="0.25">
      <c r="A1177" s="1" t="s">
        <v>5643</v>
      </c>
      <c r="B1177" s="21" t="s">
        <v>5644</v>
      </c>
      <c r="C1177" s="1">
        <v>1</v>
      </c>
      <c r="D1177" s="1" t="s">
        <v>5652</v>
      </c>
      <c r="E1177" s="7">
        <v>4858</v>
      </c>
      <c r="F1177" s="7">
        <v>68</v>
      </c>
      <c r="G1177" s="1">
        <v>2.2000000000000002</v>
      </c>
      <c r="H1177" s="34">
        <f>Tabela1[[#This Row],[PESO UNI]]*Tabela1[[#This Row],[QTE]]</f>
        <v>2.2000000000000002</v>
      </c>
      <c r="I1177" s="7">
        <v>0</v>
      </c>
      <c r="J1177" s="8" t="s">
        <v>3140</v>
      </c>
      <c r="K1177" s="8" t="s">
        <v>4320</v>
      </c>
      <c r="L1177" s="9" t="s">
        <v>2984</v>
      </c>
      <c r="M1177" s="10">
        <v>46274</v>
      </c>
      <c r="N1177" s="8" t="s">
        <v>5105</v>
      </c>
      <c r="O1177" s="12"/>
      <c r="P1177" s="13"/>
      <c r="Q1177" s="14">
        <f>Tabela1[[#This Row],[QTDE/ Fabricação]]-Tabela1[[#This Row],[QTE]]</f>
        <v>-1</v>
      </c>
      <c r="R1177" s="18">
        <f t="shared" si="269"/>
        <v>0.55000000000000004</v>
      </c>
      <c r="S1177" s="18">
        <f t="shared" si="270"/>
        <v>0</v>
      </c>
      <c r="T1177" s="19">
        <f t="shared" si="271"/>
        <v>-2.2000000000000002</v>
      </c>
      <c r="U1177" s="16">
        <f>IFERROR(SUMIF('LISTA DE EMBARQUE'!B:B,MICRO!E:E,'LISTA DE EMBARQUE'!G:G),"")</f>
        <v>0</v>
      </c>
      <c r="V1177" s="12" t="str">
        <f>IFERROR(VLOOKUP(Tabela1[[#This Row],[COD.MDE]],'LISTA DE EMBARQUE'!B:L,11,0),"")</f>
        <v/>
      </c>
      <c r="W1177" s="13" t="str">
        <f>IFERROR(VLOOKUP(Tabela1[[#This Row],[COD.MDE]],'LISTA DE EMBARQUE'!B:M,12,0),"")</f>
        <v/>
      </c>
      <c r="X1177" s="14">
        <f>IFERROR(Tabela1[[#This Row],[QIANTIDADE EXPEDIDA]]*Tabela1[[#This Row],[PESO UNI]],"")</f>
        <v>0</v>
      </c>
      <c r="Y1177" s="14">
        <f t="shared" si="272"/>
        <v>-1</v>
      </c>
      <c r="Z1177" s="20">
        <f>Tabela1[[#This Row],[PESO TOTAL]]-Tabela1[[#This Row],[Peso Expedido]]</f>
        <v>2.2000000000000002</v>
      </c>
      <c r="AA1177" s="17">
        <v>1</v>
      </c>
      <c r="AB1177" s="33"/>
      <c r="AC1177" s="33"/>
      <c r="AD1177" s="33"/>
      <c r="AE1177" s="33"/>
      <c r="AF1177" s="33"/>
      <c r="AG1177" s="33"/>
      <c r="AH1177" s="33"/>
      <c r="AI1177" s="33"/>
      <c r="AJ1177"/>
      <c r="AK1177"/>
      <c r="AL1177"/>
      <c r="AM1177"/>
      <c r="AN1177"/>
      <c r="AO1177"/>
      <c r="AP1177"/>
      <c r="AQ1177" s="22"/>
      <c r="AR1177" s="24"/>
      <c r="AS1177" s="37"/>
      <c r="AT1177" s="37"/>
      <c r="AU1177" s="37"/>
      <c r="AV1177" s="37"/>
      <c r="AW1177" s="37"/>
    </row>
    <row r="1178" spans="1:49" ht="15.75" customHeight="1" x14ac:dyDescent="0.25">
      <c r="A1178" s="1" t="s">
        <v>5643</v>
      </c>
      <c r="B1178" s="21" t="s">
        <v>5644</v>
      </c>
      <c r="C1178" s="1">
        <v>1</v>
      </c>
      <c r="D1178" s="1" t="s">
        <v>5653</v>
      </c>
      <c r="E1178" s="7">
        <v>4859</v>
      </c>
      <c r="F1178" s="7">
        <v>68</v>
      </c>
      <c r="G1178" s="1">
        <v>11.1</v>
      </c>
      <c r="H1178" s="34">
        <f>Tabela1[[#This Row],[PESO UNI]]*Tabela1[[#This Row],[QTE]]</f>
        <v>11.1</v>
      </c>
      <c r="I1178" s="7">
        <v>0</v>
      </c>
      <c r="J1178" s="8" t="s">
        <v>3140</v>
      </c>
      <c r="K1178" s="8" t="s">
        <v>4320</v>
      </c>
      <c r="L1178" s="9" t="s">
        <v>2984</v>
      </c>
      <c r="M1178" s="10">
        <v>46274</v>
      </c>
      <c r="N1178" s="8" t="s">
        <v>5105</v>
      </c>
      <c r="O1178" s="12"/>
      <c r="P1178" s="13"/>
      <c r="Q1178" s="14">
        <f>Tabela1[[#This Row],[QTDE/ Fabricação]]-Tabela1[[#This Row],[QTE]]</f>
        <v>-1</v>
      </c>
      <c r="R1178" s="18">
        <f t="shared" si="269"/>
        <v>2.7749999999999999</v>
      </c>
      <c r="S1178" s="18">
        <f t="shared" si="270"/>
        <v>0</v>
      </c>
      <c r="T1178" s="19">
        <f t="shared" si="271"/>
        <v>-11.1</v>
      </c>
      <c r="U1178" s="16">
        <f>IFERROR(SUMIF('LISTA DE EMBARQUE'!B:B,MICRO!E:E,'LISTA DE EMBARQUE'!G:G),"")</f>
        <v>0</v>
      </c>
      <c r="V1178" s="12" t="str">
        <f>IFERROR(VLOOKUP(Tabela1[[#This Row],[COD.MDE]],'LISTA DE EMBARQUE'!B:L,11,0),"")</f>
        <v/>
      </c>
      <c r="W1178" s="13" t="str">
        <f>IFERROR(VLOOKUP(Tabela1[[#This Row],[COD.MDE]],'LISTA DE EMBARQUE'!B:M,12,0),"")</f>
        <v/>
      </c>
      <c r="X1178" s="14">
        <f>IFERROR(Tabela1[[#This Row],[QIANTIDADE EXPEDIDA]]*Tabela1[[#This Row],[PESO UNI]],"")</f>
        <v>0</v>
      </c>
      <c r="Y1178" s="14">
        <f t="shared" si="272"/>
        <v>-1</v>
      </c>
      <c r="Z1178" s="20">
        <f>Tabela1[[#This Row],[PESO TOTAL]]-Tabela1[[#This Row],[Peso Expedido]]</f>
        <v>11.1</v>
      </c>
      <c r="AA1178" s="17">
        <v>1</v>
      </c>
      <c r="AB1178" s="33"/>
      <c r="AC1178" s="33"/>
      <c r="AD1178" s="33"/>
      <c r="AE1178" s="33"/>
      <c r="AF1178" s="33"/>
      <c r="AG1178" s="33"/>
      <c r="AH1178" s="33"/>
      <c r="AI1178" s="33"/>
      <c r="AJ1178"/>
      <c r="AK1178"/>
      <c r="AL1178"/>
      <c r="AM1178"/>
      <c r="AN1178"/>
      <c r="AO1178"/>
      <c r="AP1178"/>
      <c r="AQ1178" s="22"/>
      <c r="AR1178" s="24"/>
      <c r="AS1178" s="37"/>
      <c r="AT1178" s="37"/>
      <c r="AU1178" s="37"/>
      <c r="AV1178" s="37"/>
      <c r="AW1178" s="37"/>
    </row>
    <row r="1179" spans="1:49" ht="15.75" customHeight="1" x14ac:dyDescent="0.25">
      <c r="A1179" s="1" t="s">
        <v>5643</v>
      </c>
      <c r="B1179" s="21" t="s">
        <v>5644</v>
      </c>
      <c r="C1179" s="1">
        <v>2</v>
      </c>
      <c r="D1179" s="1" t="s">
        <v>5654</v>
      </c>
      <c r="E1179" s="7">
        <v>4860</v>
      </c>
      <c r="F1179" s="7">
        <v>68</v>
      </c>
      <c r="G1179" s="1">
        <v>8.1999999999999993</v>
      </c>
      <c r="H1179" s="34">
        <f>Tabela1[[#This Row],[PESO UNI]]*Tabela1[[#This Row],[QTE]]</f>
        <v>16.399999999999999</v>
      </c>
      <c r="I1179" s="7">
        <v>0</v>
      </c>
      <c r="J1179" s="8" t="s">
        <v>3140</v>
      </c>
      <c r="K1179" s="8" t="s">
        <v>4320</v>
      </c>
      <c r="L1179" s="9" t="s">
        <v>2984</v>
      </c>
      <c r="M1179" s="10">
        <v>46274</v>
      </c>
      <c r="N1179" s="8" t="s">
        <v>5105</v>
      </c>
      <c r="O1179" s="12"/>
      <c r="P1179" s="13"/>
      <c r="Q1179" s="14">
        <f>Tabela1[[#This Row],[QTDE/ Fabricação]]-Tabela1[[#This Row],[QTE]]</f>
        <v>-2</v>
      </c>
      <c r="R1179" s="18">
        <f t="shared" si="269"/>
        <v>4.0999999999999996</v>
      </c>
      <c r="S1179" s="18">
        <f t="shared" si="270"/>
        <v>0</v>
      </c>
      <c r="T1179" s="19">
        <f t="shared" si="271"/>
        <v>-16.399999999999999</v>
      </c>
      <c r="U1179" s="16">
        <f>IFERROR(SUMIF('LISTA DE EMBARQUE'!B:B,MICRO!E:E,'LISTA DE EMBARQUE'!G:G),"")</f>
        <v>0</v>
      </c>
      <c r="V1179" s="12" t="str">
        <f>IFERROR(VLOOKUP(Tabela1[[#This Row],[COD.MDE]],'LISTA DE EMBARQUE'!B:L,11,0),"")</f>
        <v/>
      </c>
      <c r="W1179" s="13" t="str">
        <f>IFERROR(VLOOKUP(Tabela1[[#This Row],[COD.MDE]],'LISTA DE EMBARQUE'!B:M,12,0),"")</f>
        <v/>
      </c>
      <c r="X1179" s="14">
        <f>IFERROR(Tabela1[[#This Row],[QIANTIDADE EXPEDIDA]]*Tabela1[[#This Row],[PESO UNI]],"")</f>
        <v>0</v>
      </c>
      <c r="Y1179" s="14">
        <f t="shared" si="272"/>
        <v>-2</v>
      </c>
      <c r="Z1179" s="20">
        <f>Tabela1[[#This Row],[PESO TOTAL]]-Tabela1[[#This Row],[Peso Expedido]]</f>
        <v>16.399999999999999</v>
      </c>
      <c r="AA1179" s="17">
        <v>1</v>
      </c>
      <c r="AB1179" s="33"/>
      <c r="AC1179" s="33"/>
      <c r="AD1179" s="33"/>
      <c r="AE1179" s="33"/>
      <c r="AF1179" s="33"/>
      <c r="AG1179" s="33"/>
      <c r="AH1179" s="33"/>
      <c r="AI1179" s="33"/>
      <c r="AJ1179"/>
      <c r="AK1179"/>
      <c r="AL1179"/>
      <c r="AM1179"/>
      <c r="AN1179"/>
      <c r="AO1179"/>
      <c r="AP1179"/>
      <c r="AQ1179" s="22"/>
      <c r="AR1179" s="24"/>
      <c r="AS1179" s="37"/>
      <c r="AT1179" s="37"/>
      <c r="AU1179" s="37"/>
      <c r="AV1179" s="37"/>
      <c r="AW1179" s="37"/>
    </row>
    <row r="1180" spans="1:49" ht="15.75" customHeight="1" x14ac:dyDescent="0.25">
      <c r="A1180" s="1" t="s">
        <v>5643</v>
      </c>
      <c r="B1180" s="21" t="s">
        <v>5644</v>
      </c>
      <c r="C1180" s="1">
        <v>2</v>
      </c>
      <c r="D1180" s="1" t="s">
        <v>5655</v>
      </c>
      <c r="E1180" s="7">
        <v>4861</v>
      </c>
      <c r="F1180" s="7">
        <v>68</v>
      </c>
      <c r="G1180" s="1">
        <v>1.9</v>
      </c>
      <c r="H1180" s="34">
        <f>Tabela1[[#This Row],[PESO UNI]]*Tabela1[[#This Row],[QTE]]</f>
        <v>3.8</v>
      </c>
      <c r="I1180" s="7">
        <v>0</v>
      </c>
      <c r="J1180" s="8" t="s">
        <v>3140</v>
      </c>
      <c r="K1180" s="8" t="s">
        <v>4320</v>
      </c>
      <c r="L1180" s="9" t="s">
        <v>2984</v>
      </c>
      <c r="M1180" s="10">
        <v>46274</v>
      </c>
      <c r="N1180" s="8" t="s">
        <v>5105</v>
      </c>
      <c r="O1180" s="12"/>
      <c r="P1180" s="13"/>
      <c r="Q1180" s="14">
        <f>Tabela1[[#This Row],[QTDE/ Fabricação]]-Tabela1[[#This Row],[QTE]]</f>
        <v>-2</v>
      </c>
      <c r="R1180" s="18">
        <f>IFERROR(H1180*((AA1180*0.25)+(AC1180*0.25)+(AD1180*0.225)+(AE1180*0.225)+(AF1180*0.05)),"")</f>
        <v>0.95</v>
      </c>
      <c r="S1180" s="18">
        <f>IFERROR(H1180*AG1180,"")</f>
        <v>0</v>
      </c>
      <c r="T1180" s="19">
        <f>IFERROR(S1180-H1180,"")</f>
        <v>-3.8</v>
      </c>
      <c r="U1180" s="16">
        <f>IFERROR(SUMIF('LISTA DE EMBARQUE'!B:B,MICRO!E:E,'LISTA DE EMBARQUE'!G:G),"")</f>
        <v>0</v>
      </c>
      <c r="V1180" s="12" t="str">
        <f>IFERROR(VLOOKUP(Tabela1[[#This Row],[COD.MDE]],'LISTA DE EMBARQUE'!B:L,11,0),"")</f>
        <v/>
      </c>
      <c r="W1180" s="13" t="str">
        <f>IFERROR(VLOOKUP(Tabela1[[#This Row],[COD.MDE]],'LISTA DE EMBARQUE'!B:M,12,0),"")</f>
        <v/>
      </c>
      <c r="X1180" s="14">
        <f>IFERROR(Tabela1[[#This Row],[QIANTIDADE EXPEDIDA]]*Tabela1[[#This Row],[PESO UNI]],"")</f>
        <v>0</v>
      </c>
      <c r="Y1180" s="14">
        <f>U1180-C1180</f>
        <v>-2</v>
      </c>
      <c r="Z1180" s="20">
        <f>Tabela1[[#This Row],[PESO TOTAL]]-Tabela1[[#This Row],[Peso Expedido]]</f>
        <v>3.8</v>
      </c>
      <c r="AA1180" s="17">
        <v>1</v>
      </c>
      <c r="AB1180" s="33"/>
      <c r="AC1180" s="33"/>
      <c r="AD1180" s="33"/>
      <c r="AE1180" s="33"/>
      <c r="AF1180" s="33"/>
      <c r="AG1180" s="33"/>
      <c r="AH1180" s="33"/>
      <c r="AI1180" s="33"/>
      <c r="AJ1180"/>
      <c r="AK1180"/>
      <c r="AL1180"/>
      <c r="AM1180"/>
      <c r="AN1180"/>
      <c r="AO1180"/>
      <c r="AP1180"/>
      <c r="AQ1180" s="22"/>
      <c r="AR1180" s="24"/>
      <c r="AS1180" s="37"/>
      <c r="AT1180" s="37"/>
      <c r="AU1180" s="37"/>
      <c r="AV1180" s="37"/>
      <c r="AW1180" s="37"/>
    </row>
    <row r="1181" spans="1:49" ht="15.75" customHeight="1" x14ac:dyDescent="0.25">
      <c r="A1181" s="1"/>
      <c r="B1181" s="21"/>
      <c r="C1181" s="1"/>
      <c r="D1181" s="1" t="s">
        <v>5656</v>
      </c>
      <c r="E1181" s="7">
        <v>4862</v>
      </c>
      <c r="F1181" s="7">
        <v>1</v>
      </c>
      <c r="G1181" s="1"/>
      <c r="H1181" s="34"/>
      <c r="I1181" s="7"/>
      <c r="J1181" s="8" t="s">
        <v>5657</v>
      </c>
      <c r="K1181" s="8" t="s">
        <v>45</v>
      </c>
      <c r="L1181" s="9" t="s">
        <v>5658</v>
      </c>
      <c r="M1181" s="10">
        <v>46238</v>
      </c>
      <c r="N1181" s="8" t="s">
        <v>38</v>
      </c>
      <c r="O1181" s="12"/>
      <c r="P1181" s="13"/>
      <c r="Q1181" s="14">
        <f>Tabela1[[#This Row],[QTDE/ Fabricação]]-Tabela1[[#This Row],[QTE]]</f>
        <v>0</v>
      </c>
      <c r="R1181" s="18">
        <f t="shared" ref="R1181" si="273">IFERROR(H1181*((AA1181*0.25)+(AC1181*0.25)+(AD1181*0.225)+(AE1181*0.225)+(AF1181*0.05)),"")</f>
        <v>0</v>
      </c>
      <c r="S1181" s="18">
        <f t="shared" ref="S1181" si="274">IFERROR(H1181*AG1181,"")</f>
        <v>0</v>
      </c>
      <c r="T1181" s="19">
        <f t="shared" ref="T1181" si="275">IFERROR(S1181-H1181,"")</f>
        <v>0</v>
      </c>
      <c r="U1181" s="16">
        <f>IFERROR(SUMIF('LISTA DE EMBARQUE'!B:B,MICRO!E:E,'LISTA DE EMBARQUE'!G:G),"")</f>
        <v>0</v>
      </c>
      <c r="V1181" s="12" t="str">
        <f>IFERROR(VLOOKUP(Tabela1[[#This Row],[COD.MDE]],'LISTA DE EMBARQUE'!B:L,11,0),"")</f>
        <v/>
      </c>
      <c r="W1181" s="13" t="str">
        <f>IFERROR(VLOOKUP(Tabela1[[#This Row],[COD.MDE]],'LISTA DE EMBARQUE'!B:M,12,0),"")</f>
        <v/>
      </c>
      <c r="X1181" s="14">
        <f>IFERROR(Tabela1[[#This Row],[QIANTIDADE EXPEDIDA]]*Tabela1[[#This Row],[PESO UNI]],"")</f>
        <v>0</v>
      </c>
      <c r="Y1181" s="14">
        <f t="shared" ref="Y1181" si="276">U1181-C1181</f>
        <v>0</v>
      </c>
      <c r="Z1181" s="20">
        <f>Tabela1[[#This Row],[PESO TOTAL]]-Tabela1[[#This Row],[Peso Expedido]]</f>
        <v>0</v>
      </c>
      <c r="AA1181" s="17"/>
      <c r="AB1181" s="33"/>
      <c r="AC1181" s="33"/>
      <c r="AD1181" s="33"/>
      <c r="AE1181" s="33"/>
      <c r="AF1181" s="33"/>
      <c r="AG1181" s="33"/>
      <c r="AH1181" s="33"/>
      <c r="AI1181" s="33"/>
      <c r="AJ1181"/>
      <c r="AK1181"/>
      <c r="AL1181"/>
      <c r="AM1181"/>
      <c r="AN1181"/>
      <c r="AO1181"/>
      <c r="AP1181"/>
      <c r="AQ1181" s="22"/>
      <c r="AR1181" s="24"/>
      <c r="AS1181" s="37"/>
      <c r="AT1181" s="37"/>
      <c r="AU1181" s="37"/>
      <c r="AV1181" s="37"/>
      <c r="AW1181" s="37"/>
    </row>
    <row r="1182" spans="1:49" ht="15.75" customHeight="1" x14ac:dyDescent="0.25">
      <c r="A1182" s="1" t="s">
        <v>5669</v>
      </c>
      <c r="B1182" s="21" t="s">
        <v>5670</v>
      </c>
      <c r="C1182" s="1">
        <v>1</v>
      </c>
      <c r="D1182" s="1" t="s">
        <v>5671</v>
      </c>
      <c r="E1182" s="7">
        <v>4863</v>
      </c>
      <c r="F1182" s="7">
        <v>7</v>
      </c>
      <c r="G1182" s="1">
        <v>15.9</v>
      </c>
      <c r="H1182" s="34">
        <f>Tabela1[[#This Row],[PESO UNI]]*Tabela1[[#This Row],[QTE]]</f>
        <v>15.9</v>
      </c>
      <c r="I1182" s="7">
        <v>0</v>
      </c>
      <c r="J1182" s="8" t="s">
        <v>5528</v>
      </c>
      <c r="K1182" s="8" t="s">
        <v>4320</v>
      </c>
      <c r="L1182" s="9" t="s">
        <v>5529</v>
      </c>
      <c r="M1182" s="10">
        <v>46275</v>
      </c>
      <c r="N1182" s="8" t="s">
        <v>5105</v>
      </c>
      <c r="O1182" s="12"/>
      <c r="P1182" s="13"/>
      <c r="Q1182" s="14">
        <f>Tabela1[[#This Row],[QTDE/ Fabricação]]-Tabela1[[#This Row],[QTE]]</f>
        <v>-1</v>
      </c>
      <c r="R1182" s="18">
        <f t="shared" ref="R1182:R1199" si="277">IFERROR(H1182*((AA1182*0.25)+(AC1182*0.25)+(AD1182*0.225)+(AE1182*0.225)+(AF1182*0.05)),"")</f>
        <v>3.9750000000000001</v>
      </c>
      <c r="S1182" s="18">
        <f t="shared" ref="S1182:S1199" si="278">IFERROR(H1182*AG1182,"")</f>
        <v>0</v>
      </c>
      <c r="T1182" s="19">
        <f t="shared" ref="T1182:T1199" si="279">IFERROR(S1182-H1182,"")</f>
        <v>-15.9</v>
      </c>
      <c r="U1182" s="16">
        <f>IFERROR(SUMIF('LISTA DE EMBARQUE'!B:B,MICRO!E:E,'LISTA DE EMBARQUE'!G:G),"")</f>
        <v>0</v>
      </c>
      <c r="V1182" s="12" t="str">
        <f>IFERROR(VLOOKUP(Tabela1[[#This Row],[COD.MDE]],'LISTA DE EMBARQUE'!B:L,11,0),"")</f>
        <v/>
      </c>
      <c r="W1182" s="13" t="str">
        <f>IFERROR(VLOOKUP(Tabela1[[#This Row],[COD.MDE]],'LISTA DE EMBARQUE'!B:M,12,0),"")</f>
        <v/>
      </c>
      <c r="X1182" s="14">
        <f>IFERROR(Tabela1[[#This Row],[QIANTIDADE EXPEDIDA]]*Tabela1[[#This Row],[PESO UNI]],"")</f>
        <v>0</v>
      </c>
      <c r="Y1182" s="14">
        <f t="shared" ref="Y1182:Y1199" si="280">U1182-C1182</f>
        <v>-1</v>
      </c>
      <c r="Z1182" s="20">
        <f>Tabela1[[#This Row],[PESO TOTAL]]-Tabela1[[#This Row],[Peso Expedido]]</f>
        <v>15.9</v>
      </c>
      <c r="AA1182" s="17">
        <v>1</v>
      </c>
      <c r="AB1182" s="33"/>
      <c r="AC1182" s="33"/>
      <c r="AD1182" s="33"/>
      <c r="AE1182" s="33"/>
      <c r="AF1182" s="33"/>
      <c r="AG1182" s="33"/>
      <c r="AH1182" s="33"/>
      <c r="AI1182" s="33"/>
      <c r="AJ1182"/>
      <c r="AK1182"/>
      <c r="AL1182"/>
      <c r="AM1182"/>
      <c r="AN1182"/>
      <c r="AO1182"/>
      <c r="AP1182"/>
      <c r="AQ1182" s="22"/>
      <c r="AR1182" s="24"/>
      <c r="AS1182" s="37"/>
      <c r="AT1182" s="37"/>
      <c r="AU1182" s="37"/>
      <c r="AV1182" s="37"/>
      <c r="AW1182" s="37"/>
    </row>
    <row r="1183" spans="1:49" ht="15.75" customHeight="1" x14ac:dyDescent="0.25">
      <c r="A1183" s="1" t="s">
        <v>5669</v>
      </c>
      <c r="B1183" s="21" t="s">
        <v>5670</v>
      </c>
      <c r="C1183" s="1">
        <v>1</v>
      </c>
      <c r="D1183" s="1" t="s">
        <v>5672</v>
      </c>
      <c r="E1183" s="7">
        <v>4864</v>
      </c>
      <c r="F1183" s="7">
        <v>7</v>
      </c>
      <c r="G1183" s="1">
        <v>15.7</v>
      </c>
      <c r="H1183" s="34">
        <f>Tabela1[[#This Row],[PESO UNI]]*Tabela1[[#This Row],[QTE]]</f>
        <v>15.7</v>
      </c>
      <c r="I1183" s="7">
        <v>0</v>
      </c>
      <c r="J1183" s="8" t="s">
        <v>5528</v>
      </c>
      <c r="K1183" s="8" t="s">
        <v>4320</v>
      </c>
      <c r="L1183" s="9" t="s">
        <v>5529</v>
      </c>
      <c r="M1183" s="10">
        <v>46275</v>
      </c>
      <c r="N1183" s="8" t="s">
        <v>5105</v>
      </c>
      <c r="O1183" s="12"/>
      <c r="P1183" s="13"/>
      <c r="Q1183" s="14">
        <f>Tabela1[[#This Row],[QTDE/ Fabricação]]-Tabela1[[#This Row],[QTE]]</f>
        <v>-1</v>
      </c>
      <c r="R1183" s="18">
        <f t="shared" si="277"/>
        <v>3.9249999999999998</v>
      </c>
      <c r="S1183" s="18">
        <f t="shared" si="278"/>
        <v>0</v>
      </c>
      <c r="T1183" s="19">
        <f t="shared" si="279"/>
        <v>-15.7</v>
      </c>
      <c r="U1183" s="16">
        <f>IFERROR(SUMIF('LISTA DE EMBARQUE'!B:B,MICRO!E:E,'LISTA DE EMBARQUE'!G:G),"")</f>
        <v>0</v>
      </c>
      <c r="V1183" s="12" t="str">
        <f>IFERROR(VLOOKUP(Tabela1[[#This Row],[COD.MDE]],'LISTA DE EMBARQUE'!B:L,11,0),"")</f>
        <v/>
      </c>
      <c r="W1183" s="13" t="str">
        <f>IFERROR(VLOOKUP(Tabela1[[#This Row],[COD.MDE]],'LISTA DE EMBARQUE'!B:M,12,0),"")</f>
        <v/>
      </c>
      <c r="X1183" s="14">
        <f>IFERROR(Tabela1[[#This Row],[QIANTIDADE EXPEDIDA]]*Tabela1[[#This Row],[PESO UNI]],"")</f>
        <v>0</v>
      </c>
      <c r="Y1183" s="14">
        <f t="shared" si="280"/>
        <v>-1</v>
      </c>
      <c r="Z1183" s="20">
        <f>Tabela1[[#This Row],[PESO TOTAL]]-Tabela1[[#This Row],[Peso Expedido]]</f>
        <v>15.7</v>
      </c>
      <c r="AA1183" s="17">
        <v>1</v>
      </c>
      <c r="AB1183" s="33"/>
      <c r="AC1183" s="33"/>
      <c r="AD1183" s="33"/>
      <c r="AE1183" s="33"/>
      <c r="AF1183" s="33"/>
      <c r="AG1183" s="33"/>
      <c r="AH1183" s="33"/>
      <c r="AI1183" s="33"/>
      <c r="AJ1183"/>
      <c r="AK1183"/>
      <c r="AL1183"/>
      <c r="AM1183"/>
      <c r="AN1183"/>
      <c r="AO1183"/>
      <c r="AP1183"/>
      <c r="AQ1183" s="22"/>
      <c r="AR1183" s="24"/>
      <c r="AS1183" s="37"/>
      <c r="AT1183" s="37"/>
      <c r="AU1183" s="37"/>
      <c r="AV1183" s="37"/>
      <c r="AW1183" s="37"/>
    </row>
    <row r="1184" spans="1:49" ht="15.75" customHeight="1" x14ac:dyDescent="0.25">
      <c r="A1184" s="1" t="s">
        <v>5669</v>
      </c>
      <c r="B1184" s="21" t="s">
        <v>5670</v>
      </c>
      <c r="C1184" s="1">
        <v>2</v>
      </c>
      <c r="D1184" s="1" t="s">
        <v>5673</v>
      </c>
      <c r="E1184" s="7">
        <v>4865</v>
      </c>
      <c r="F1184" s="7">
        <v>7</v>
      </c>
      <c r="G1184" s="1">
        <v>6.7</v>
      </c>
      <c r="H1184" s="34">
        <f>Tabela1[[#This Row],[PESO UNI]]*Tabela1[[#This Row],[QTE]]</f>
        <v>13.4</v>
      </c>
      <c r="I1184" s="7">
        <v>0</v>
      </c>
      <c r="J1184" s="8" t="s">
        <v>5528</v>
      </c>
      <c r="K1184" s="8" t="s">
        <v>4320</v>
      </c>
      <c r="L1184" s="9" t="s">
        <v>5529</v>
      </c>
      <c r="M1184" s="10">
        <v>46275</v>
      </c>
      <c r="N1184" s="8" t="s">
        <v>5105</v>
      </c>
      <c r="O1184" s="12"/>
      <c r="P1184" s="13"/>
      <c r="Q1184" s="14">
        <f>Tabela1[[#This Row],[QTDE/ Fabricação]]-Tabela1[[#This Row],[QTE]]</f>
        <v>-2</v>
      </c>
      <c r="R1184" s="18">
        <f t="shared" si="277"/>
        <v>3.35</v>
      </c>
      <c r="S1184" s="18">
        <f t="shared" si="278"/>
        <v>0</v>
      </c>
      <c r="T1184" s="19">
        <f t="shared" si="279"/>
        <v>-13.4</v>
      </c>
      <c r="U1184" s="16">
        <f>IFERROR(SUMIF('LISTA DE EMBARQUE'!B:B,MICRO!E:E,'LISTA DE EMBARQUE'!G:G),"")</f>
        <v>0</v>
      </c>
      <c r="V1184" s="12" t="str">
        <f>IFERROR(VLOOKUP(Tabela1[[#This Row],[COD.MDE]],'LISTA DE EMBARQUE'!B:L,11,0),"")</f>
        <v/>
      </c>
      <c r="W1184" s="13" t="str">
        <f>IFERROR(VLOOKUP(Tabela1[[#This Row],[COD.MDE]],'LISTA DE EMBARQUE'!B:M,12,0),"")</f>
        <v/>
      </c>
      <c r="X1184" s="14">
        <f>IFERROR(Tabela1[[#This Row],[QIANTIDADE EXPEDIDA]]*Tabela1[[#This Row],[PESO UNI]],"")</f>
        <v>0</v>
      </c>
      <c r="Y1184" s="14">
        <f t="shared" si="280"/>
        <v>-2</v>
      </c>
      <c r="Z1184" s="20">
        <f>Tabela1[[#This Row],[PESO TOTAL]]-Tabela1[[#This Row],[Peso Expedido]]</f>
        <v>13.4</v>
      </c>
      <c r="AA1184" s="17">
        <v>1</v>
      </c>
      <c r="AB1184" s="33"/>
      <c r="AC1184" s="33"/>
      <c r="AD1184" s="33"/>
      <c r="AE1184" s="33"/>
      <c r="AF1184" s="33"/>
      <c r="AG1184" s="33"/>
      <c r="AH1184" s="33"/>
      <c r="AI1184" s="33"/>
      <c r="AJ1184"/>
      <c r="AK1184"/>
      <c r="AL1184"/>
      <c r="AM1184"/>
      <c r="AN1184"/>
      <c r="AO1184"/>
      <c r="AP1184"/>
      <c r="AQ1184" s="22"/>
      <c r="AR1184" s="24"/>
      <c r="AS1184" s="37"/>
      <c r="AT1184" s="37"/>
      <c r="AU1184" s="37"/>
      <c r="AV1184" s="37"/>
      <c r="AW1184" s="37"/>
    </row>
    <row r="1185" spans="1:49" ht="15.75" customHeight="1" x14ac:dyDescent="0.25">
      <c r="A1185" s="1" t="s">
        <v>5669</v>
      </c>
      <c r="B1185" s="21" t="s">
        <v>5670</v>
      </c>
      <c r="C1185" s="1">
        <v>1</v>
      </c>
      <c r="D1185" s="1" t="s">
        <v>5674</v>
      </c>
      <c r="E1185" s="7">
        <v>4866</v>
      </c>
      <c r="F1185" s="7">
        <v>7</v>
      </c>
      <c r="G1185" s="1">
        <v>12.5</v>
      </c>
      <c r="H1185" s="34">
        <f>Tabela1[[#This Row],[PESO UNI]]*Tabela1[[#This Row],[QTE]]</f>
        <v>12.5</v>
      </c>
      <c r="I1185" s="7">
        <v>0</v>
      </c>
      <c r="J1185" s="8" t="s">
        <v>5528</v>
      </c>
      <c r="K1185" s="8" t="s">
        <v>4320</v>
      </c>
      <c r="L1185" s="9" t="s">
        <v>5529</v>
      </c>
      <c r="M1185" s="10">
        <v>46275</v>
      </c>
      <c r="N1185" s="8" t="s">
        <v>5105</v>
      </c>
      <c r="O1185" s="12"/>
      <c r="P1185" s="13"/>
      <c r="Q1185" s="14">
        <f>Tabela1[[#This Row],[QTDE/ Fabricação]]-Tabela1[[#This Row],[QTE]]</f>
        <v>-1</v>
      </c>
      <c r="R1185" s="18">
        <f t="shared" si="277"/>
        <v>3.125</v>
      </c>
      <c r="S1185" s="18">
        <f t="shared" si="278"/>
        <v>0</v>
      </c>
      <c r="T1185" s="19">
        <f t="shared" si="279"/>
        <v>-12.5</v>
      </c>
      <c r="U1185" s="16">
        <f>IFERROR(SUMIF('LISTA DE EMBARQUE'!B:B,MICRO!E:E,'LISTA DE EMBARQUE'!G:G),"")</f>
        <v>0</v>
      </c>
      <c r="V1185" s="12" t="str">
        <f>IFERROR(VLOOKUP(Tabela1[[#This Row],[COD.MDE]],'LISTA DE EMBARQUE'!B:L,11,0),"")</f>
        <v/>
      </c>
      <c r="W1185" s="13" t="str">
        <f>IFERROR(VLOOKUP(Tabela1[[#This Row],[COD.MDE]],'LISTA DE EMBARQUE'!B:M,12,0),"")</f>
        <v/>
      </c>
      <c r="X1185" s="14">
        <f>IFERROR(Tabela1[[#This Row],[QIANTIDADE EXPEDIDA]]*Tabela1[[#This Row],[PESO UNI]],"")</f>
        <v>0</v>
      </c>
      <c r="Y1185" s="14">
        <f t="shared" si="280"/>
        <v>-1</v>
      </c>
      <c r="Z1185" s="20">
        <f>Tabela1[[#This Row],[PESO TOTAL]]-Tabela1[[#This Row],[Peso Expedido]]</f>
        <v>12.5</v>
      </c>
      <c r="AA1185" s="17">
        <v>1</v>
      </c>
      <c r="AB1185" s="33"/>
      <c r="AC1185" s="33"/>
      <c r="AD1185" s="33"/>
      <c r="AE1185" s="33"/>
      <c r="AF1185" s="33"/>
      <c r="AG1185" s="33"/>
      <c r="AH1185" s="33"/>
      <c r="AI1185" s="33"/>
      <c r="AJ1185"/>
      <c r="AK1185"/>
      <c r="AL1185"/>
      <c r="AM1185"/>
      <c r="AN1185"/>
      <c r="AO1185"/>
      <c r="AP1185"/>
      <c r="AQ1185" s="22"/>
      <c r="AR1185" s="24"/>
      <c r="AS1185" s="37"/>
      <c r="AT1185" s="37"/>
      <c r="AU1185" s="37"/>
      <c r="AV1185" s="37"/>
      <c r="AW1185" s="37"/>
    </row>
    <row r="1186" spans="1:49" ht="15.75" customHeight="1" x14ac:dyDescent="0.25">
      <c r="A1186" s="1" t="s">
        <v>5669</v>
      </c>
      <c r="B1186" s="21" t="s">
        <v>5670</v>
      </c>
      <c r="C1186" s="1">
        <v>1</v>
      </c>
      <c r="D1186" s="1" t="s">
        <v>5675</v>
      </c>
      <c r="E1186" s="7">
        <v>4867</v>
      </c>
      <c r="F1186" s="7">
        <v>7</v>
      </c>
      <c r="G1186" s="1">
        <v>14.5</v>
      </c>
      <c r="H1186" s="34">
        <f>Tabela1[[#This Row],[PESO UNI]]*Tabela1[[#This Row],[QTE]]</f>
        <v>14.5</v>
      </c>
      <c r="I1186" s="7">
        <v>0</v>
      </c>
      <c r="J1186" s="8" t="s">
        <v>5528</v>
      </c>
      <c r="K1186" s="8" t="s">
        <v>4320</v>
      </c>
      <c r="L1186" s="9" t="s">
        <v>5529</v>
      </c>
      <c r="M1186" s="10">
        <v>46275</v>
      </c>
      <c r="N1186" s="8" t="s">
        <v>5105</v>
      </c>
      <c r="O1186" s="12"/>
      <c r="P1186" s="13"/>
      <c r="Q1186" s="14">
        <f>Tabela1[[#This Row],[QTDE/ Fabricação]]-Tabela1[[#This Row],[QTE]]</f>
        <v>-1</v>
      </c>
      <c r="R1186" s="18">
        <f t="shared" si="277"/>
        <v>3.625</v>
      </c>
      <c r="S1186" s="18">
        <f t="shared" si="278"/>
        <v>0</v>
      </c>
      <c r="T1186" s="19">
        <f t="shared" si="279"/>
        <v>-14.5</v>
      </c>
      <c r="U1186" s="16">
        <f>IFERROR(SUMIF('LISTA DE EMBARQUE'!B:B,MICRO!E:E,'LISTA DE EMBARQUE'!G:G),"")</f>
        <v>0</v>
      </c>
      <c r="V1186" s="12" t="str">
        <f>IFERROR(VLOOKUP(Tabela1[[#This Row],[COD.MDE]],'LISTA DE EMBARQUE'!B:L,11,0),"")</f>
        <v/>
      </c>
      <c r="W1186" s="13" t="str">
        <f>IFERROR(VLOOKUP(Tabela1[[#This Row],[COD.MDE]],'LISTA DE EMBARQUE'!B:M,12,0),"")</f>
        <v/>
      </c>
      <c r="X1186" s="14">
        <f>IFERROR(Tabela1[[#This Row],[QIANTIDADE EXPEDIDA]]*Tabela1[[#This Row],[PESO UNI]],"")</f>
        <v>0</v>
      </c>
      <c r="Y1186" s="14">
        <f t="shared" si="280"/>
        <v>-1</v>
      </c>
      <c r="Z1186" s="20">
        <f>Tabela1[[#This Row],[PESO TOTAL]]-Tabela1[[#This Row],[Peso Expedido]]</f>
        <v>14.5</v>
      </c>
      <c r="AA1186" s="17">
        <v>1</v>
      </c>
      <c r="AB1186" s="33"/>
      <c r="AC1186" s="33"/>
      <c r="AD1186" s="33"/>
      <c r="AE1186" s="33"/>
      <c r="AF1186" s="33"/>
      <c r="AG1186" s="33"/>
      <c r="AH1186" s="33"/>
      <c r="AI1186" s="33"/>
      <c r="AJ1186"/>
      <c r="AK1186"/>
      <c r="AL1186"/>
      <c r="AM1186"/>
      <c r="AN1186"/>
      <c r="AO1186"/>
      <c r="AP1186"/>
      <c r="AQ1186" s="22"/>
      <c r="AR1186" s="24"/>
      <c r="AS1186" s="37"/>
      <c r="AT1186" s="37"/>
      <c r="AU1186" s="37"/>
      <c r="AV1186" s="37"/>
      <c r="AW1186" s="37"/>
    </row>
    <row r="1187" spans="1:49" ht="15.75" customHeight="1" x14ac:dyDescent="0.25">
      <c r="A1187" s="1" t="s">
        <v>5669</v>
      </c>
      <c r="B1187" s="21" t="s">
        <v>5670</v>
      </c>
      <c r="C1187" s="1">
        <v>1</v>
      </c>
      <c r="D1187" s="1" t="s">
        <v>5676</v>
      </c>
      <c r="E1187" s="7">
        <v>4868</v>
      </c>
      <c r="F1187" s="7">
        <v>7</v>
      </c>
      <c r="G1187" s="1">
        <v>14.7</v>
      </c>
      <c r="H1187" s="34">
        <f>Tabela1[[#This Row],[PESO UNI]]*Tabela1[[#This Row],[QTE]]</f>
        <v>14.7</v>
      </c>
      <c r="I1187" s="7">
        <v>0</v>
      </c>
      <c r="J1187" s="8" t="s">
        <v>5528</v>
      </c>
      <c r="K1187" s="8" t="s">
        <v>4320</v>
      </c>
      <c r="L1187" s="9" t="s">
        <v>5529</v>
      </c>
      <c r="M1187" s="10">
        <v>46275</v>
      </c>
      <c r="N1187" s="8" t="s">
        <v>5105</v>
      </c>
      <c r="O1187" s="12"/>
      <c r="P1187" s="13"/>
      <c r="Q1187" s="14">
        <f>Tabela1[[#This Row],[QTDE/ Fabricação]]-Tabela1[[#This Row],[QTE]]</f>
        <v>-1</v>
      </c>
      <c r="R1187" s="18">
        <f t="shared" si="277"/>
        <v>3.6749999999999998</v>
      </c>
      <c r="S1187" s="18">
        <f t="shared" si="278"/>
        <v>0</v>
      </c>
      <c r="T1187" s="19">
        <f t="shared" si="279"/>
        <v>-14.7</v>
      </c>
      <c r="U1187" s="16">
        <f>IFERROR(SUMIF('LISTA DE EMBARQUE'!B:B,MICRO!E:E,'LISTA DE EMBARQUE'!G:G),"")</f>
        <v>0</v>
      </c>
      <c r="V1187" s="12" t="str">
        <f>IFERROR(VLOOKUP(Tabela1[[#This Row],[COD.MDE]],'LISTA DE EMBARQUE'!B:L,11,0),"")</f>
        <v/>
      </c>
      <c r="W1187" s="13" t="str">
        <f>IFERROR(VLOOKUP(Tabela1[[#This Row],[COD.MDE]],'LISTA DE EMBARQUE'!B:M,12,0),"")</f>
        <v/>
      </c>
      <c r="X1187" s="14">
        <f>IFERROR(Tabela1[[#This Row],[QIANTIDADE EXPEDIDA]]*Tabela1[[#This Row],[PESO UNI]],"")</f>
        <v>0</v>
      </c>
      <c r="Y1187" s="14">
        <f t="shared" si="280"/>
        <v>-1</v>
      </c>
      <c r="Z1187" s="20">
        <f>Tabela1[[#This Row],[PESO TOTAL]]-Tabela1[[#This Row],[Peso Expedido]]</f>
        <v>14.7</v>
      </c>
      <c r="AA1187" s="17">
        <v>1</v>
      </c>
      <c r="AB1187" s="33"/>
      <c r="AC1187" s="33"/>
      <c r="AD1187" s="33"/>
      <c r="AE1187" s="33"/>
      <c r="AF1187" s="33"/>
      <c r="AG1187" s="33"/>
      <c r="AH1187" s="33"/>
      <c r="AI1187" s="33"/>
      <c r="AJ1187"/>
      <c r="AK1187"/>
      <c r="AL1187"/>
      <c r="AM1187"/>
      <c r="AN1187"/>
      <c r="AO1187"/>
      <c r="AP1187"/>
      <c r="AQ1187" s="22"/>
      <c r="AR1187" s="24"/>
      <c r="AS1187" s="37"/>
      <c r="AT1187" s="37"/>
      <c r="AU1187" s="37"/>
      <c r="AV1187" s="37"/>
      <c r="AW1187" s="37"/>
    </row>
    <row r="1188" spans="1:49" ht="15.75" customHeight="1" x14ac:dyDescent="0.25">
      <c r="A1188" s="1" t="s">
        <v>5669</v>
      </c>
      <c r="B1188" s="21" t="s">
        <v>5670</v>
      </c>
      <c r="C1188" s="1">
        <v>1</v>
      </c>
      <c r="D1188" s="1" t="s">
        <v>5677</v>
      </c>
      <c r="E1188" s="7">
        <v>4869</v>
      </c>
      <c r="F1188" s="7">
        <v>7</v>
      </c>
      <c r="G1188" s="1">
        <v>12.3</v>
      </c>
      <c r="H1188" s="34">
        <f>Tabela1[[#This Row],[PESO UNI]]*Tabela1[[#This Row],[QTE]]</f>
        <v>12.3</v>
      </c>
      <c r="I1188" s="7">
        <v>0</v>
      </c>
      <c r="J1188" s="8" t="s">
        <v>5528</v>
      </c>
      <c r="K1188" s="8" t="s">
        <v>4320</v>
      </c>
      <c r="L1188" s="9" t="s">
        <v>5529</v>
      </c>
      <c r="M1188" s="10">
        <v>46275</v>
      </c>
      <c r="N1188" s="8" t="s">
        <v>5105</v>
      </c>
      <c r="O1188" s="12"/>
      <c r="P1188" s="13"/>
      <c r="Q1188" s="14">
        <f>Tabela1[[#This Row],[QTDE/ Fabricação]]-Tabela1[[#This Row],[QTE]]</f>
        <v>-1</v>
      </c>
      <c r="R1188" s="18">
        <f t="shared" si="277"/>
        <v>3.0750000000000002</v>
      </c>
      <c r="S1188" s="18">
        <f t="shared" si="278"/>
        <v>0</v>
      </c>
      <c r="T1188" s="19">
        <f t="shared" si="279"/>
        <v>-12.3</v>
      </c>
      <c r="U1188" s="16">
        <f>IFERROR(SUMIF('LISTA DE EMBARQUE'!B:B,MICRO!E:E,'LISTA DE EMBARQUE'!G:G),"")</f>
        <v>0</v>
      </c>
      <c r="V1188" s="12" t="str">
        <f>IFERROR(VLOOKUP(Tabela1[[#This Row],[COD.MDE]],'LISTA DE EMBARQUE'!B:L,11,0),"")</f>
        <v/>
      </c>
      <c r="W1188" s="13" t="str">
        <f>IFERROR(VLOOKUP(Tabela1[[#This Row],[COD.MDE]],'LISTA DE EMBARQUE'!B:M,12,0),"")</f>
        <v/>
      </c>
      <c r="X1188" s="14">
        <f>IFERROR(Tabela1[[#This Row],[QIANTIDADE EXPEDIDA]]*Tabela1[[#This Row],[PESO UNI]],"")</f>
        <v>0</v>
      </c>
      <c r="Y1188" s="14">
        <f t="shared" si="280"/>
        <v>-1</v>
      </c>
      <c r="Z1188" s="20">
        <f>Tabela1[[#This Row],[PESO TOTAL]]-Tabela1[[#This Row],[Peso Expedido]]</f>
        <v>12.3</v>
      </c>
      <c r="AA1188" s="17">
        <v>1</v>
      </c>
      <c r="AB1188" s="33"/>
      <c r="AC1188" s="33"/>
      <c r="AD1188" s="33"/>
      <c r="AE1188" s="33"/>
      <c r="AF1188" s="33"/>
      <c r="AG1188" s="33"/>
      <c r="AH1188" s="33"/>
      <c r="AI1188" s="33"/>
      <c r="AJ1188"/>
      <c r="AK1188"/>
      <c r="AL1188"/>
      <c r="AM1188"/>
      <c r="AN1188"/>
      <c r="AO1188"/>
      <c r="AP1188"/>
      <c r="AQ1188" s="22"/>
      <c r="AR1188" s="24"/>
      <c r="AS1188" s="37"/>
      <c r="AT1188" s="37"/>
      <c r="AU1188" s="37"/>
      <c r="AV1188" s="37"/>
      <c r="AW1188" s="37"/>
    </row>
    <row r="1189" spans="1:49" ht="15.75" customHeight="1" x14ac:dyDescent="0.25">
      <c r="A1189" s="1" t="s">
        <v>5669</v>
      </c>
      <c r="B1189" s="21" t="s">
        <v>5670</v>
      </c>
      <c r="C1189" s="1">
        <v>1</v>
      </c>
      <c r="D1189" s="1" t="s">
        <v>5678</v>
      </c>
      <c r="E1189" s="7">
        <v>4870</v>
      </c>
      <c r="F1189" s="7">
        <v>7</v>
      </c>
      <c r="G1189" s="1">
        <v>16.899999999999999</v>
      </c>
      <c r="H1189" s="34">
        <f>Tabela1[[#This Row],[PESO UNI]]*Tabela1[[#This Row],[QTE]]</f>
        <v>16.899999999999999</v>
      </c>
      <c r="I1189" s="7">
        <v>0</v>
      </c>
      <c r="J1189" s="8" t="s">
        <v>5528</v>
      </c>
      <c r="K1189" s="8" t="s">
        <v>4320</v>
      </c>
      <c r="L1189" s="9" t="s">
        <v>5529</v>
      </c>
      <c r="M1189" s="10">
        <v>46275</v>
      </c>
      <c r="N1189" s="8" t="s">
        <v>5105</v>
      </c>
      <c r="O1189" s="12"/>
      <c r="P1189" s="13"/>
      <c r="Q1189" s="14">
        <f>Tabela1[[#This Row],[QTDE/ Fabricação]]-Tabela1[[#This Row],[QTE]]</f>
        <v>-1</v>
      </c>
      <c r="R1189" s="18">
        <f t="shared" si="277"/>
        <v>4.2249999999999996</v>
      </c>
      <c r="S1189" s="18">
        <f t="shared" si="278"/>
        <v>0</v>
      </c>
      <c r="T1189" s="19">
        <f t="shared" si="279"/>
        <v>-16.899999999999999</v>
      </c>
      <c r="U1189" s="16">
        <f>IFERROR(SUMIF('LISTA DE EMBARQUE'!B:B,MICRO!E:E,'LISTA DE EMBARQUE'!G:G),"")</f>
        <v>0</v>
      </c>
      <c r="V1189" s="12" t="str">
        <f>IFERROR(VLOOKUP(Tabela1[[#This Row],[COD.MDE]],'LISTA DE EMBARQUE'!B:L,11,0),"")</f>
        <v/>
      </c>
      <c r="W1189" s="13" t="str">
        <f>IFERROR(VLOOKUP(Tabela1[[#This Row],[COD.MDE]],'LISTA DE EMBARQUE'!B:M,12,0),"")</f>
        <v/>
      </c>
      <c r="X1189" s="14">
        <f>IFERROR(Tabela1[[#This Row],[QIANTIDADE EXPEDIDA]]*Tabela1[[#This Row],[PESO UNI]],"")</f>
        <v>0</v>
      </c>
      <c r="Y1189" s="14">
        <f t="shared" si="280"/>
        <v>-1</v>
      </c>
      <c r="Z1189" s="20">
        <f>Tabela1[[#This Row],[PESO TOTAL]]-Tabela1[[#This Row],[Peso Expedido]]</f>
        <v>16.899999999999999</v>
      </c>
      <c r="AA1189" s="17">
        <v>1</v>
      </c>
      <c r="AB1189" s="33"/>
      <c r="AC1189" s="33"/>
      <c r="AD1189" s="33"/>
      <c r="AE1189" s="33"/>
      <c r="AF1189" s="33"/>
      <c r="AG1189" s="33"/>
      <c r="AH1189" s="33"/>
      <c r="AI1189" s="33"/>
      <c r="AJ1189"/>
      <c r="AK1189"/>
      <c r="AL1189"/>
      <c r="AM1189"/>
      <c r="AN1189"/>
      <c r="AO1189"/>
      <c r="AP1189"/>
      <c r="AQ1189" s="22"/>
      <c r="AR1189" s="24"/>
      <c r="AS1189" s="37"/>
      <c r="AT1189" s="37"/>
      <c r="AU1189" s="37"/>
      <c r="AV1189" s="37"/>
      <c r="AW1189" s="37"/>
    </row>
    <row r="1190" spans="1:49" ht="15.75" customHeight="1" x14ac:dyDescent="0.25">
      <c r="A1190" s="1" t="s">
        <v>5669</v>
      </c>
      <c r="B1190" s="21" t="s">
        <v>5670</v>
      </c>
      <c r="C1190" s="1">
        <v>1</v>
      </c>
      <c r="D1190" s="1" t="s">
        <v>5679</v>
      </c>
      <c r="E1190" s="7">
        <v>4871</v>
      </c>
      <c r="F1190" s="7">
        <v>7</v>
      </c>
      <c r="G1190" s="1">
        <v>16.7</v>
      </c>
      <c r="H1190" s="34">
        <f>Tabela1[[#This Row],[PESO UNI]]*Tabela1[[#This Row],[QTE]]</f>
        <v>16.7</v>
      </c>
      <c r="I1190" s="7">
        <v>0</v>
      </c>
      <c r="J1190" s="8" t="s">
        <v>5528</v>
      </c>
      <c r="K1190" s="8" t="s">
        <v>4320</v>
      </c>
      <c r="L1190" s="9" t="s">
        <v>5529</v>
      </c>
      <c r="M1190" s="10">
        <v>46275</v>
      </c>
      <c r="N1190" s="8" t="s">
        <v>5105</v>
      </c>
      <c r="O1190" s="12"/>
      <c r="P1190" s="13"/>
      <c r="Q1190" s="14">
        <f>Tabela1[[#This Row],[QTDE/ Fabricação]]-Tabela1[[#This Row],[QTE]]</f>
        <v>-1</v>
      </c>
      <c r="R1190" s="18">
        <f t="shared" si="277"/>
        <v>4.1749999999999998</v>
      </c>
      <c r="S1190" s="18">
        <f t="shared" si="278"/>
        <v>0</v>
      </c>
      <c r="T1190" s="19">
        <f t="shared" si="279"/>
        <v>-16.7</v>
      </c>
      <c r="U1190" s="16">
        <f>IFERROR(SUMIF('LISTA DE EMBARQUE'!B:B,MICRO!E:E,'LISTA DE EMBARQUE'!G:G),"")</f>
        <v>0</v>
      </c>
      <c r="V1190" s="12" t="str">
        <f>IFERROR(VLOOKUP(Tabela1[[#This Row],[COD.MDE]],'LISTA DE EMBARQUE'!B:L,11,0),"")</f>
        <v/>
      </c>
      <c r="W1190" s="13" t="str">
        <f>IFERROR(VLOOKUP(Tabela1[[#This Row],[COD.MDE]],'LISTA DE EMBARQUE'!B:M,12,0),"")</f>
        <v/>
      </c>
      <c r="X1190" s="14">
        <f>IFERROR(Tabela1[[#This Row],[QIANTIDADE EXPEDIDA]]*Tabela1[[#This Row],[PESO UNI]],"")</f>
        <v>0</v>
      </c>
      <c r="Y1190" s="14">
        <f t="shared" si="280"/>
        <v>-1</v>
      </c>
      <c r="Z1190" s="20">
        <f>Tabela1[[#This Row],[PESO TOTAL]]-Tabela1[[#This Row],[Peso Expedido]]</f>
        <v>16.7</v>
      </c>
      <c r="AA1190" s="17">
        <v>1</v>
      </c>
      <c r="AB1190" s="33"/>
      <c r="AC1190" s="33"/>
      <c r="AD1190" s="33"/>
      <c r="AE1190" s="33"/>
      <c r="AF1190" s="33"/>
      <c r="AG1190" s="33"/>
      <c r="AH1190" s="33"/>
      <c r="AI1190" s="33"/>
      <c r="AJ1190"/>
      <c r="AK1190"/>
      <c r="AL1190"/>
      <c r="AM1190"/>
      <c r="AN1190"/>
      <c r="AO1190"/>
      <c r="AP1190"/>
      <c r="AQ1190" s="22"/>
      <c r="AR1190" s="24"/>
      <c r="AS1190" s="37"/>
      <c r="AT1190" s="37"/>
      <c r="AU1190" s="37"/>
      <c r="AV1190" s="37"/>
      <c r="AW1190" s="37"/>
    </row>
    <row r="1191" spans="1:49" ht="15.75" customHeight="1" x14ac:dyDescent="0.25">
      <c r="A1191" s="1" t="s">
        <v>5669</v>
      </c>
      <c r="B1191" s="21" t="s">
        <v>5670</v>
      </c>
      <c r="C1191" s="1">
        <v>1</v>
      </c>
      <c r="D1191" s="1" t="s">
        <v>5680</v>
      </c>
      <c r="E1191" s="7">
        <v>4872</v>
      </c>
      <c r="F1191" s="7">
        <v>7</v>
      </c>
      <c r="G1191" s="1">
        <v>14.1</v>
      </c>
      <c r="H1191" s="34">
        <f>Tabela1[[#This Row],[PESO UNI]]*Tabela1[[#This Row],[QTE]]</f>
        <v>14.1</v>
      </c>
      <c r="I1191" s="7">
        <v>0</v>
      </c>
      <c r="J1191" s="8" t="s">
        <v>5528</v>
      </c>
      <c r="K1191" s="8" t="s">
        <v>4320</v>
      </c>
      <c r="L1191" s="9" t="s">
        <v>5529</v>
      </c>
      <c r="M1191" s="10">
        <v>46275</v>
      </c>
      <c r="N1191" s="8" t="s">
        <v>5105</v>
      </c>
      <c r="O1191" s="12"/>
      <c r="P1191" s="13"/>
      <c r="Q1191" s="14">
        <f>Tabela1[[#This Row],[QTDE/ Fabricação]]-Tabela1[[#This Row],[QTE]]</f>
        <v>-1</v>
      </c>
      <c r="R1191" s="18">
        <f t="shared" si="277"/>
        <v>3.5249999999999999</v>
      </c>
      <c r="S1191" s="18">
        <f t="shared" si="278"/>
        <v>0</v>
      </c>
      <c r="T1191" s="19">
        <f t="shared" si="279"/>
        <v>-14.1</v>
      </c>
      <c r="U1191" s="16">
        <f>IFERROR(SUMIF('LISTA DE EMBARQUE'!B:B,MICRO!E:E,'LISTA DE EMBARQUE'!G:G),"")</f>
        <v>0</v>
      </c>
      <c r="V1191" s="12" t="str">
        <f>IFERROR(VLOOKUP(Tabela1[[#This Row],[COD.MDE]],'LISTA DE EMBARQUE'!B:L,11,0),"")</f>
        <v/>
      </c>
      <c r="W1191" s="13" t="str">
        <f>IFERROR(VLOOKUP(Tabela1[[#This Row],[COD.MDE]],'LISTA DE EMBARQUE'!B:M,12,0),"")</f>
        <v/>
      </c>
      <c r="X1191" s="14">
        <f>IFERROR(Tabela1[[#This Row],[QIANTIDADE EXPEDIDA]]*Tabela1[[#This Row],[PESO UNI]],"")</f>
        <v>0</v>
      </c>
      <c r="Y1191" s="14">
        <f t="shared" si="280"/>
        <v>-1</v>
      </c>
      <c r="Z1191" s="20">
        <f>Tabela1[[#This Row],[PESO TOTAL]]-Tabela1[[#This Row],[Peso Expedido]]</f>
        <v>14.1</v>
      </c>
      <c r="AA1191" s="17">
        <v>1</v>
      </c>
      <c r="AB1191" s="33"/>
      <c r="AC1191" s="33"/>
      <c r="AD1191" s="33"/>
      <c r="AE1191" s="33"/>
      <c r="AF1191" s="33"/>
      <c r="AG1191" s="33"/>
      <c r="AH1191" s="33"/>
      <c r="AI1191" s="33"/>
      <c r="AJ1191"/>
      <c r="AK1191"/>
      <c r="AL1191"/>
      <c r="AM1191"/>
      <c r="AN1191"/>
      <c r="AO1191"/>
      <c r="AP1191"/>
      <c r="AQ1191" s="22"/>
      <c r="AR1191" s="24"/>
      <c r="AS1191" s="37"/>
      <c r="AT1191" s="37"/>
      <c r="AU1191" s="37"/>
      <c r="AV1191" s="37"/>
      <c r="AW1191" s="37"/>
    </row>
    <row r="1192" spans="1:49" ht="15.75" customHeight="1" x14ac:dyDescent="0.25">
      <c r="A1192" s="1" t="s">
        <v>5669</v>
      </c>
      <c r="B1192" s="21" t="s">
        <v>5670</v>
      </c>
      <c r="C1192" s="1">
        <v>1</v>
      </c>
      <c r="D1192" s="1" t="s">
        <v>5681</v>
      </c>
      <c r="E1192" s="7">
        <v>4873</v>
      </c>
      <c r="F1192" s="7">
        <v>7</v>
      </c>
      <c r="G1192" s="1">
        <v>13.1</v>
      </c>
      <c r="H1192" s="34">
        <f>Tabela1[[#This Row],[PESO UNI]]*Tabela1[[#This Row],[QTE]]</f>
        <v>13.1</v>
      </c>
      <c r="I1192" s="7">
        <v>0</v>
      </c>
      <c r="J1192" s="8" t="s">
        <v>5528</v>
      </c>
      <c r="K1192" s="8" t="s">
        <v>4320</v>
      </c>
      <c r="L1192" s="9" t="s">
        <v>5529</v>
      </c>
      <c r="M1192" s="10">
        <v>46275</v>
      </c>
      <c r="N1192" s="8" t="s">
        <v>5105</v>
      </c>
      <c r="O1192" s="12"/>
      <c r="P1192" s="13"/>
      <c r="Q1192" s="14">
        <f>Tabela1[[#This Row],[QTDE/ Fabricação]]-Tabela1[[#This Row],[QTE]]</f>
        <v>-1</v>
      </c>
      <c r="R1192" s="18">
        <f t="shared" si="277"/>
        <v>3.2749999999999999</v>
      </c>
      <c r="S1192" s="18">
        <f t="shared" si="278"/>
        <v>0</v>
      </c>
      <c r="T1192" s="19">
        <f t="shared" si="279"/>
        <v>-13.1</v>
      </c>
      <c r="U1192" s="16">
        <f>IFERROR(SUMIF('LISTA DE EMBARQUE'!B:B,MICRO!E:E,'LISTA DE EMBARQUE'!G:G),"")</f>
        <v>0</v>
      </c>
      <c r="V1192" s="12" t="str">
        <f>IFERROR(VLOOKUP(Tabela1[[#This Row],[COD.MDE]],'LISTA DE EMBARQUE'!B:L,11,0),"")</f>
        <v/>
      </c>
      <c r="W1192" s="13" t="str">
        <f>IFERROR(VLOOKUP(Tabela1[[#This Row],[COD.MDE]],'LISTA DE EMBARQUE'!B:M,12,0),"")</f>
        <v/>
      </c>
      <c r="X1192" s="14">
        <f>IFERROR(Tabela1[[#This Row],[QIANTIDADE EXPEDIDA]]*Tabela1[[#This Row],[PESO UNI]],"")</f>
        <v>0</v>
      </c>
      <c r="Y1192" s="14">
        <f t="shared" si="280"/>
        <v>-1</v>
      </c>
      <c r="Z1192" s="20">
        <f>Tabela1[[#This Row],[PESO TOTAL]]-Tabela1[[#This Row],[Peso Expedido]]</f>
        <v>13.1</v>
      </c>
      <c r="AA1192" s="17">
        <v>1</v>
      </c>
      <c r="AB1192" s="33"/>
      <c r="AC1192" s="33"/>
      <c r="AD1192" s="33"/>
      <c r="AE1192" s="33"/>
      <c r="AF1192" s="33"/>
      <c r="AG1192" s="33"/>
      <c r="AH1192" s="33"/>
      <c r="AI1192" s="33"/>
      <c r="AJ1192"/>
      <c r="AK1192"/>
      <c r="AL1192"/>
      <c r="AM1192"/>
      <c r="AN1192"/>
      <c r="AO1192"/>
      <c r="AP1192"/>
      <c r="AQ1192" s="22"/>
      <c r="AR1192" s="24"/>
      <c r="AS1192" s="37"/>
      <c r="AT1192" s="37"/>
      <c r="AU1192" s="37"/>
      <c r="AV1192" s="37"/>
      <c r="AW1192" s="37"/>
    </row>
    <row r="1193" spans="1:49" ht="15.75" customHeight="1" x14ac:dyDescent="0.25">
      <c r="A1193" s="1" t="s">
        <v>5669</v>
      </c>
      <c r="B1193" s="21" t="s">
        <v>5670</v>
      </c>
      <c r="C1193" s="1">
        <v>1</v>
      </c>
      <c r="D1193" s="1" t="s">
        <v>5682</v>
      </c>
      <c r="E1193" s="7">
        <v>4874</v>
      </c>
      <c r="F1193" s="7">
        <v>7</v>
      </c>
      <c r="G1193" s="1">
        <v>13.1</v>
      </c>
      <c r="H1193" s="34">
        <f>Tabela1[[#This Row],[PESO UNI]]*Tabela1[[#This Row],[QTE]]</f>
        <v>13.1</v>
      </c>
      <c r="I1193" s="7">
        <v>0</v>
      </c>
      <c r="J1193" s="8" t="s">
        <v>5528</v>
      </c>
      <c r="K1193" s="8" t="s">
        <v>4320</v>
      </c>
      <c r="L1193" s="9" t="s">
        <v>5529</v>
      </c>
      <c r="M1193" s="10">
        <v>46275</v>
      </c>
      <c r="N1193" s="8" t="s">
        <v>5105</v>
      </c>
      <c r="O1193" s="12"/>
      <c r="P1193" s="13"/>
      <c r="Q1193" s="14">
        <f>Tabela1[[#This Row],[QTDE/ Fabricação]]-Tabela1[[#This Row],[QTE]]</f>
        <v>-1</v>
      </c>
      <c r="R1193" s="18">
        <f t="shared" si="277"/>
        <v>3.2749999999999999</v>
      </c>
      <c r="S1193" s="18">
        <f t="shared" si="278"/>
        <v>0</v>
      </c>
      <c r="T1193" s="19">
        <f t="shared" si="279"/>
        <v>-13.1</v>
      </c>
      <c r="U1193" s="16">
        <f>IFERROR(SUMIF('LISTA DE EMBARQUE'!B:B,MICRO!E:E,'LISTA DE EMBARQUE'!G:G),"")</f>
        <v>0</v>
      </c>
      <c r="V1193" s="12" t="str">
        <f>IFERROR(VLOOKUP(Tabela1[[#This Row],[COD.MDE]],'LISTA DE EMBARQUE'!B:L,11,0),"")</f>
        <v/>
      </c>
      <c r="W1193" s="13" t="str">
        <f>IFERROR(VLOOKUP(Tabela1[[#This Row],[COD.MDE]],'LISTA DE EMBARQUE'!B:M,12,0),"")</f>
        <v/>
      </c>
      <c r="X1193" s="14">
        <f>IFERROR(Tabela1[[#This Row],[QIANTIDADE EXPEDIDA]]*Tabela1[[#This Row],[PESO UNI]],"")</f>
        <v>0</v>
      </c>
      <c r="Y1193" s="14">
        <f t="shared" si="280"/>
        <v>-1</v>
      </c>
      <c r="Z1193" s="20">
        <f>Tabela1[[#This Row],[PESO TOTAL]]-Tabela1[[#This Row],[Peso Expedido]]</f>
        <v>13.1</v>
      </c>
      <c r="AA1193" s="17">
        <v>1</v>
      </c>
      <c r="AB1193" s="33"/>
      <c r="AC1193" s="33"/>
      <c r="AD1193" s="33"/>
      <c r="AE1193" s="33"/>
      <c r="AF1193" s="33"/>
      <c r="AG1193" s="33"/>
      <c r="AH1193" s="33"/>
      <c r="AI1193" s="33"/>
      <c r="AJ1193"/>
      <c r="AK1193"/>
      <c r="AL1193"/>
      <c r="AM1193"/>
      <c r="AN1193"/>
      <c r="AO1193"/>
      <c r="AP1193"/>
      <c r="AQ1193" s="22"/>
      <c r="AR1193" s="24"/>
      <c r="AS1193" s="37"/>
      <c r="AT1193" s="37"/>
      <c r="AU1193" s="37"/>
      <c r="AV1193" s="37"/>
      <c r="AW1193" s="37"/>
    </row>
    <row r="1194" spans="1:49" ht="15.75" customHeight="1" x14ac:dyDescent="0.25">
      <c r="A1194" s="1" t="s">
        <v>5669</v>
      </c>
      <c r="B1194" s="21" t="s">
        <v>5670</v>
      </c>
      <c r="C1194" s="1">
        <v>1</v>
      </c>
      <c r="D1194" s="1" t="s">
        <v>5683</v>
      </c>
      <c r="E1194" s="7">
        <v>4875</v>
      </c>
      <c r="F1194" s="7">
        <v>7</v>
      </c>
      <c r="G1194" s="1">
        <v>19.7</v>
      </c>
      <c r="H1194" s="34">
        <f>Tabela1[[#This Row],[PESO UNI]]*Tabela1[[#This Row],[QTE]]</f>
        <v>19.7</v>
      </c>
      <c r="I1194" s="7">
        <v>0</v>
      </c>
      <c r="J1194" s="8" t="s">
        <v>5528</v>
      </c>
      <c r="K1194" s="8" t="s">
        <v>4320</v>
      </c>
      <c r="L1194" s="9" t="s">
        <v>5529</v>
      </c>
      <c r="M1194" s="10">
        <v>46275</v>
      </c>
      <c r="N1194" s="8" t="s">
        <v>5105</v>
      </c>
      <c r="O1194" s="12"/>
      <c r="P1194" s="13"/>
      <c r="Q1194" s="14">
        <f>Tabela1[[#This Row],[QTDE/ Fabricação]]-Tabela1[[#This Row],[QTE]]</f>
        <v>-1</v>
      </c>
      <c r="R1194" s="18">
        <f t="shared" si="277"/>
        <v>4.9249999999999998</v>
      </c>
      <c r="S1194" s="18">
        <f t="shared" si="278"/>
        <v>0</v>
      </c>
      <c r="T1194" s="19">
        <f t="shared" si="279"/>
        <v>-19.7</v>
      </c>
      <c r="U1194" s="16">
        <f>IFERROR(SUMIF('LISTA DE EMBARQUE'!B:B,MICRO!E:E,'LISTA DE EMBARQUE'!G:G),"")</f>
        <v>0</v>
      </c>
      <c r="V1194" s="12" t="str">
        <f>IFERROR(VLOOKUP(Tabela1[[#This Row],[COD.MDE]],'LISTA DE EMBARQUE'!B:L,11,0),"")</f>
        <v/>
      </c>
      <c r="W1194" s="13" t="str">
        <f>IFERROR(VLOOKUP(Tabela1[[#This Row],[COD.MDE]],'LISTA DE EMBARQUE'!B:M,12,0),"")</f>
        <v/>
      </c>
      <c r="X1194" s="14">
        <f>IFERROR(Tabela1[[#This Row],[QIANTIDADE EXPEDIDA]]*Tabela1[[#This Row],[PESO UNI]],"")</f>
        <v>0</v>
      </c>
      <c r="Y1194" s="14">
        <f t="shared" si="280"/>
        <v>-1</v>
      </c>
      <c r="Z1194" s="20">
        <f>Tabela1[[#This Row],[PESO TOTAL]]-Tabela1[[#This Row],[Peso Expedido]]</f>
        <v>19.7</v>
      </c>
      <c r="AA1194" s="17">
        <v>1</v>
      </c>
      <c r="AB1194" s="33"/>
      <c r="AC1194" s="33"/>
      <c r="AD1194" s="33"/>
      <c r="AE1194" s="33"/>
      <c r="AF1194" s="33"/>
      <c r="AG1194" s="33"/>
      <c r="AH1194" s="33"/>
      <c r="AI1194" s="33"/>
      <c r="AJ1194"/>
      <c r="AK1194"/>
      <c r="AL1194"/>
      <c r="AM1194"/>
      <c r="AN1194"/>
      <c r="AO1194"/>
      <c r="AP1194"/>
      <c r="AQ1194" s="22"/>
      <c r="AR1194" s="24"/>
      <c r="AS1194" s="37"/>
      <c r="AT1194" s="37"/>
      <c r="AU1194" s="37"/>
      <c r="AV1194" s="37"/>
      <c r="AW1194" s="37"/>
    </row>
    <row r="1195" spans="1:49" ht="15.75" customHeight="1" x14ac:dyDescent="0.25">
      <c r="A1195" s="1" t="s">
        <v>5669</v>
      </c>
      <c r="B1195" s="21" t="s">
        <v>5670</v>
      </c>
      <c r="C1195" s="1">
        <v>2</v>
      </c>
      <c r="D1195" s="1" t="s">
        <v>5684</v>
      </c>
      <c r="E1195" s="7">
        <v>4876</v>
      </c>
      <c r="F1195" s="7">
        <v>7</v>
      </c>
      <c r="G1195" s="1">
        <v>1.7</v>
      </c>
      <c r="H1195" s="34">
        <f>Tabela1[[#This Row],[PESO UNI]]*Tabela1[[#This Row],[QTE]]</f>
        <v>3.4</v>
      </c>
      <c r="I1195" s="7">
        <v>0</v>
      </c>
      <c r="J1195" s="8" t="s">
        <v>5528</v>
      </c>
      <c r="K1195" s="8" t="s">
        <v>4320</v>
      </c>
      <c r="L1195" s="9" t="s">
        <v>5529</v>
      </c>
      <c r="M1195" s="10">
        <v>46275</v>
      </c>
      <c r="N1195" s="8" t="s">
        <v>5105</v>
      </c>
      <c r="O1195" s="12"/>
      <c r="P1195" s="13"/>
      <c r="Q1195" s="14">
        <f>Tabela1[[#This Row],[QTDE/ Fabricação]]-Tabela1[[#This Row],[QTE]]</f>
        <v>-2</v>
      </c>
      <c r="R1195" s="18">
        <f t="shared" si="277"/>
        <v>0.85</v>
      </c>
      <c r="S1195" s="18">
        <f t="shared" si="278"/>
        <v>0</v>
      </c>
      <c r="T1195" s="19">
        <f t="shared" si="279"/>
        <v>-3.4</v>
      </c>
      <c r="U1195" s="16">
        <f>IFERROR(SUMIF('LISTA DE EMBARQUE'!B:B,MICRO!E:E,'LISTA DE EMBARQUE'!G:G),"")</f>
        <v>0</v>
      </c>
      <c r="V1195" s="12" t="str">
        <f>IFERROR(VLOOKUP(Tabela1[[#This Row],[COD.MDE]],'LISTA DE EMBARQUE'!B:L,11,0),"")</f>
        <v/>
      </c>
      <c r="W1195" s="13" t="str">
        <f>IFERROR(VLOOKUP(Tabela1[[#This Row],[COD.MDE]],'LISTA DE EMBARQUE'!B:M,12,0),"")</f>
        <v/>
      </c>
      <c r="X1195" s="14">
        <f>IFERROR(Tabela1[[#This Row],[QIANTIDADE EXPEDIDA]]*Tabela1[[#This Row],[PESO UNI]],"")</f>
        <v>0</v>
      </c>
      <c r="Y1195" s="14">
        <f t="shared" si="280"/>
        <v>-2</v>
      </c>
      <c r="Z1195" s="20">
        <f>Tabela1[[#This Row],[PESO TOTAL]]-Tabela1[[#This Row],[Peso Expedido]]</f>
        <v>3.4</v>
      </c>
      <c r="AA1195" s="17">
        <v>1</v>
      </c>
      <c r="AB1195" s="33"/>
      <c r="AC1195" s="33"/>
      <c r="AD1195" s="33"/>
      <c r="AE1195" s="33"/>
      <c r="AF1195" s="33"/>
      <c r="AG1195" s="33"/>
      <c r="AH1195" s="33"/>
      <c r="AI1195" s="33"/>
      <c r="AJ1195"/>
      <c r="AK1195"/>
      <c r="AL1195"/>
      <c r="AM1195"/>
      <c r="AN1195"/>
      <c r="AO1195"/>
      <c r="AP1195"/>
      <c r="AQ1195" s="22"/>
      <c r="AR1195" s="24"/>
      <c r="AS1195" s="37"/>
      <c r="AT1195" s="37"/>
      <c r="AU1195" s="37"/>
      <c r="AV1195" s="37"/>
      <c r="AW1195" s="37"/>
    </row>
    <row r="1196" spans="1:49" ht="15.75" customHeight="1" x14ac:dyDescent="0.25">
      <c r="A1196" s="1" t="s">
        <v>5669</v>
      </c>
      <c r="B1196" s="21" t="s">
        <v>5670</v>
      </c>
      <c r="C1196" s="1">
        <v>2</v>
      </c>
      <c r="D1196" s="1" t="s">
        <v>5685</v>
      </c>
      <c r="E1196" s="7">
        <v>4877</v>
      </c>
      <c r="F1196" s="7">
        <v>7</v>
      </c>
      <c r="G1196" s="1">
        <v>6.6</v>
      </c>
      <c r="H1196" s="34">
        <f>Tabela1[[#This Row],[PESO UNI]]*Tabela1[[#This Row],[QTE]]</f>
        <v>13.2</v>
      </c>
      <c r="I1196" s="7">
        <v>0</v>
      </c>
      <c r="J1196" s="8" t="s">
        <v>5528</v>
      </c>
      <c r="K1196" s="8" t="s">
        <v>4320</v>
      </c>
      <c r="L1196" s="9" t="s">
        <v>5529</v>
      </c>
      <c r="M1196" s="10">
        <v>46275</v>
      </c>
      <c r="N1196" s="8" t="s">
        <v>5105</v>
      </c>
      <c r="O1196" s="12"/>
      <c r="P1196" s="13"/>
      <c r="Q1196" s="14">
        <f>Tabela1[[#This Row],[QTDE/ Fabricação]]-Tabela1[[#This Row],[QTE]]</f>
        <v>-2</v>
      </c>
      <c r="R1196" s="18">
        <f t="shared" si="277"/>
        <v>3.3</v>
      </c>
      <c r="S1196" s="18">
        <f t="shared" si="278"/>
        <v>0</v>
      </c>
      <c r="T1196" s="19">
        <f t="shared" si="279"/>
        <v>-13.2</v>
      </c>
      <c r="U1196" s="16">
        <f>IFERROR(SUMIF('LISTA DE EMBARQUE'!B:B,MICRO!E:E,'LISTA DE EMBARQUE'!G:G),"")</f>
        <v>0</v>
      </c>
      <c r="V1196" s="12" t="str">
        <f>IFERROR(VLOOKUP(Tabela1[[#This Row],[COD.MDE]],'LISTA DE EMBARQUE'!B:L,11,0),"")</f>
        <v/>
      </c>
      <c r="W1196" s="13" t="str">
        <f>IFERROR(VLOOKUP(Tabela1[[#This Row],[COD.MDE]],'LISTA DE EMBARQUE'!B:M,12,0),"")</f>
        <v/>
      </c>
      <c r="X1196" s="14">
        <f>IFERROR(Tabela1[[#This Row],[QIANTIDADE EXPEDIDA]]*Tabela1[[#This Row],[PESO UNI]],"")</f>
        <v>0</v>
      </c>
      <c r="Y1196" s="14">
        <f t="shared" si="280"/>
        <v>-2</v>
      </c>
      <c r="Z1196" s="20">
        <f>Tabela1[[#This Row],[PESO TOTAL]]-Tabela1[[#This Row],[Peso Expedido]]</f>
        <v>13.2</v>
      </c>
      <c r="AA1196" s="17">
        <v>1</v>
      </c>
      <c r="AB1196" s="33"/>
      <c r="AC1196" s="33"/>
      <c r="AD1196" s="33"/>
      <c r="AE1196" s="33"/>
      <c r="AF1196" s="33"/>
      <c r="AG1196" s="33"/>
      <c r="AH1196" s="33"/>
      <c r="AI1196" s="33"/>
      <c r="AJ1196"/>
      <c r="AK1196"/>
      <c r="AL1196"/>
      <c r="AM1196"/>
      <c r="AN1196"/>
      <c r="AO1196"/>
      <c r="AP1196"/>
      <c r="AQ1196" s="22"/>
      <c r="AR1196" s="24"/>
      <c r="AS1196" s="37"/>
      <c r="AT1196" s="37"/>
      <c r="AU1196" s="37"/>
      <c r="AV1196" s="37"/>
      <c r="AW1196" s="37"/>
    </row>
    <row r="1197" spans="1:49" ht="15.75" customHeight="1" x14ac:dyDescent="0.25">
      <c r="A1197" s="1" t="s">
        <v>5669</v>
      </c>
      <c r="B1197" s="21" t="s">
        <v>5670</v>
      </c>
      <c r="C1197" s="1">
        <v>2</v>
      </c>
      <c r="D1197" s="1" t="s">
        <v>5686</v>
      </c>
      <c r="E1197" s="7">
        <v>4878</v>
      </c>
      <c r="F1197" s="7">
        <v>7</v>
      </c>
      <c r="G1197" s="1">
        <v>15</v>
      </c>
      <c r="H1197" s="34">
        <f>Tabela1[[#This Row],[PESO UNI]]*Tabela1[[#This Row],[QTE]]</f>
        <v>30</v>
      </c>
      <c r="I1197" s="7">
        <v>0</v>
      </c>
      <c r="J1197" s="8" t="s">
        <v>5528</v>
      </c>
      <c r="K1197" s="8" t="s">
        <v>4320</v>
      </c>
      <c r="L1197" s="9" t="s">
        <v>5529</v>
      </c>
      <c r="M1197" s="10">
        <v>46275</v>
      </c>
      <c r="N1197" s="8" t="s">
        <v>5105</v>
      </c>
      <c r="O1197" s="12"/>
      <c r="P1197" s="13"/>
      <c r="Q1197" s="14">
        <f>Tabela1[[#This Row],[QTDE/ Fabricação]]-Tabela1[[#This Row],[QTE]]</f>
        <v>-2</v>
      </c>
      <c r="R1197" s="18">
        <f t="shared" si="277"/>
        <v>7.5</v>
      </c>
      <c r="S1197" s="18">
        <f t="shared" si="278"/>
        <v>0</v>
      </c>
      <c r="T1197" s="19">
        <f t="shared" si="279"/>
        <v>-30</v>
      </c>
      <c r="U1197" s="16">
        <f>IFERROR(SUMIF('LISTA DE EMBARQUE'!B:B,MICRO!E:E,'LISTA DE EMBARQUE'!G:G),"")</f>
        <v>0</v>
      </c>
      <c r="V1197" s="12" t="str">
        <f>IFERROR(VLOOKUP(Tabela1[[#This Row],[COD.MDE]],'LISTA DE EMBARQUE'!B:L,11,0),"")</f>
        <v/>
      </c>
      <c r="W1197" s="13" t="str">
        <f>IFERROR(VLOOKUP(Tabela1[[#This Row],[COD.MDE]],'LISTA DE EMBARQUE'!B:M,12,0),"")</f>
        <v/>
      </c>
      <c r="X1197" s="14">
        <f>IFERROR(Tabela1[[#This Row],[QIANTIDADE EXPEDIDA]]*Tabela1[[#This Row],[PESO UNI]],"")</f>
        <v>0</v>
      </c>
      <c r="Y1197" s="14">
        <f t="shared" si="280"/>
        <v>-2</v>
      </c>
      <c r="Z1197" s="20">
        <f>Tabela1[[#This Row],[PESO TOTAL]]-Tabela1[[#This Row],[Peso Expedido]]</f>
        <v>30</v>
      </c>
      <c r="AA1197" s="17">
        <v>1</v>
      </c>
      <c r="AB1197" s="33"/>
      <c r="AC1197" s="33"/>
      <c r="AD1197" s="33"/>
      <c r="AE1197" s="33"/>
      <c r="AF1197" s="33"/>
      <c r="AG1197" s="33"/>
      <c r="AH1197" s="33"/>
      <c r="AI1197" s="33"/>
      <c r="AJ1197"/>
      <c r="AK1197"/>
      <c r="AL1197"/>
      <c r="AM1197"/>
      <c r="AN1197"/>
      <c r="AO1197"/>
      <c r="AP1197"/>
      <c r="AQ1197" s="22"/>
      <c r="AR1197" s="24"/>
      <c r="AS1197" s="37"/>
      <c r="AT1197" s="37"/>
      <c r="AU1197" s="37"/>
      <c r="AV1197" s="37"/>
      <c r="AW1197" s="37"/>
    </row>
    <row r="1198" spans="1:49" ht="15.75" customHeight="1" x14ac:dyDescent="0.25">
      <c r="A1198" s="1" t="s">
        <v>5669</v>
      </c>
      <c r="B1198" s="21" t="s">
        <v>5670</v>
      </c>
      <c r="C1198" s="1">
        <v>1</v>
      </c>
      <c r="D1198" s="1" t="s">
        <v>5687</v>
      </c>
      <c r="E1198" s="7">
        <v>4879</v>
      </c>
      <c r="F1198" s="7">
        <v>7</v>
      </c>
      <c r="G1198" s="1">
        <v>113.6</v>
      </c>
      <c r="H1198" s="34">
        <f>Tabela1[[#This Row],[PESO UNI]]*Tabela1[[#This Row],[QTE]]</f>
        <v>113.6</v>
      </c>
      <c r="I1198" s="7">
        <v>0</v>
      </c>
      <c r="J1198" s="8" t="s">
        <v>5528</v>
      </c>
      <c r="K1198" s="8" t="s">
        <v>4320</v>
      </c>
      <c r="L1198" s="9" t="s">
        <v>5529</v>
      </c>
      <c r="M1198" s="10">
        <v>46275</v>
      </c>
      <c r="N1198" s="8" t="s">
        <v>5105</v>
      </c>
      <c r="O1198" s="12"/>
      <c r="P1198" s="13"/>
      <c r="Q1198" s="14">
        <f>Tabela1[[#This Row],[QTDE/ Fabricação]]-Tabela1[[#This Row],[QTE]]</f>
        <v>-1</v>
      </c>
      <c r="R1198" s="18">
        <f t="shared" si="277"/>
        <v>28.4</v>
      </c>
      <c r="S1198" s="18">
        <f t="shared" si="278"/>
        <v>0</v>
      </c>
      <c r="T1198" s="19">
        <f t="shared" si="279"/>
        <v>-113.6</v>
      </c>
      <c r="U1198" s="16">
        <f>IFERROR(SUMIF('LISTA DE EMBARQUE'!B:B,MICRO!E:E,'LISTA DE EMBARQUE'!G:G),"")</f>
        <v>0</v>
      </c>
      <c r="V1198" s="12" t="str">
        <f>IFERROR(VLOOKUP(Tabela1[[#This Row],[COD.MDE]],'LISTA DE EMBARQUE'!B:L,11,0),"")</f>
        <v/>
      </c>
      <c r="W1198" s="13" t="str">
        <f>IFERROR(VLOOKUP(Tabela1[[#This Row],[COD.MDE]],'LISTA DE EMBARQUE'!B:M,12,0),"")</f>
        <v/>
      </c>
      <c r="X1198" s="14">
        <f>IFERROR(Tabela1[[#This Row],[QIANTIDADE EXPEDIDA]]*Tabela1[[#This Row],[PESO UNI]],"")</f>
        <v>0</v>
      </c>
      <c r="Y1198" s="14">
        <f t="shared" si="280"/>
        <v>-1</v>
      </c>
      <c r="Z1198" s="20">
        <f>Tabela1[[#This Row],[PESO TOTAL]]-Tabela1[[#This Row],[Peso Expedido]]</f>
        <v>113.6</v>
      </c>
      <c r="AA1198" s="17">
        <v>1</v>
      </c>
      <c r="AB1198" s="33"/>
      <c r="AC1198" s="33"/>
      <c r="AD1198" s="33"/>
      <c r="AE1198" s="33"/>
      <c r="AF1198" s="33"/>
      <c r="AG1198" s="33"/>
      <c r="AH1198" s="33"/>
      <c r="AI1198" s="33"/>
      <c r="AJ1198"/>
      <c r="AK1198"/>
      <c r="AL1198"/>
      <c r="AM1198"/>
      <c r="AN1198"/>
      <c r="AO1198"/>
      <c r="AP1198"/>
      <c r="AQ1198" s="22"/>
      <c r="AR1198" s="24"/>
      <c r="AS1198" s="37"/>
      <c r="AT1198" s="37"/>
      <c r="AU1198" s="37"/>
      <c r="AV1198" s="37"/>
      <c r="AW1198" s="37"/>
    </row>
    <row r="1199" spans="1:49" ht="15.75" customHeight="1" x14ac:dyDescent="0.25">
      <c r="A1199" s="1" t="s">
        <v>5688</v>
      </c>
      <c r="B1199" s="21" t="s">
        <v>5670</v>
      </c>
      <c r="C1199" s="1">
        <v>4</v>
      </c>
      <c r="D1199" s="1" t="s">
        <v>5689</v>
      </c>
      <c r="E1199" s="7">
        <v>4880</v>
      </c>
      <c r="F1199" s="7">
        <v>8</v>
      </c>
      <c r="G1199" s="1">
        <v>21.2</v>
      </c>
      <c r="H1199" s="34">
        <f>Tabela1[[#This Row],[PESO UNI]]*Tabela1[[#This Row],[QTE]]</f>
        <v>84.8</v>
      </c>
      <c r="I1199" s="7">
        <v>0</v>
      </c>
      <c r="J1199" s="8" t="s">
        <v>5528</v>
      </c>
      <c r="K1199" s="8" t="s">
        <v>4320</v>
      </c>
      <c r="L1199" s="9" t="s">
        <v>5529</v>
      </c>
      <c r="M1199" s="10">
        <v>46275</v>
      </c>
      <c r="N1199" s="8" t="s">
        <v>5105</v>
      </c>
      <c r="O1199" s="12"/>
      <c r="P1199" s="13"/>
      <c r="Q1199" s="14">
        <f>Tabela1[[#This Row],[QTDE/ Fabricação]]-Tabela1[[#This Row],[QTE]]</f>
        <v>-4</v>
      </c>
      <c r="R1199" s="18">
        <f t="shared" si="277"/>
        <v>21.2</v>
      </c>
      <c r="S1199" s="18">
        <f t="shared" si="278"/>
        <v>0</v>
      </c>
      <c r="T1199" s="19">
        <f t="shared" si="279"/>
        <v>-84.8</v>
      </c>
      <c r="U1199" s="16">
        <f>IFERROR(SUMIF('LISTA DE EMBARQUE'!B:B,MICRO!E:E,'LISTA DE EMBARQUE'!G:G),"")</f>
        <v>0</v>
      </c>
      <c r="V1199" s="12" t="str">
        <f>IFERROR(VLOOKUP(Tabela1[[#This Row],[COD.MDE]],'LISTA DE EMBARQUE'!B:L,11,0),"")</f>
        <v/>
      </c>
      <c r="W1199" s="13" t="str">
        <f>IFERROR(VLOOKUP(Tabela1[[#This Row],[COD.MDE]],'LISTA DE EMBARQUE'!B:M,12,0),"")</f>
        <v/>
      </c>
      <c r="X1199" s="14">
        <f>IFERROR(Tabela1[[#This Row],[QIANTIDADE EXPEDIDA]]*Tabela1[[#This Row],[PESO UNI]],"")</f>
        <v>0</v>
      </c>
      <c r="Y1199" s="14">
        <f t="shared" si="280"/>
        <v>-4</v>
      </c>
      <c r="Z1199" s="20">
        <f>Tabela1[[#This Row],[PESO TOTAL]]-Tabela1[[#This Row],[Peso Expedido]]</f>
        <v>84.8</v>
      </c>
      <c r="AA1199" s="17">
        <v>1</v>
      </c>
      <c r="AB1199" s="33"/>
      <c r="AC1199" s="33"/>
      <c r="AD1199" s="33"/>
      <c r="AE1199" s="33"/>
      <c r="AF1199" s="33"/>
      <c r="AG1199" s="33"/>
      <c r="AH1199" s="33"/>
      <c r="AI1199" s="33"/>
      <c r="AJ1199"/>
      <c r="AK1199"/>
      <c r="AL1199"/>
      <c r="AM1199"/>
      <c r="AN1199"/>
      <c r="AO1199"/>
      <c r="AP1199"/>
      <c r="AQ1199" s="22"/>
      <c r="AR1199" s="24"/>
      <c r="AS1199" s="37"/>
      <c r="AT1199" s="37"/>
      <c r="AU1199" s="37"/>
      <c r="AV1199" s="37"/>
      <c r="AW1199" s="37"/>
    </row>
    <row r="1200" spans="1:49" ht="15.75" customHeight="1" x14ac:dyDescent="0.25">
      <c r="A1200" s="1" t="s">
        <v>5688</v>
      </c>
      <c r="B1200" s="21" t="s">
        <v>5670</v>
      </c>
      <c r="C1200" s="1">
        <v>4</v>
      </c>
      <c r="D1200" s="1" t="s">
        <v>5690</v>
      </c>
      <c r="E1200" s="7">
        <v>4881</v>
      </c>
      <c r="F1200" s="7">
        <v>8</v>
      </c>
      <c r="G1200" s="1">
        <v>7.6</v>
      </c>
      <c r="H1200" s="34">
        <f>Tabela1[[#This Row],[PESO UNI]]*Tabela1[[#This Row],[QTE]]</f>
        <v>30.4</v>
      </c>
      <c r="I1200" s="7">
        <v>0</v>
      </c>
      <c r="J1200" s="8" t="s">
        <v>5528</v>
      </c>
      <c r="K1200" s="8" t="s">
        <v>4320</v>
      </c>
      <c r="L1200" s="9" t="s">
        <v>5529</v>
      </c>
      <c r="M1200" s="10">
        <v>46275</v>
      </c>
      <c r="N1200" s="8" t="s">
        <v>5105</v>
      </c>
      <c r="O1200" s="12"/>
      <c r="P1200" s="13"/>
      <c r="Q1200" s="14">
        <f>Tabela1[[#This Row],[QTDE/ Fabricação]]-Tabela1[[#This Row],[QTE]]</f>
        <v>-4</v>
      </c>
      <c r="R1200" s="18">
        <f t="shared" ref="R1200:R1204" si="281">IFERROR(H1200*((AA1200*0.25)+(AC1200*0.25)+(AD1200*0.225)+(AE1200*0.225)+(AF1200*0.05)),"")</f>
        <v>7.6</v>
      </c>
      <c r="S1200" s="18">
        <f t="shared" ref="S1200:S1204" si="282">IFERROR(H1200*AG1200,"")</f>
        <v>0</v>
      </c>
      <c r="T1200" s="19">
        <f t="shared" ref="T1200:T1204" si="283">IFERROR(S1200-H1200,"")</f>
        <v>-30.4</v>
      </c>
      <c r="U1200" s="16">
        <f>IFERROR(SUMIF('LISTA DE EMBARQUE'!B:B,MICRO!E:E,'LISTA DE EMBARQUE'!G:G),"")</f>
        <v>0</v>
      </c>
      <c r="V1200" s="12" t="str">
        <f>IFERROR(VLOOKUP(Tabela1[[#This Row],[COD.MDE]],'LISTA DE EMBARQUE'!B:L,11,0),"")</f>
        <v/>
      </c>
      <c r="W1200" s="13" t="str">
        <f>IFERROR(VLOOKUP(Tabela1[[#This Row],[COD.MDE]],'LISTA DE EMBARQUE'!B:M,12,0),"")</f>
        <v/>
      </c>
      <c r="X1200" s="14">
        <f>IFERROR(Tabela1[[#This Row],[QIANTIDADE EXPEDIDA]]*Tabela1[[#This Row],[PESO UNI]],"")</f>
        <v>0</v>
      </c>
      <c r="Y1200" s="14">
        <f t="shared" ref="Y1200:Y1204" si="284">U1200-C1200</f>
        <v>-4</v>
      </c>
      <c r="Z1200" s="20">
        <f>Tabela1[[#This Row],[PESO TOTAL]]-Tabela1[[#This Row],[Peso Expedido]]</f>
        <v>30.4</v>
      </c>
      <c r="AA1200" s="17">
        <v>1</v>
      </c>
      <c r="AB1200" s="33"/>
      <c r="AC1200" s="33"/>
      <c r="AD1200" s="33"/>
      <c r="AE1200" s="33"/>
      <c r="AF1200" s="33"/>
      <c r="AG1200" s="33"/>
      <c r="AH1200" s="33"/>
      <c r="AI1200" s="33"/>
      <c r="AJ1200"/>
      <c r="AK1200"/>
      <c r="AL1200"/>
      <c r="AM1200"/>
      <c r="AN1200"/>
      <c r="AO1200"/>
      <c r="AP1200"/>
      <c r="AQ1200" s="22"/>
      <c r="AR1200" s="24"/>
      <c r="AS1200" s="37"/>
      <c r="AT1200" s="37"/>
      <c r="AU1200" s="37"/>
      <c r="AV1200" s="37"/>
      <c r="AW1200" s="37"/>
    </row>
    <row r="1201" spans="1:49" ht="15.75" customHeight="1" x14ac:dyDescent="0.25">
      <c r="A1201" s="1" t="s">
        <v>5691</v>
      </c>
      <c r="B1201" s="21" t="s">
        <v>5691</v>
      </c>
      <c r="C1201" s="1">
        <v>1</v>
      </c>
      <c r="D1201" s="1" t="s">
        <v>5692</v>
      </c>
      <c r="E1201" s="7">
        <v>4882</v>
      </c>
      <c r="F1201" s="7">
        <v>1</v>
      </c>
      <c r="G1201" s="1">
        <v>729.3</v>
      </c>
      <c r="H1201" s="34">
        <f>Tabela1[[#This Row],[PESO UNI]]*Tabela1[[#This Row],[QTE]]</f>
        <v>729.3</v>
      </c>
      <c r="I1201" s="7">
        <v>1</v>
      </c>
      <c r="J1201" s="8" t="s">
        <v>5693</v>
      </c>
      <c r="K1201" s="8" t="s">
        <v>22</v>
      </c>
      <c r="L1201" s="9" t="s">
        <v>5933</v>
      </c>
      <c r="M1201" s="10">
        <v>46276</v>
      </c>
      <c r="N1201" s="8" t="s">
        <v>38</v>
      </c>
      <c r="O1201" s="12"/>
      <c r="P1201" s="13"/>
      <c r="Q1201" s="14">
        <f>Tabela1[[#This Row],[QTDE/ Fabricação]]-Tabela1[[#This Row],[QTE]]</f>
        <v>-1</v>
      </c>
      <c r="R1201" s="18">
        <f t="shared" si="281"/>
        <v>182.32499999999999</v>
      </c>
      <c r="S1201" s="18">
        <f t="shared" si="282"/>
        <v>0</v>
      </c>
      <c r="T1201" s="19">
        <f t="shared" si="283"/>
        <v>-729.3</v>
      </c>
      <c r="U1201" s="16">
        <f>IFERROR(SUMIF('LISTA DE EMBARQUE'!B:B,MICRO!E:E,'LISTA DE EMBARQUE'!G:G),"")</f>
        <v>0</v>
      </c>
      <c r="V1201" s="12" t="str">
        <f>IFERROR(VLOOKUP(Tabela1[[#This Row],[COD.MDE]],'LISTA DE EMBARQUE'!B:L,11,0),"")</f>
        <v/>
      </c>
      <c r="W1201" s="13" t="str">
        <f>IFERROR(VLOOKUP(Tabela1[[#This Row],[COD.MDE]],'LISTA DE EMBARQUE'!B:M,12,0),"")</f>
        <v/>
      </c>
      <c r="X1201" s="14">
        <f>IFERROR(Tabela1[[#This Row],[QIANTIDADE EXPEDIDA]]*Tabela1[[#This Row],[PESO UNI]],"")</f>
        <v>0</v>
      </c>
      <c r="Y1201" s="14">
        <f t="shared" si="284"/>
        <v>-1</v>
      </c>
      <c r="Z1201" s="20">
        <f>Tabela1[[#This Row],[PESO TOTAL]]-Tabela1[[#This Row],[Peso Expedido]]</f>
        <v>729.3</v>
      </c>
      <c r="AA1201" s="17">
        <v>1</v>
      </c>
      <c r="AB1201" s="33"/>
      <c r="AC1201" s="33"/>
      <c r="AD1201" s="33"/>
      <c r="AE1201" s="33"/>
      <c r="AF1201" s="33"/>
      <c r="AG1201" s="33"/>
      <c r="AH1201" s="33"/>
      <c r="AI1201" s="33"/>
      <c r="AJ1201"/>
      <c r="AK1201"/>
      <c r="AL1201"/>
      <c r="AM1201"/>
      <c r="AN1201"/>
      <c r="AO1201"/>
      <c r="AP1201"/>
      <c r="AQ1201" s="22"/>
      <c r="AR1201" s="24"/>
      <c r="AS1201" s="37"/>
      <c r="AT1201" s="37"/>
      <c r="AU1201" s="37"/>
      <c r="AV1201" s="37"/>
      <c r="AW1201" s="37"/>
    </row>
    <row r="1202" spans="1:49" ht="15.75" customHeight="1" x14ac:dyDescent="0.25">
      <c r="A1202" s="1" t="s">
        <v>5696</v>
      </c>
      <c r="B1202" s="21" t="s">
        <v>5696</v>
      </c>
      <c r="C1202" s="1">
        <v>1</v>
      </c>
      <c r="D1202" s="1" t="s">
        <v>5697</v>
      </c>
      <c r="E1202" s="7">
        <v>4883</v>
      </c>
      <c r="F1202" s="7">
        <v>1</v>
      </c>
      <c r="G1202" s="1">
        <v>738.7</v>
      </c>
      <c r="H1202" s="34">
        <f>Tabela1[[#This Row],[PESO UNI]]*Tabela1[[#This Row],[QTE]]</f>
        <v>738.7</v>
      </c>
      <c r="I1202" s="7">
        <v>3</v>
      </c>
      <c r="J1202" s="8" t="s">
        <v>5698</v>
      </c>
      <c r="K1202" s="8" t="s">
        <v>22</v>
      </c>
      <c r="L1202" s="9" t="s">
        <v>5699</v>
      </c>
      <c r="M1202" s="10">
        <v>46276</v>
      </c>
      <c r="N1202" s="8" t="s">
        <v>38</v>
      </c>
      <c r="O1202" s="12"/>
      <c r="P1202" s="13"/>
      <c r="Q1202" s="14">
        <f>Tabela1[[#This Row],[QTDE/ Fabricação]]-Tabela1[[#This Row],[QTE]]</f>
        <v>-1</v>
      </c>
      <c r="R1202" s="18">
        <f t="shared" si="281"/>
        <v>184.67500000000001</v>
      </c>
      <c r="S1202" s="18">
        <f t="shared" si="282"/>
        <v>0</v>
      </c>
      <c r="T1202" s="19">
        <f t="shared" si="283"/>
        <v>-738.7</v>
      </c>
      <c r="U1202" s="16">
        <f>IFERROR(SUMIF('LISTA DE EMBARQUE'!B:B,MICRO!E:E,'LISTA DE EMBARQUE'!G:G),"")</f>
        <v>0</v>
      </c>
      <c r="V1202" s="12" t="str">
        <f>IFERROR(VLOOKUP(Tabela1[[#This Row],[COD.MDE]],'LISTA DE EMBARQUE'!B:L,11,0),"")</f>
        <v/>
      </c>
      <c r="W1202" s="13" t="str">
        <f>IFERROR(VLOOKUP(Tabela1[[#This Row],[COD.MDE]],'LISTA DE EMBARQUE'!B:M,12,0),"")</f>
        <v/>
      </c>
      <c r="X1202" s="14">
        <f>IFERROR(Tabela1[[#This Row],[QIANTIDADE EXPEDIDA]]*Tabela1[[#This Row],[PESO UNI]],"")</f>
        <v>0</v>
      </c>
      <c r="Y1202" s="14">
        <f t="shared" si="284"/>
        <v>-1</v>
      </c>
      <c r="Z1202" s="20">
        <f>Tabela1[[#This Row],[PESO TOTAL]]-Tabela1[[#This Row],[Peso Expedido]]</f>
        <v>738.7</v>
      </c>
      <c r="AA1202" s="17">
        <v>1</v>
      </c>
      <c r="AB1202" s="33"/>
      <c r="AC1202" s="33"/>
      <c r="AD1202" s="33"/>
      <c r="AE1202" s="33"/>
      <c r="AF1202" s="33"/>
      <c r="AG1202" s="33"/>
      <c r="AH1202" s="33"/>
      <c r="AI1202" s="33"/>
      <c r="AJ1202"/>
      <c r="AK1202"/>
      <c r="AL1202"/>
      <c r="AM1202"/>
      <c r="AN1202"/>
      <c r="AO1202"/>
      <c r="AP1202"/>
      <c r="AQ1202" s="22"/>
      <c r="AR1202" s="24"/>
      <c r="AS1202" s="37"/>
      <c r="AT1202" s="37"/>
      <c r="AU1202" s="37"/>
      <c r="AV1202" s="37"/>
      <c r="AW1202" s="37"/>
    </row>
    <row r="1203" spans="1:49" ht="15.75" customHeight="1" x14ac:dyDescent="0.25">
      <c r="A1203" s="1" t="s">
        <v>5700</v>
      </c>
      <c r="B1203" s="21" t="s">
        <v>5700</v>
      </c>
      <c r="C1203" s="1">
        <v>1</v>
      </c>
      <c r="D1203" s="1" t="s">
        <v>5701</v>
      </c>
      <c r="E1203" s="7">
        <v>4884</v>
      </c>
      <c r="F1203" s="7">
        <v>1</v>
      </c>
      <c r="G1203" s="1">
        <v>1128.2</v>
      </c>
      <c r="H1203" s="34">
        <f>Tabela1[[#This Row],[PESO UNI]]*Tabela1[[#This Row],[QTE]]</f>
        <v>1128.2</v>
      </c>
      <c r="I1203" s="7">
        <v>3</v>
      </c>
      <c r="J1203" s="8" t="s">
        <v>5702</v>
      </c>
      <c r="K1203" s="8" t="s">
        <v>22</v>
      </c>
      <c r="L1203" s="9" t="s">
        <v>5703</v>
      </c>
      <c r="M1203" s="10">
        <v>46276</v>
      </c>
      <c r="N1203" s="8" t="s">
        <v>38</v>
      </c>
      <c r="O1203" s="12"/>
      <c r="P1203" s="13"/>
      <c r="Q1203" s="14">
        <f>Tabela1[[#This Row],[QTDE/ Fabricação]]-Tabela1[[#This Row],[QTE]]</f>
        <v>-1</v>
      </c>
      <c r="R1203" s="18">
        <f t="shared" si="281"/>
        <v>282.05</v>
      </c>
      <c r="S1203" s="18">
        <f t="shared" si="282"/>
        <v>0</v>
      </c>
      <c r="T1203" s="19">
        <f t="shared" si="283"/>
        <v>-1128.2</v>
      </c>
      <c r="U1203" s="16">
        <f>IFERROR(SUMIF('LISTA DE EMBARQUE'!B:B,MICRO!E:E,'LISTA DE EMBARQUE'!G:G),"")</f>
        <v>0</v>
      </c>
      <c r="V1203" s="12" t="str">
        <f>IFERROR(VLOOKUP(Tabela1[[#This Row],[COD.MDE]],'LISTA DE EMBARQUE'!B:L,11,0),"")</f>
        <v/>
      </c>
      <c r="W1203" s="13" t="str">
        <f>IFERROR(VLOOKUP(Tabela1[[#This Row],[COD.MDE]],'LISTA DE EMBARQUE'!B:M,12,0),"")</f>
        <v/>
      </c>
      <c r="X1203" s="14">
        <f>IFERROR(Tabela1[[#This Row],[QIANTIDADE EXPEDIDA]]*Tabela1[[#This Row],[PESO UNI]],"")</f>
        <v>0</v>
      </c>
      <c r="Y1203" s="14">
        <f t="shared" si="284"/>
        <v>-1</v>
      </c>
      <c r="Z1203" s="20">
        <f>Tabela1[[#This Row],[PESO TOTAL]]-Tabela1[[#This Row],[Peso Expedido]]</f>
        <v>1128.2</v>
      </c>
      <c r="AA1203" s="17">
        <v>1</v>
      </c>
      <c r="AB1203" s="33"/>
      <c r="AC1203" s="33"/>
      <c r="AD1203" s="33"/>
      <c r="AE1203" s="33"/>
      <c r="AF1203" s="33"/>
      <c r="AG1203" s="33"/>
      <c r="AH1203" s="33"/>
      <c r="AI1203" s="33"/>
      <c r="AJ1203"/>
      <c r="AK1203"/>
      <c r="AL1203"/>
      <c r="AM1203"/>
      <c r="AN1203"/>
      <c r="AO1203"/>
      <c r="AP1203"/>
      <c r="AQ1203" s="22"/>
      <c r="AR1203" s="24"/>
      <c r="AS1203" s="37"/>
      <c r="AT1203" s="37"/>
      <c r="AU1203" s="37"/>
      <c r="AV1203" s="37"/>
      <c r="AW1203" s="37"/>
    </row>
    <row r="1204" spans="1:49" ht="15.75" customHeight="1" x14ac:dyDescent="0.25">
      <c r="A1204" s="1" t="s">
        <v>5704</v>
      </c>
      <c r="B1204" s="21" t="s">
        <v>5704</v>
      </c>
      <c r="C1204" s="1">
        <v>1</v>
      </c>
      <c r="D1204" s="1" t="s">
        <v>5705</v>
      </c>
      <c r="E1204" s="7">
        <v>4885</v>
      </c>
      <c r="F1204" s="7">
        <v>1</v>
      </c>
      <c r="G1204" s="1">
        <v>619.29999999999995</v>
      </c>
      <c r="H1204" s="34">
        <f>Tabela1[[#This Row],[PESO UNI]]*Tabela1[[#This Row],[QTE]]</f>
        <v>619.29999999999995</v>
      </c>
      <c r="I1204" s="7">
        <v>3</v>
      </c>
      <c r="J1204" s="8" t="s">
        <v>5706</v>
      </c>
      <c r="K1204" s="8" t="s">
        <v>22</v>
      </c>
      <c r="L1204" s="9" t="s">
        <v>5707</v>
      </c>
      <c r="M1204" s="10">
        <v>46276</v>
      </c>
      <c r="N1204" s="8" t="s">
        <v>38</v>
      </c>
      <c r="O1204" s="12"/>
      <c r="P1204" s="13"/>
      <c r="Q1204" s="14">
        <f>Tabela1[[#This Row],[QTDE/ Fabricação]]-Tabela1[[#This Row],[QTE]]</f>
        <v>-1</v>
      </c>
      <c r="R1204" s="18">
        <f t="shared" si="281"/>
        <v>154.82499999999999</v>
      </c>
      <c r="S1204" s="18">
        <f t="shared" si="282"/>
        <v>0</v>
      </c>
      <c r="T1204" s="19">
        <f t="shared" si="283"/>
        <v>-619.29999999999995</v>
      </c>
      <c r="U1204" s="16">
        <f>IFERROR(SUMIF('LISTA DE EMBARQUE'!B:B,MICRO!E:E,'LISTA DE EMBARQUE'!G:G),"")</f>
        <v>0</v>
      </c>
      <c r="V1204" s="12" t="str">
        <f>IFERROR(VLOOKUP(Tabela1[[#This Row],[COD.MDE]],'LISTA DE EMBARQUE'!B:L,11,0),"")</f>
        <v/>
      </c>
      <c r="W1204" s="13" t="str">
        <f>IFERROR(VLOOKUP(Tabela1[[#This Row],[COD.MDE]],'LISTA DE EMBARQUE'!B:M,12,0),"")</f>
        <v/>
      </c>
      <c r="X1204" s="14">
        <f>IFERROR(Tabela1[[#This Row],[QIANTIDADE EXPEDIDA]]*Tabela1[[#This Row],[PESO UNI]],"")</f>
        <v>0</v>
      </c>
      <c r="Y1204" s="14">
        <f t="shared" si="284"/>
        <v>-1</v>
      </c>
      <c r="Z1204" s="20">
        <f>Tabela1[[#This Row],[PESO TOTAL]]-Tabela1[[#This Row],[Peso Expedido]]</f>
        <v>619.29999999999995</v>
      </c>
      <c r="AA1204" s="17">
        <v>1</v>
      </c>
      <c r="AB1204" s="33"/>
      <c r="AC1204" s="33"/>
      <c r="AD1204" s="33"/>
      <c r="AE1204" s="33"/>
      <c r="AF1204" s="33"/>
      <c r="AG1204" s="33"/>
      <c r="AH1204" s="33"/>
      <c r="AI1204" s="33"/>
      <c r="AJ1204"/>
      <c r="AK1204"/>
      <c r="AL1204"/>
      <c r="AM1204"/>
      <c r="AN1204"/>
      <c r="AO1204"/>
      <c r="AP1204"/>
      <c r="AQ1204" s="22"/>
      <c r="AR1204" s="24"/>
      <c r="AS1204" s="37"/>
      <c r="AT1204" s="37"/>
      <c r="AU1204" s="37"/>
      <c r="AV1204" s="37"/>
      <c r="AW1204" s="37"/>
    </row>
    <row r="1205" spans="1:49" ht="15.75" customHeight="1" x14ac:dyDescent="0.25">
      <c r="A1205" s="1" t="s">
        <v>5708</v>
      </c>
      <c r="B1205" s="21" t="s">
        <v>5708</v>
      </c>
      <c r="C1205" s="1">
        <v>1</v>
      </c>
      <c r="D1205" s="1" t="s">
        <v>5709</v>
      </c>
      <c r="E1205" s="7">
        <v>4886</v>
      </c>
      <c r="F1205" s="7">
        <v>1</v>
      </c>
      <c r="G1205" s="1">
        <v>439.1</v>
      </c>
      <c r="H1205" s="34">
        <f>Tabela1[[#This Row],[PESO UNI]]*Tabela1[[#This Row],[QTE]]</f>
        <v>439.1</v>
      </c>
      <c r="I1205" s="7">
        <v>1</v>
      </c>
      <c r="J1205" s="8" t="s">
        <v>5710</v>
      </c>
      <c r="K1205" s="8" t="s">
        <v>22</v>
      </c>
      <c r="L1205" s="9" t="s">
        <v>5711</v>
      </c>
      <c r="M1205" s="10">
        <v>46276</v>
      </c>
      <c r="N1205" s="8" t="s">
        <v>38</v>
      </c>
      <c r="O1205" s="12"/>
      <c r="P1205" s="13"/>
      <c r="Q1205" s="14">
        <f>Tabela1[[#This Row],[QTDE/ Fabricação]]-Tabela1[[#This Row],[QTE]]</f>
        <v>-1</v>
      </c>
      <c r="R1205" s="18">
        <f t="shared" ref="R1205:R1221" si="285">IFERROR(H1205*((AA1205*0.25)+(AC1205*0.25)+(AD1205*0.225)+(AE1205*0.225)+(AF1205*0.05)),"")</f>
        <v>109.77500000000001</v>
      </c>
      <c r="S1205" s="18">
        <f t="shared" ref="S1205:S1221" si="286">IFERROR(H1205*AG1205,"")</f>
        <v>0</v>
      </c>
      <c r="T1205" s="19">
        <f t="shared" ref="T1205:T1221" si="287">IFERROR(S1205-H1205,"")</f>
        <v>-439.1</v>
      </c>
      <c r="U1205" s="16">
        <f>IFERROR(SUMIF('LISTA DE EMBARQUE'!B:B,MICRO!E:E,'LISTA DE EMBARQUE'!G:G),"")</f>
        <v>0</v>
      </c>
      <c r="V1205" s="12" t="str">
        <f>IFERROR(VLOOKUP(Tabela1[[#This Row],[COD.MDE]],'LISTA DE EMBARQUE'!B:L,11,0),"")</f>
        <v/>
      </c>
      <c r="W1205" s="13" t="str">
        <f>IFERROR(VLOOKUP(Tabela1[[#This Row],[COD.MDE]],'LISTA DE EMBARQUE'!B:M,12,0),"")</f>
        <v/>
      </c>
      <c r="X1205" s="14">
        <f>IFERROR(Tabela1[[#This Row],[QIANTIDADE EXPEDIDA]]*Tabela1[[#This Row],[PESO UNI]],"")</f>
        <v>0</v>
      </c>
      <c r="Y1205" s="14">
        <f t="shared" ref="Y1205:Y1221" si="288">U1205-C1205</f>
        <v>-1</v>
      </c>
      <c r="Z1205" s="20">
        <f>Tabela1[[#This Row],[PESO TOTAL]]-Tabela1[[#This Row],[Peso Expedido]]</f>
        <v>439.1</v>
      </c>
      <c r="AA1205" s="17">
        <v>1</v>
      </c>
      <c r="AB1205" s="33"/>
      <c r="AC1205" s="33"/>
      <c r="AD1205" s="33"/>
      <c r="AE1205" s="33"/>
      <c r="AF1205" s="33"/>
      <c r="AG1205" s="33"/>
      <c r="AH1205" s="33"/>
      <c r="AI1205" s="33"/>
      <c r="AJ1205"/>
      <c r="AK1205"/>
      <c r="AL1205"/>
      <c r="AM1205"/>
      <c r="AN1205"/>
      <c r="AO1205"/>
      <c r="AP1205"/>
      <c r="AQ1205" s="22"/>
      <c r="AR1205" s="24"/>
      <c r="AS1205" s="37"/>
      <c r="AT1205" s="37"/>
      <c r="AU1205" s="37"/>
      <c r="AV1205" s="37"/>
      <c r="AW1205" s="37"/>
    </row>
    <row r="1206" spans="1:49" ht="15.75" customHeight="1" x14ac:dyDescent="0.25">
      <c r="A1206" s="1" t="s">
        <v>5717</v>
      </c>
      <c r="B1206" s="21" t="s">
        <v>5718</v>
      </c>
      <c r="C1206" s="1">
        <v>4</v>
      </c>
      <c r="D1206" s="1" t="s">
        <v>5719</v>
      </c>
      <c r="E1206" s="7">
        <v>4887</v>
      </c>
      <c r="F1206" s="7">
        <v>74</v>
      </c>
      <c r="G1206" s="1">
        <v>283.5</v>
      </c>
      <c r="H1206" s="34">
        <f>Tabela1[[#This Row],[PESO UNI]]*Tabela1[[#This Row],[QTE]]</f>
        <v>1134</v>
      </c>
      <c r="I1206" s="7">
        <v>0</v>
      </c>
      <c r="J1206" s="8" t="s">
        <v>3045</v>
      </c>
      <c r="K1206" s="8" t="s">
        <v>4320</v>
      </c>
      <c r="L1206" s="9" t="s">
        <v>2984</v>
      </c>
      <c r="M1206" s="10">
        <v>46279</v>
      </c>
      <c r="N1206" s="8" t="s">
        <v>5105</v>
      </c>
      <c r="O1206" s="12"/>
      <c r="P1206" s="13"/>
      <c r="Q1206" s="14">
        <f>Tabela1[[#This Row],[QTDE/ Fabricação]]-Tabela1[[#This Row],[QTE]]</f>
        <v>-4</v>
      </c>
      <c r="R1206" s="18">
        <f t="shared" si="285"/>
        <v>283.5</v>
      </c>
      <c r="S1206" s="18">
        <f t="shared" si="286"/>
        <v>0</v>
      </c>
      <c r="T1206" s="19">
        <f t="shared" si="287"/>
        <v>-1134</v>
      </c>
      <c r="U1206" s="16">
        <f>IFERROR(SUMIF('LISTA DE EMBARQUE'!B:B,MICRO!E:E,'LISTA DE EMBARQUE'!G:G),"")</f>
        <v>0</v>
      </c>
      <c r="V1206" s="12" t="str">
        <f>IFERROR(VLOOKUP(Tabela1[[#This Row],[COD.MDE]],'LISTA DE EMBARQUE'!B:L,11,0),"")</f>
        <v/>
      </c>
      <c r="W1206" s="13" t="str">
        <f>IFERROR(VLOOKUP(Tabela1[[#This Row],[COD.MDE]],'LISTA DE EMBARQUE'!B:M,12,0),"")</f>
        <v/>
      </c>
      <c r="X1206" s="14">
        <f>IFERROR(Tabela1[[#This Row],[QIANTIDADE EXPEDIDA]]*Tabela1[[#This Row],[PESO UNI]],"")</f>
        <v>0</v>
      </c>
      <c r="Y1206" s="14">
        <f t="shared" si="288"/>
        <v>-4</v>
      </c>
      <c r="Z1206" s="20">
        <f>Tabela1[[#This Row],[PESO TOTAL]]-Tabela1[[#This Row],[Peso Expedido]]</f>
        <v>1134</v>
      </c>
      <c r="AA1206" s="17">
        <v>1</v>
      </c>
      <c r="AB1206" s="33"/>
      <c r="AC1206" s="33"/>
      <c r="AD1206" s="33"/>
      <c r="AE1206" s="33"/>
      <c r="AF1206" s="33"/>
      <c r="AG1206" s="33"/>
      <c r="AH1206" s="33"/>
      <c r="AI1206" s="33"/>
      <c r="AJ1206"/>
      <c r="AK1206"/>
      <c r="AL1206"/>
      <c r="AM1206"/>
      <c r="AN1206"/>
      <c r="AO1206"/>
      <c r="AP1206"/>
      <c r="AQ1206" s="22"/>
      <c r="AR1206" s="24"/>
      <c r="AS1206" s="37"/>
      <c r="AT1206" s="37"/>
      <c r="AU1206" s="37"/>
      <c r="AV1206" s="37"/>
      <c r="AW1206" s="37"/>
    </row>
    <row r="1207" spans="1:49" ht="15.75" customHeight="1" x14ac:dyDescent="0.25">
      <c r="A1207" s="1" t="s">
        <v>5717</v>
      </c>
      <c r="B1207" s="21" t="s">
        <v>5718</v>
      </c>
      <c r="C1207" s="1">
        <v>2</v>
      </c>
      <c r="D1207" s="1" t="s">
        <v>5720</v>
      </c>
      <c r="E1207" s="7">
        <v>4888</v>
      </c>
      <c r="F1207" s="7">
        <v>74</v>
      </c>
      <c r="G1207" s="1">
        <v>274.7</v>
      </c>
      <c r="H1207" s="34">
        <f>Tabela1[[#This Row],[PESO UNI]]*Tabela1[[#This Row],[QTE]]</f>
        <v>549.4</v>
      </c>
      <c r="I1207" s="7">
        <v>0</v>
      </c>
      <c r="J1207" s="8" t="s">
        <v>3045</v>
      </c>
      <c r="K1207" s="8" t="s">
        <v>4320</v>
      </c>
      <c r="L1207" s="9" t="s">
        <v>2984</v>
      </c>
      <c r="M1207" s="10">
        <v>46279</v>
      </c>
      <c r="N1207" s="8" t="s">
        <v>5105</v>
      </c>
      <c r="O1207" s="12"/>
      <c r="P1207" s="13"/>
      <c r="Q1207" s="14">
        <f>Tabela1[[#This Row],[QTDE/ Fabricação]]-Tabela1[[#This Row],[QTE]]</f>
        <v>-2</v>
      </c>
      <c r="R1207" s="18">
        <f t="shared" si="285"/>
        <v>137.35</v>
      </c>
      <c r="S1207" s="18">
        <f t="shared" si="286"/>
        <v>0</v>
      </c>
      <c r="T1207" s="19">
        <f t="shared" si="287"/>
        <v>-549.4</v>
      </c>
      <c r="U1207" s="16">
        <f>IFERROR(SUMIF('LISTA DE EMBARQUE'!B:B,MICRO!E:E,'LISTA DE EMBARQUE'!G:G),"")</f>
        <v>0</v>
      </c>
      <c r="V1207" s="12" t="str">
        <f>IFERROR(VLOOKUP(Tabela1[[#This Row],[COD.MDE]],'LISTA DE EMBARQUE'!B:L,11,0),"")</f>
        <v/>
      </c>
      <c r="W1207" s="13" t="str">
        <f>IFERROR(VLOOKUP(Tabela1[[#This Row],[COD.MDE]],'LISTA DE EMBARQUE'!B:M,12,0),"")</f>
        <v/>
      </c>
      <c r="X1207" s="14">
        <f>IFERROR(Tabela1[[#This Row],[QIANTIDADE EXPEDIDA]]*Tabela1[[#This Row],[PESO UNI]],"")</f>
        <v>0</v>
      </c>
      <c r="Y1207" s="14">
        <f t="shared" si="288"/>
        <v>-2</v>
      </c>
      <c r="Z1207" s="20">
        <f>Tabela1[[#This Row],[PESO TOTAL]]-Tabela1[[#This Row],[Peso Expedido]]</f>
        <v>549.4</v>
      </c>
      <c r="AA1207" s="17">
        <v>1</v>
      </c>
      <c r="AB1207" s="33"/>
      <c r="AC1207" s="33"/>
      <c r="AD1207" s="33"/>
      <c r="AE1207" s="33"/>
      <c r="AF1207" s="33"/>
      <c r="AG1207" s="33"/>
      <c r="AH1207" s="33"/>
      <c r="AI1207" s="33"/>
      <c r="AJ1207"/>
      <c r="AK1207"/>
      <c r="AL1207"/>
      <c r="AM1207"/>
      <c r="AN1207"/>
      <c r="AO1207"/>
      <c r="AP1207"/>
      <c r="AQ1207" s="22"/>
      <c r="AR1207" s="24"/>
      <c r="AS1207" s="37"/>
      <c r="AT1207" s="37"/>
      <c r="AU1207" s="37"/>
      <c r="AV1207" s="37"/>
      <c r="AW1207" s="37"/>
    </row>
    <row r="1208" spans="1:49" ht="15.75" customHeight="1" x14ac:dyDescent="0.25">
      <c r="A1208" s="1" t="s">
        <v>5717</v>
      </c>
      <c r="B1208" s="21" t="s">
        <v>5718</v>
      </c>
      <c r="C1208" s="1">
        <v>2</v>
      </c>
      <c r="D1208" s="1" t="s">
        <v>5721</v>
      </c>
      <c r="E1208" s="7">
        <v>4889</v>
      </c>
      <c r="F1208" s="7">
        <v>74</v>
      </c>
      <c r="G1208" s="1">
        <v>89.4</v>
      </c>
      <c r="H1208" s="34">
        <f>Tabela1[[#This Row],[PESO UNI]]*Tabela1[[#This Row],[QTE]]</f>
        <v>178.8</v>
      </c>
      <c r="I1208" s="7">
        <v>0</v>
      </c>
      <c r="J1208" s="8" t="s">
        <v>3045</v>
      </c>
      <c r="K1208" s="8" t="s">
        <v>4320</v>
      </c>
      <c r="L1208" s="9" t="s">
        <v>2984</v>
      </c>
      <c r="M1208" s="10">
        <v>46279</v>
      </c>
      <c r="N1208" s="8" t="s">
        <v>5105</v>
      </c>
      <c r="O1208" s="12"/>
      <c r="P1208" s="13"/>
      <c r="Q1208" s="14">
        <f>Tabela1[[#This Row],[QTDE/ Fabricação]]-Tabela1[[#This Row],[QTE]]</f>
        <v>-2</v>
      </c>
      <c r="R1208" s="18">
        <f t="shared" si="285"/>
        <v>44.7</v>
      </c>
      <c r="S1208" s="18">
        <f t="shared" si="286"/>
        <v>0</v>
      </c>
      <c r="T1208" s="19">
        <f t="shared" si="287"/>
        <v>-178.8</v>
      </c>
      <c r="U1208" s="16">
        <f>IFERROR(SUMIF('LISTA DE EMBARQUE'!B:B,MICRO!E:E,'LISTA DE EMBARQUE'!G:G),"")</f>
        <v>0</v>
      </c>
      <c r="V1208" s="12" t="str">
        <f>IFERROR(VLOOKUP(Tabela1[[#This Row],[COD.MDE]],'LISTA DE EMBARQUE'!B:L,11,0),"")</f>
        <v/>
      </c>
      <c r="W1208" s="13" t="str">
        <f>IFERROR(VLOOKUP(Tabela1[[#This Row],[COD.MDE]],'LISTA DE EMBARQUE'!B:M,12,0),"")</f>
        <v/>
      </c>
      <c r="X1208" s="14">
        <f>IFERROR(Tabela1[[#This Row],[QIANTIDADE EXPEDIDA]]*Tabela1[[#This Row],[PESO UNI]],"")</f>
        <v>0</v>
      </c>
      <c r="Y1208" s="14">
        <f t="shared" si="288"/>
        <v>-2</v>
      </c>
      <c r="Z1208" s="20">
        <f>Tabela1[[#This Row],[PESO TOTAL]]-Tabela1[[#This Row],[Peso Expedido]]</f>
        <v>178.8</v>
      </c>
      <c r="AA1208" s="17">
        <v>1</v>
      </c>
      <c r="AB1208" s="33"/>
      <c r="AC1208" s="33"/>
      <c r="AD1208" s="33"/>
      <c r="AE1208" s="33"/>
      <c r="AF1208" s="33"/>
      <c r="AG1208" s="33"/>
      <c r="AH1208" s="33"/>
      <c r="AI1208" s="33"/>
      <c r="AJ1208"/>
      <c r="AK1208"/>
      <c r="AL1208"/>
      <c r="AM1208"/>
      <c r="AN1208"/>
      <c r="AO1208"/>
      <c r="AP1208"/>
      <c r="AQ1208" s="22"/>
      <c r="AR1208" s="24"/>
      <c r="AS1208" s="37"/>
      <c r="AT1208" s="37"/>
      <c r="AU1208" s="37"/>
      <c r="AV1208" s="37"/>
      <c r="AW1208" s="37"/>
    </row>
    <row r="1209" spans="1:49" ht="15.75" customHeight="1" x14ac:dyDescent="0.25">
      <c r="A1209" s="1" t="s">
        <v>5717</v>
      </c>
      <c r="B1209" s="21" t="s">
        <v>5718</v>
      </c>
      <c r="C1209" s="1">
        <v>1</v>
      </c>
      <c r="D1209" s="1" t="s">
        <v>5722</v>
      </c>
      <c r="E1209" s="7">
        <v>4890</v>
      </c>
      <c r="F1209" s="7">
        <v>74</v>
      </c>
      <c r="G1209" s="1">
        <v>72.900000000000006</v>
      </c>
      <c r="H1209" s="34">
        <f>Tabela1[[#This Row],[PESO UNI]]*Tabela1[[#This Row],[QTE]]</f>
        <v>72.900000000000006</v>
      </c>
      <c r="I1209" s="7">
        <v>0</v>
      </c>
      <c r="J1209" s="8" t="s">
        <v>3045</v>
      </c>
      <c r="K1209" s="8" t="s">
        <v>4320</v>
      </c>
      <c r="L1209" s="9" t="s">
        <v>2984</v>
      </c>
      <c r="M1209" s="10">
        <v>46279</v>
      </c>
      <c r="N1209" s="8" t="s">
        <v>5105</v>
      </c>
      <c r="O1209" s="12"/>
      <c r="P1209" s="13"/>
      <c r="Q1209" s="14">
        <f>Tabela1[[#This Row],[QTDE/ Fabricação]]-Tabela1[[#This Row],[QTE]]</f>
        <v>-1</v>
      </c>
      <c r="R1209" s="18">
        <f t="shared" si="285"/>
        <v>18.225000000000001</v>
      </c>
      <c r="S1209" s="18">
        <f t="shared" si="286"/>
        <v>0</v>
      </c>
      <c r="T1209" s="19">
        <f t="shared" si="287"/>
        <v>-72.900000000000006</v>
      </c>
      <c r="U1209" s="16">
        <f>IFERROR(SUMIF('LISTA DE EMBARQUE'!B:B,MICRO!E:E,'LISTA DE EMBARQUE'!G:G),"")</f>
        <v>0</v>
      </c>
      <c r="V1209" s="12" t="str">
        <f>IFERROR(VLOOKUP(Tabela1[[#This Row],[COD.MDE]],'LISTA DE EMBARQUE'!B:L,11,0),"")</f>
        <v/>
      </c>
      <c r="W1209" s="13" t="str">
        <f>IFERROR(VLOOKUP(Tabela1[[#This Row],[COD.MDE]],'LISTA DE EMBARQUE'!B:M,12,0),"")</f>
        <v/>
      </c>
      <c r="X1209" s="14">
        <f>IFERROR(Tabela1[[#This Row],[QIANTIDADE EXPEDIDA]]*Tabela1[[#This Row],[PESO UNI]],"")</f>
        <v>0</v>
      </c>
      <c r="Y1209" s="14">
        <f t="shared" si="288"/>
        <v>-1</v>
      </c>
      <c r="Z1209" s="20">
        <f>Tabela1[[#This Row],[PESO TOTAL]]-Tabela1[[#This Row],[Peso Expedido]]</f>
        <v>72.900000000000006</v>
      </c>
      <c r="AA1209" s="17">
        <v>1</v>
      </c>
      <c r="AB1209" s="33"/>
      <c r="AC1209" s="33"/>
      <c r="AD1209" s="33"/>
      <c r="AE1209" s="33"/>
      <c r="AF1209" s="33"/>
      <c r="AG1209" s="33"/>
      <c r="AH1209" s="33"/>
      <c r="AI1209" s="33"/>
      <c r="AJ1209"/>
      <c r="AK1209"/>
      <c r="AL1209"/>
      <c r="AM1209"/>
      <c r="AN1209"/>
      <c r="AO1209"/>
      <c r="AP1209"/>
      <c r="AQ1209" s="22"/>
      <c r="AR1209" s="24"/>
      <c r="AS1209" s="37"/>
      <c r="AT1209" s="37"/>
      <c r="AU1209" s="37"/>
      <c r="AV1209" s="37"/>
      <c r="AW1209" s="37"/>
    </row>
    <row r="1210" spans="1:49" ht="15.75" customHeight="1" x14ac:dyDescent="0.25">
      <c r="A1210" s="1" t="s">
        <v>5717</v>
      </c>
      <c r="B1210" s="21" t="s">
        <v>5718</v>
      </c>
      <c r="C1210" s="1">
        <v>1</v>
      </c>
      <c r="D1210" s="1" t="s">
        <v>5723</v>
      </c>
      <c r="E1210" s="7">
        <v>4891</v>
      </c>
      <c r="F1210" s="7">
        <v>74</v>
      </c>
      <c r="G1210" s="1">
        <v>70.900000000000006</v>
      </c>
      <c r="H1210" s="34">
        <f>Tabela1[[#This Row],[PESO UNI]]*Tabela1[[#This Row],[QTE]]</f>
        <v>70.900000000000006</v>
      </c>
      <c r="I1210" s="7">
        <v>0</v>
      </c>
      <c r="J1210" s="8" t="s">
        <v>3045</v>
      </c>
      <c r="K1210" s="8" t="s">
        <v>4320</v>
      </c>
      <c r="L1210" s="9" t="s">
        <v>2984</v>
      </c>
      <c r="M1210" s="10">
        <v>46279</v>
      </c>
      <c r="N1210" s="8" t="s">
        <v>5105</v>
      </c>
      <c r="O1210" s="12"/>
      <c r="P1210" s="13"/>
      <c r="Q1210" s="14">
        <f>Tabela1[[#This Row],[QTDE/ Fabricação]]-Tabela1[[#This Row],[QTE]]</f>
        <v>-1</v>
      </c>
      <c r="R1210" s="18">
        <f t="shared" si="285"/>
        <v>17.725000000000001</v>
      </c>
      <c r="S1210" s="18">
        <f t="shared" si="286"/>
        <v>0</v>
      </c>
      <c r="T1210" s="19">
        <f t="shared" si="287"/>
        <v>-70.900000000000006</v>
      </c>
      <c r="U1210" s="16">
        <f>IFERROR(SUMIF('LISTA DE EMBARQUE'!B:B,MICRO!E:E,'LISTA DE EMBARQUE'!G:G),"")</f>
        <v>0</v>
      </c>
      <c r="V1210" s="12" t="str">
        <f>IFERROR(VLOOKUP(Tabela1[[#This Row],[COD.MDE]],'LISTA DE EMBARQUE'!B:L,11,0),"")</f>
        <v/>
      </c>
      <c r="W1210" s="13" t="str">
        <f>IFERROR(VLOOKUP(Tabela1[[#This Row],[COD.MDE]],'LISTA DE EMBARQUE'!B:M,12,0),"")</f>
        <v/>
      </c>
      <c r="X1210" s="14">
        <f>IFERROR(Tabela1[[#This Row],[QIANTIDADE EXPEDIDA]]*Tabela1[[#This Row],[PESO UNI]],"")</f>
        <v>0</v>
      </c>
      <c r="Y1210" s="14">
        <f t="shared" si="288"/>
        <v>-1</v>
      </c>
      <c r="Z1210" s="20">
        <f>Tabela1[[#This Row],[PESO TOTAL]]-Tabela1[[#This Row],[Peso Expedido]]</f>
        <v>70.900000000000006</v>
      </c>
      <c r="AA1210" s="17">
        <v>1</v>
      </c>
      <c r="AB1210" s="33"/>
      <c r="AC1210" s="33"/>
      <c r="AD1210" s="33"/>
      <c r="AE1210" s="33"/>
      <c r="AF1210" s="33"/>
      <c r="AG1210" s="33"/>
      <c r="AH1210" s="33"/>
      <c r="AI1210" s="33"/>
      <c r="AJ1210"/>
      <c r="AK1210"/>
      <c r="AL1210"/>
      <c r="AM1210"/>
      <c r="AN1210"/>
      <c r="AO1210"/>
      <c r="AP1210"/>
      <c r="AQ1210" s="22"/>
      <c r="AR1210" s="24"/>
      <c r="AS1210" s="37"/>
      <c r="AT1210" s="37"/>
      <c r="AU1210" s="37"/>
      <c r="AV1210" s="37"/>
      <c r="AW1210" s="37"/>
    </row>
    <row r="1211" spans="1:49" ht="15.75" customHeight="1" x14ac:dyDescent="0.25">
      <c r="A1211" s="1" t="s">
        <v>5717</v>
      </c>
      <c r="B1211" s="21" t="s">
        <v>5718</v>
      </c>
      <c r="C1211" s="1">
        <v>1</v>
      </c>
      <c r="D1211" s="1" t="s">
        <v>5724</v>
      </c>
      <c r="E1211" s="7">
        <v>4892</v>
      </c>
      <c r="F1211" s="7">
        <v>74</v>
      </c>
      <c r="G1211" s="1">
        <v>72.099999999999994</v>
      </c>
      <c r="H1211" s="34">
        <f>Tabela1[[#This Row],[PESO UNI]]*Tabela1[[#This Row],[QTE]]</f>
        <v>72.099999999999994</v>
      </c>
      <c r="I1211" s="7">
        <v>0</v>
      </c>
      <c r="J1211" s="8" t="s">
        <v>3045</v>
      </c>
      <c r="K1211" s="8" t="s">
        <v>4320</v>
      </c>
      <c r="L1211" s="9" t="s">
        <v>2984</v>
      </c>
      <c r="M1211" s="10">
        <v>46279</v>
      </c>
      <c r="N1211" s="8" t="s">
        <v>5105</v>
      </c>
      <c r="O1211" s="12"/>
      <c r="P1211" s="13"/>
      <c r="Q1211" s="14">
        <f>Tabela1[[#This Row],[QTDE/ Fabricação]]-Tabela1[[#This Row],[QTE]]</f>
        <v>-1</v>
      </c>
      <c r="R1211" s="18">
        <f t="shared" si="285"/>
        <v>18.024999999999999</v>
      </c>
      <c r="S1211" s="18">
        <f t="shared" si="286"/>
        <v>0</v>
      </c>
      <c r="T1211" s="19">
        <f t="shared" si="287"/>
        <v>-72.099999999999994</v>
      </c>
      <c r="U1211" s="16">
        <f>IFERROR(SUMIF('LISTA DE EMBARQUE'!B:B,MICRO!E:E,'LISTA DE EMBARQUE'!G:G),"")</f>
        <v>0</v>
      </c>
      <c r="V1211" s="12" t="str">
        <f>IFERROR(VLOOKUP(Tabela1[[#This Row],[COD.MDE]],'LISTA DE EMBARQUE'!B:L,11,0),"")</f>
        <v/>
      </c>
      <c r="W1211" s="13" t="str">
        <f>IFERROR(VLOOKUP(Tabela1[[#This Row],[COD.MDE]],'LISTA DE EMBARQUE'!B:M,12,0),"")</f>
        <v/>
      </c>
      <c r="X1211" s="14">
        <f>IFERROR(Tabela1[[#This Row],[QIANTIDADE EXPEDIDA]]*Tabela1[[#This Row],[PESO UNI]],"")</f>
        <v>0</v>
      </c>
      <c r="Y1211" s="14">
        <f t="shared" si="288"/>
        <v>-1</v>
      </c>
      <c r="Z1211" s="20">
        <f>Tabela1[[#This Row],[PESO TOTAL]]-Tabela1[[#This Row],[Peso Expedido]]</f>
        <v>72.099999999999994</v>
      </c>
      <c r="AA1211" s="17">
        <v>1</v>
      </c>
      <c r="AB1211" s="33"/>
      <c r="AC1211" s="33"/>
      <c r="AD1211" s="33"/>
      <c r="AE1211" s="33"/>
      <c r="AF1211" s="33"/>
      <c r="AG1211" s="33"/>
      <c r="AH1211" s="33"/>
      <c r="AI1211" s="33"/>
      <c r="AJ1211"/>
      <c r="AK1211"/>
      <c r="AL1211"/>
      <c r="AM1211"/>
      <c r="AN1211"/>
      <c r="AO1211"/>
      <c r="AP1211"/>
      <c r="AQ1211" s="22"/>
      <c r="AR1211" s="24"/>
      <c r="AS1211" s="37"/>
      <c r="AT1211" s="37"/>
      <c r="AU1211" s="37"/>
      <c r="AV1211" s="37"/>
      <c r="AW1211" s="37"/>
    </row>
    <row r="1212" spans="1:49" ht="15.75" customHeight="1" x14ac:dyDescent="0.25">
      <c r="A1212" s="1" t="s">
        <v>5717</v>
      </c>
      <c r="B1212" s="21" t="s">
        <v>5718</v>
      </c>
      <c r="C1212" s="1">
        <v>1</v>
      </c>
      <c r="D1212" s="1" t="s">
        <v>5725</v>
      </c>
      <c r="E1212" s="7">
        <v>4893</v>
      </c>
      <c r="F1212" s="7">
        <v>74</v>
      </c>
      <c r="G1212" s="1">
        <v>74.099999999999994</v>
      </c>
      <c r="H1212" s="34">
        <f>Tabela1[[#This Row],[PESO UNI]]*Tabela1[[#This Row],[QTE]]</f>
        <v>74.099999999999994</v>
      </c>
      <c r="I1212" s="7">
        <v>0</v>
      </c>
      <c r="J1212" s="8" t="s">
        <v>3045</v>
      </c>
      <c r="K1212" s="8" t="s">
        <v>4320</v>
      </c>
      <c r="L1212" s="9" t="s">
        <v>2984</v>
      </c>
      <c r="M1212" s="10">
        <v>46279</v>
      </c>
      <c r="N1212" s="8" t="s">
        <v>5105</v>
      </c>
      <c r="O1212" s="12"/>
      <c r="P1212" s="13"/>
      <c r="Q1212" s="14">
        <f>Tabela1[[#This Row],[QTDE/ Fabricação]]-Tabela1[[#This Row],[QTE]]</f>
        <v>-1</v>
      </c>
      <c r="R1212" s="18">
        <f t="shared" si="285"/>
        <v>18.524999999999999</v>
      </c>
      <c r="S1212" s="18">
        <f t="shared" si="286"/>
        <v>0</v>
      </c>
      <c r="T1212" s="19">
        <f t="shared" si="287"/>
        <v>-74.099999999999994</v>
      </c>
      <c r="U1212" s="16">
        <f>IFERROR(SUMIF('LISTA DE EMBARQUE'!B:B,MICRO!E:E,'LISTA DE EMBARQUE'!G:G),"")</f>
        <v>0</v>
      </c>
      <c r="V1212" s="12" t="str">
        <f>IFERROR(VLOOKUP(Tabela1[[#This Row],[COD.MDE]],'LISTA DE EMBARQUE'!B:L,11,0),"")</f>
        <v/>
      </c>
      <c r="W1212" s="13" t="str">
        <f>IFERROR(VLOOKUP(Tabela1[[#This Row],[COD.MDE]],'LISTA DE EMBARQUE'!B:M,12,0),"")</f>
        <v/>
      </c>
      <c r="X1212" s="14">
        <f>IFERROR(Tabela1[[#This Row],[QIANTIDADE EXPEDIDA]]*Tabela1[[#This Row],[PESO UNI]],"")</f>
        <v>0</v>
      </c>
      <c r="Y1212" s="14">
        <f t="shared" si="288"/>
        <v>-1</v>
      </c>
      <c r="Z1212" s="20">
        <f>Tabela1[[#This Row],[PESO TOTAL]]-Tabela1[[#This Row],[Peso Expedido]]</f>
        <v>74.099999999999994</v>
      </c>
      <c r="AA1212" s="17">
        <v>1</v>
      </c>
      <c r="AB1212" s="33"/>
      <c r="AC1212" s="33"/>
      <c r="AD1212" s="33"/>
      <c r="AE1212" s="33"/>
      <c r="AF1212" s="33"/>
      <c r="AG1212" s="33"/>
      <c r="AH1212" s="33"/>
      <c r="AI1212" s="33"/>
      <c r="AJ1212"/>
      <c r="AK1212"/>
      <c r="AL1212"/>
      <c r="AM1212"/>
      <c r="AN1212"/>
      <c r="AO1212"/>
      <c r="AP1212"/>
      <c r="AQ1212" s="22"/>
      <c r="AR1212" s="24"/>
      <c r="AS1212" s="37"/>
      <c r="AT1212" s="37"/>
      <c r="AU1212" s="37"/>
      <c r="AV1212" s="37"/>
      <c r="AW1212" s="37"/>
    </row>
    <row r="1213" spans="1:49" ht="15.75" customHeight="1" x14ac:dyDescent="0.25">
      <c r="A1213" s="1" t="s">
        <v>5717</v>
      </c>
      <c r="B1213" s="21" t="s">
        <v>5718</v>
      </c>
      <c r="C1213" s="1">
        <v>4</v>
      </c>
      <c r="D1213" s="1" t="s">
        <v>5726</v>
      </c>
      <c r="E1213" s="7">
        <v>4894</v>
      </c>
      <c r="F1213" s="7">
        <v>74</v>
      </c>
      <c r="G1213" s="1">
        <v>14.9</v>
      </c>
      <c r="H1213" s="34">
        <f>Tabela1[[#This Row],[PESO UNI]]*Tabela1[[#This Row],[QTE]]</f>
        <v>59.6</v>
      </c>
      <c r="I1213" s="7">
        <v>0</v>
      </c>
      <c r="J1213" s="8" t="s">
        <v>3045</v>
      </c>
      <c r="K1213" s="8" t="s">
        <v>4320</v>
      </c>
      <c r="L1213" s="9" t="s">
        <v>2984</v>
      </c>
      <c r="M1213" s="10">
        <v>46279</v>
      </c>
      <c r="N1213" s="8" t="s">
        <v>5105</v>
      </c>
      <c r="O1213" s="12"/>
      <c r="P1213" s="13"/>
      <c r="Q1213" s="14">
        <f>Tabela1[[#This Row],[QTDE/ Fabricação]]-Tabela1[[#This Row],[QTE]]</f>
        <v>-4</v>
      </c>
      <c r="R1213" s="18">
        <f t="shared" si="285"/>
        <v>14.9</v>
      </c>
      <c r="S1213" s="18">
        <f t="shared" si="286"/>
        <v>0</v>
      </c>
      <c r="T1213" s="19">
        <f t="shared" si="287"/>
        <v>-59.6</v>
      </c>
      <c r="U1213" s="16">
        <f>IFERROR(SUMIF('LISTA DE EMBARQUE'!B:B,MICRO!E:E,'LISTA DE EMBARQUE'!G:G),"")</f>
        <v>0</v>
      </c>
      <c r="V1213" s="12" t="str">
        <f>IFERROR(VLOOKUP(Tabela1[[#This Row],[COD.MDE]],'LISTA DE EMBARQUE'!B:L,11,0),"")</f>
        <v/>
      </c>
      <c r="W1213" s="13" t="str">
        <f>IFERROR(VLOOKUP(Tabela1[[#This Row],[COD.MDE]],'LISTA DE EMBARQUE'!B:M,12,0),"")</f>
        <v/>
      </c>
      <c r="X1213" s="14">
        <f>IFERROR(Tabela1[[#This Row],[QIANTIDADE EXPEDIDA]]*Tabela1[[#This Row],[PESO UNI]],"")</f>
        <v>0</v>
      </c>
      <c r="Y1213" s="14">
        <f t="shared" si="288"/>
        <v>-4</v>
      </c>
      <c r="Z1213" s="20">
        <f>Tabela1[[#This Row],[PESO TOTAL]]-Tabela1[[#This Row],[Peso Expedido]]</f>
        <v>59.6</v>
      </c>
      <c r="AA1213" s="17">
        <v>1</v>
      </c>
      <c r="AB1213" s="33"/>
      <c r="AC1213" s="33"/>
      <c r="AD1213" s="33"/>
      <c r="AE1213" s="33"/>
      <c r="AF1213" s="33"/>
      <c r="AG1213" s="33"/>
      <c r="AH1213" s="33"/>
      <c r="AI1213" s="33"/>
      <c r="AJ1213"/>
      <c r="AK1213"/>
      <c r="AL1213"/>
      <c r="AM1213"/>
      <c r="AN1213"/>
      <c r="AO1213"/>
      <c r="AP1213"/>
      <c r="AQ1213" s="22"/>
      <c r="AR1213" s="24"/>
      <c r="AS1213" s="37"/>
      <c r="AT1213" s="37"/>
      <c r="AU1213" s="37"/>
      <c r="AV1213" s="37"/>
      <c r="AW1213" s="37"/>
    </row>
    <row r="1214" spans="1:49" ht="15.75" customHeight="1" x14ac:dyDescent="0.25">
      <c r="A1214" s="1" t="s">
        <v>5717</v>
      </c>
      <c r="B1214" s="21" t="s">
        <v>5718</v>
      </c>
      <c r="C1214" s="1">
        <v>2</v>
      </c>
      <c r="D1214" s="1" t="s">
        <v>5727</v>
      </c>
      <c r="E1214" s="7">
        <v>4895</v>
      </c>
      <c r="F1214" s="7">
        <v>74</v>
      </c>
      <c r="G1214" s="1">
        <v>12</v>
      </c>
      <c r="H1214" s="34">
        <f>Tabela1[[#This Row],[PESO UNI]]*Tabela1[[#This Row],[QTE]]</f>
        <v>24</v>
      </c>
      <c r="I1214" s="7">
        <v>0</v>
      </c>
      <c r="J1214" s="8" t="s">
        <v>3045</v>
      </c>
      <c r="K1214" s="8" t="s">
        <v>4320</v>
      </c>
      <c r="L1214" s="9" t="s">
        <v>2984</v>
      </c>
      <c r="M1214" s="10">
        <v>46279</v>
      </c>
      <c r="N1214" s="8" t="s">
        <v>5105</v>
      </c>
      <c r="O1214" s="12"/>
      <c r="P1214" s="13"/>
      <c r="Q1214" s="14">
        <f>Tabela1[[#This Row],[QTDE/ Fabricação]]-Tabela1[[#This Row],[QTE]]</f>
        <v>-2</v>
      </c>
      <c r="R1214" s="18">
        <f t="shared" si="285"/>
        <v>6</v>
      </c>
      <c r="S1214" s="18">
        <f t="shared" si="286"/>
        <v>0</v>
      </c>
      <c r="T1214" s="19">
        <f t="shared" si="287"/>
        <v>-24</v>
      </c>
      <c r="U1214" s="16">
        <f>IFERROR(SUMIF('LISTA DE EMBARQUE'!B:B,MICRO!E:E,'LISTA DE EMBARQUE'!G:G),"")</f>
        <v>0</v>
      </c>
      <c r="V1214" s="12" t="str">
        <f>IFERROR(VLOOKUP(Tabela1[[#This Row],[COD.MDE]],'LISTA DE EMBARQUE'!B:L,11,0),"")</f>
        <v/>
      </c>
      <c r="W1214" s="13" t="str">
        <f>IFERROR(VLOOKUP(Tabela1[[#This Row],[COD.MDE]],'LISTA DE EMBARQUE'!B:M,12,0),"")</f>
        <v/>
      </c>
      <c r="X1214" s="14">
        <f>IFERROR(Tabela1[[#This Row],[QIANTIDADE EXPEDIDA]]*Tabela1[[#This Row],[PESO UNI]],"")</f>
        <v>0</v>
      </c>
      <c r="Y1214" s="14">
        <f t="shared" si="288"/>
        <v>-2</v>
      </c>
      <c r="Z1214" s="20">
        <f>Tabela1[[#This Row],[PESO TOTAL]]-Tabela1[[#This Row],[Peso Expedido]]</f>
        <v>24</v>
      </c>
      <c r="AA1214" s="17">
        <v>1</v>
      </c>
      <c r="AB1214" s="33"/>
      <c r="AC1214" s="33"/>
      <c r="AD1214" s="33"/>
      <c r="AE1214" s="33"/>
      <c r="AF1214" s="33"/>
      <c r="AG1214" s="33"/>
      <c r="AH1214" s="33"/>
      <c r="AI1214" s="33"/>
      <c r="AJ1214"/>
      <c r="AK1214"/>
      <c r="AL1214"/>
      <c r="AM1214"/>
      <c r="AN1214"/>
      <c r="AO1214"/>
      <c r="AP1214"/>
      <c r="AQ1214" s="22"/>
      <c r="AR1214" s="24"/>
      <c r="AS1214" s="37"/>
      <c r="AT1214" s="37"/>
      <c r="AU1214" s="37"/>
      <c r="AV1214" s="37"/>
      <c r="AW1214" s="37"/>
    </row>
    <row r="1215" spans="1:49" ht="15.75" customHeight="1" x14ac:dyDescent="0.25">
      <c r="A1215" s="1" t="s">
        <v>5717</v>
      </c>
      <c r="B1215" s="21" t="s">
        <v>5718</v>
      </c>
      <c r="C1215" s="1">
        <v>2</v>
      </c>
      <c r="D1215" s="1" t="s">
        <v>5728</v>
      </c>
      <c r="E1215" s="7">
        <v>4896</v>
      </c>
      <c r="F1215" s="7">
        <v>74</v>
      </c>
      <c r="G1215" s="1">
        <v>17.2</v>
      </c>
      <c r="H1215" s="34">
        <f>Tabela1[[#This Row],[PESO UNI]]*Tabela1[[#This Row],[QTE]]</f>
        <v>34.4</v>
      </c>
      <c r="I1215" s="7">
        <v>0</v>
      </c>
      <c r="J1215" s="8" t="s">
        <v>3045</v>
      </c>
      <c r="K1215" s="8" t="s">
        <v>4320</v>
      </c>
      <c r="L1215" s="9" t="s">
        <v>2984</v>
      </c>
      <c r="M1215" s="10">
        <v>46279</v>
      </c>
      <c r="N1215" s="8" t="s">
        <v>5105</v>
      </c>
      <c r="O1215" s="12"/>
      <c r="P1215" s="13"/>
      <c r="Q1215" s="14">
        <f>Tabela1[[#This Row],[QTDE/ Fabricação]]-Tabela1[[#This Row],[QTE]]</f>
        <v>-2</v>
      </c>
      <c r="R1215" s="18">
        <f t="shared" si="285"/>
        <v>8.6</v>
      </c>
      <c r="S1215" s="18">
        <f t="shared" si="286"/>
        <v>0</v>
      </c>
      <c r="T1215" s="19">
        <f t="shared" si="287"/>
        <v>-34.4</v>
      </c>
      <c r="U1215" s="16">
        <f>IFERROR(SUMIF('LISTA DE EMBARQUE'!B:B,MICRO!E:E,'LISTA DE EMBARQUE'!G:G),"")</f>
        <v>0</v>
      </c>
      <c r="V1215" s="12" t="str">
        <f>IFERROR(VLOOKUP(Tabela1[[#This Row],[COD.MDE]],'LISTA DE EMBARQUE'!B:L,11,0),"")</f>
        <v/>
      </c>
      <c r="W1215" s="13" t="str">
        <f>IFERROR(VLOOKUP(Tabela1[[#This Row],[COD.MDE]],'LISTA DE EMBARQUE'!B:M,12,0),"")</f>
        <v/>
      </c>
      <c r="X1215" s="14">
        <f>IFERROR(Tabela1[[#This Row],[QIANTIDADE EXPEDIDA]]*Tabela1[[#This Row],[PESO UNI]],"")</f>
        <v>0</v>
      </c>
      <c r="Y1215" s="14">
        <f t="shared" si="288"/>
        <v>-2</v>
      </c>
      <c r="Z1215" s="20">
        <f>Tabela1[[#This Row],[PESO TOTAL]]-Tabela1[[#This Row],[Peso Expedido]]</f>
        <v>34.4</v>
      </c>
      <c r="AA1215" s="17">
        <v>1</v>
      </c>
      <c r="AB1215" s="33"/>
      <c r="AC1215" s="33"/>
      <c r="AD1215" s="33"/>
      <c r="AE1215" s="33"/>
      <c r="AF1215" s="33"/>
      <c r="AG1215" s="33"/>
      <c r="AH1215" s="33"/>
      <c r="AI1215" s="33"/>
      <c r="AJ1215"/>
      <c r="AK1215"/>
      <c r="AL1215"/>
      <c r="AM1215"/>
      <c r="AN1215"/>
      <c r="AO1215"/>
      <c r="AP1215"/>
      <c r="AQ1215" s="22"/>
      <c r="AR1215" s="24"/>
      <c r="AS1215" s="37"/>
      <c r="AT1215" s="37"/>
      <c r="AU1215" s="37"/>
      <c r="AV1215" s="37"/>
      <c r="AW1215" s="37"/>
    </row>
    <row r="1216" spans="1:49" ht="15.75" customHeight="1" x14ac:dyDescent="0.25">
      <c r="A1216" s="1" t="s">
        <v>5717</v>
      </c>
      <c r="B1216" s="21" t="s">
        <v>5718</v>
      </c>
      <c r="C1216" s="1">
        <v>2</v>
      </c>
      <c r="D1216" s="1" t="s">
        <v>5729</v>
      </c>
      <c r="E1216" s="7">
        <v>4897</v>
      </c>
      <c r="F1216" s="7">
        <v>74</v>
      </c>
      <c r="G1216" s="1">
        <v>448.3</v>
      </c>
      <c r="H1216" s="34">
        <f>Tabela1[[#This Row],[PESO UNI]]*Tabela1[[#This Row],[QTE]]</f>
        <v>896.6</v>
      </c>
      <c r="I1216" s="7">
        <v>0</v>
      </c>
      <c r="J1216" s="8" t="s">
        <v>3045</v>
      </c>
      <c r="K1216" s="8" t="s">
        <v>4320</v>
      </c>
      <c r="L1216" s="9" t="s">
        <v>2984</v>
      </c>
      <c r="M1216" s="10">
        <v>46279</v>
      </c>
      <c r="N1216" s="8" t="s">
        <v>5105</v>
      </c>
      <c r="O1216" s="12"/>
      <c r="P1216" s="13"/>
      <c r="Q1216" s="14">
        <f>Tabela1[[#This Row],[QTDE/ Fabricação]]-Tabela1[[#This Row],[QTE]]</f>
        <v>-2</v>
      </c>
      <c r="R1216" s="18">
        <f t="shared" si="285"/>
        <v>224.15</v>
      </c>
      <c r="S1216" s="18">
        <f t="shared" si="286"/>
        <v>0</v>
      </c>
      <c r="T1216" s="19">
        <f t="shared" si="287"/>
        <v>-896.6</v>
      </c>
      <c r="U1216" s="16">
        <f>IFERROR(SUMIF('LISTA DE EMBARQUE'!B:B,MICRO!E:E,'LISTA DE EMBARQUE'!G:G),"")</f>
        <v>0</v>
      </c>
      <c r="V1216" s="12" t="str">
        <f>IFERROR(VLOOKUP(Tabela1[[#This Row],[COD.MDE]],'LISTA DE EMBARQUE'!B:L,11,0),"")</f>
        <v/>
      </c>
      <c r="W1216" s="13" t="str">
        <f>IFERROR(VLOOKUP(Tabela1[[#This Row],[COD.MDE]],'LISTA DE EMBARQUE'!B:M,12,0),"")</f>
        <v/>
      </c>
      <c r="X1216" s="14">
        <f>IFERROR(Tabela1[[#This Row],[QIANTIDADE EXPEDIDA]]*Tabela1[[#This Row],[PESO UNI]],"")</f>
        <v>0</v>
      </c>
      <c r="Y1216" s="14">
        <f t="shared" si="288"/>
        <v>-2</v>
      </c>
      <c r="Z1216" s="20">
        <f>Tabela1[[#This Row],[PESO TOTAL]]-Tabela1[[#This Row],[Peso Expedido]]</f>
        <v>896.6</v>
      </c>
      <c r="AA1216" s="17">
        <v>1</v>
      </c>
      <c r="AB1216" s="33"/>
      <c r="AC1216" s="33"/>
      <c r="AD1216" s="33"/>
      <c r="AE1216" s="33"/>
      <c r="AF1216" s="33"/>
      <c r="AG1216" s="33"/>
      <c r="AH1216" s="33"/>
      <c r="AI1216" s="33"/>
      <c r="AJ1216"/>
      <c r="AK1216"/>
      <c r="AL1216"/>
      <c r="AM1216"/>
      <c r="AN1216"/>
      <c r="AO1216"/>
      <c r="AP1216"/>
      <c r="AQ1216" s="22"/>
      <c r="AR1216" s="24"/>
      <c r="AS1216" s="37"/>
      <c r="AT1216" s="37"/>
      <c r="AU1216" s="37"/>
      <c r="AV1216" s="37"/>
      <c r="AW1216" s="37"/>
    </row>
    <row r="1217" spans="1:49" ht="15.75" customHeight="1" x14ac:dyDescent="0.25">
      <c r="A1217" s="1" t="s">
        <v>5717</v>
      </c>
      <c r="B1217" s="21" t="s">
        <v>5718</v>
      </c>
      <c r="C1217" s="1">
        <v>2</v>
      </c>
      <c r="D1217" s="1" t="s">
        <v>5730</v>
      </c>
      <c r="E1217" s="7">
        <v>4898</v>
      </c>
      <c r="F1217" s="7">
        <v>74</v>
      </c>
      <c r="G1217" s="1">
        <v>87</v>
      </c>
      <c r="H1217" s="34">
        <f>Tabela1[[#This Row],[PESO UNI]]*Tabela1[[#This Row],[QTE]]</f>
        <v>174</v>
      </c>
      <c r="I1217" s="7">
        <v>0</v>
      </c>
      <c r="J1217" s="8" t="s">
        <v>3045</v>
      </c>
      <c r="K1217" s="8" t="s">
        <v>4320</v>
      </c>
      <c r="L1217" s="9" t="s">
        <v>2984</v>
      </c>
      <c r="M1217" s="10">
        <v>46279</v>
      </c>
      <c r="N1217" s="8" t="s">
        <v>5105</v>
      </c>
      <c r="O1217" s="12"/>
      <c r="P1217" s="13"/>
      <c r="Q1217" s="14">
        <f>Tabela1[[#This Row],[QTDE/ Fabricação]]-Tabela1[[#This Row],[QTE]]</f>
        <v>-2</v>
      </c>
      <c r="R1217" s="18">
        <f t="shared" si="285"/>
        <v>43.5</v>
      </c>
      <c r="S1217" s="18">
        <f t="shared" si="286"/>
        <v>0</v>
      </c>
      <c r="T1217" s="19">
        <f t="shared" si="287"/>
        <v>-174</v>
      </c>
      <c r="U1217" s="16">
        <f>IFERROR(SUMIF('LISTA DE EMBARQUE'!B:B,MICRO!E:E,'LISTA DE EMBARQUE'!G:G),"")</f>
        <v>0</v>
      </c>
      <c r="V1217" s="12" t="str">
        <f>IFERROR(VLOOKUP(Tabela1[[#This Row],[COD.MDE]],'LISTA DE EMBARQUE'!B:L,11,0),"")</f>
        <v/>
      </c>
      <c r="W1217" s="13" t="str">
        <f>IFERROR(VLOOKUP(Tabela1[[#This Row],[COD.MDE]],'LISTA DE EMBARQUE'!B:M,12,0),"")</f>
        <v/>
      </c>
      <c r="X1217" s="14">
        <f>IFERROR(Tabela1[[#This Row],[QIANTIDADE EXPEDIDA]]*Tabela1[[#This Row],[PESO UNI]],"")</f>
        <v>0</v>
      </c>
      <c r="Y1217" s="14">
        <f t="shared" si="288"/>
        <v>-2</v>
      </c>
      <c r="Z1217" s="20">
        <f>Tabela1[[#This Row],[PESO TOTAL]]-Tabela1[[#This Row],[Peso Expedido]]</f>
        <v>174</v>
      </c>
      <c r="AA1217" s="17">
        <v>1</v>
      </c>
      <c r="AB1217" s="33"/>
      <c r="AC1217" s="33"/>
      <c r="AD1217" s="33"/>
      <c r="AE1217" s="33"/>
      <c r="AF1217" s="33"/>
      <c r="AG1217" s="33"/>
      <c r="AH1217" s="33"/>
      <c r="AI1217" s="33"/>
      <c r="AJ1217"/>
      <c r="AK1217"/>
      <c r="AL1217"/>
      <c r="AM1217"/>
      <c r="AN1217"/>
      <c r="AO1217"/>
      <c r="AP1217"/>
      <c r="AQ1217" s="22"/>
      <c r="AR1217" s="24"/>
      <c r="AS1217" s="37"/>
      <c r="AT1217" s="37"/>
      <c r="AU1217" s="37"/>
      <c r="AV1217" s="37"/>
      <c r="AW1217" s="37"/>
    </row>
    <row r="1218" spans="1:49" ht="15.75" customHeight="1" x14ac:dyDescent="0.25">
      <c r="A1218" s="1" t="s">
        <v>5717</v>
      </c>
      <c r="B1218" s="21" t="s">
        <v>5718</v>
      </c>
      <c r="C1218" s="1">
        <v>2</v>
      </c>
      <c r="D1218" s="1" t="s">
        <v>5731</v>
      </c>
      <c r="E1218" s="7">
        <v>4899</v>
      </c>
      <c r="F1218" s="7">
        <v>74</v>
      </c>
      <c r="G1218" s="1">
        <v>75</v>
      </c>
      <c r="H1218" s="34">
        <f>Tabela1[[#This Row],[PESO UNI]]*Tabela1[[#This Row],[QTE]]</f>
        <v>150</v>
      </c>
      <c r="I1218" s="7">
        <v>0</v>
      </c>
      <c r="J1218" s="8" t="s">
        <v>3045</v>
      </c>
      <c r="K1218" s="8" t="s">
        <v>4320</v>
      </c>
      <c r="L1218" s="9" t="s">
        <v>2984</v>
      </c>
      <c r="M1218" s="10">
        <v>46279</v>
      </c>
      <c r="N1218" s="8" t="s">
        <v>5105</v>
      </c>
      <c r="O1218" s="12"/>
      <c r="P1218" s="13"/>
      <c r="Q1218" s="14">
        <f>Tabela1[[#This Row],[QTDE/ Fabricação]]-Tabela1[[#This Row],[QTE]]</f>
        <v>-2</v>
      </c>
      <c r="R1218" s="18">
        <f t="shared" si="285"/>
        <v>37.5</v>
      </c>
      <c r="S1218" s="18">
        <f t="shared" si="286"/>
        <v>0</v>
      </c>
      <c r="T1218" s="19">
        <f t="shared" si="287"/>
        <v>-150</v>
      </c>
      <c r="U1218" s="16">
        <f>IFERROR(SUMIF('LISTA DE EMBARQUE'!B:B,MICRO!E:E,'LISTA DE EMBARQUE'!G:G),"")</f>
        <v>0</v>
      </c>
      <c r="V1218" s="12" t="str">
        <f>IFERROR(VLOOKUP(Tabela1[[#This Row],[COD.MDE]],'LISTA DE EMBARQUE'!B:L,11,0),"")</f>
        <v/>
      </c>
      <c r="W1218" s="13" t="str">
        <f>IFERROR(VLOOKUP(Tabela1[[#This Row],[COD.MDE]],'LISTA DE EMBARQUE'!B:M,12,0),"")</f>
        <v/>
      </c>
      <c r="X1218" s="14">
        <f>IFERROR(Tabela1[[#This Row],[QIANTIDADE EXPEDIDA]]*Tabela1[[#This Row],[PESO UNI]],"")</f>
        <v>0</v>
      </c>
      <c r="Y1218" s="14">
        <f t="shared" si="288"/>
        <v>-2</v>
      </c>
      <c r="Z1218" s="20">
        <f>Tabela1[[#This Row],[PESO TOTAL]]-Tabela1[[#This Row],[Peso Expedido]]</f>
        <v>150</v>
      </c>
      <c r="AA1218" s="17">
        <v>1</v>
      </c>
      <c r="AB1218" s="33"/>
      <c r="AC1218" s="33"/>
      <c r="AD1218" s="33"/>
      <c r="AE1218" s="33"/>
      <c r="AF1218" s="33"/>
      <c r="AG1218" s="33"/>
      <c r="AH1218" s="33"/>
      <c r="AI1218" s="33"/>
      <c r="AJ1218"/>
      <c r="AK1218"/>
      <c r="AL1218"/>
      <c r="AM1218"/>
      <c r="AN1218"/>
      <c r="AO1218"/>
      <c r="AP1218"/>
      <c r="AQ1218" s="22"/>
      <c r="AR1218" s="24"/>
      <c r="AS1218" s="37"/>
      <c r="AT1218" s="37"/>
      <c r="AU1218" s="37"/>
      <c r="AV1218" s="37"/>
      <c r="AW1218" s="37"/>
    </row>
    <row r="1219" spans="1:49" ht="15.75" customHeight="1" x14ac:dyDescent="0.25">
      <c r="A1219" s="1" t="s">
        <v>5717</v>
      </c>
      <c r="B1219" s="21" t="s">
        <v>5718</v>
      </c>
      <c r="C1219" s="1">
        <v>32</v>
      </c>
      <c r="D1219" s="1" t="s">
        <v>5732</v>
      </c>
      <c r="E1219" s="7">
        <v>4900</v>
      </c>
      <c r="F1219" s="7">
        <v>74</v>
      </c>
      <c r="G1219" s="1">
        <v>3.5</v>
      </c>
      <c r="H1219" s="34">
        <f>Tabela1[[#This Row],[PESO UNI]]*Tabela1[[#This Row],[QTE]]</f>
        <v>112</v>
      </c>
      <c r="I1219" s="7">
        <v>0</v>
      </c>
      <c r="J1219" s="8" t="s">
        <v>3045</v>
      </c>
      <c r="K1219" s="8" t="s">
        <v>4320</v>
      </c>
      <c r="L1219" s="9" t="s">
        <v>2984</v>
      </c>
      <c r="M1219" s="10">
        <v>46279</v>
      </c>
      <c r="N1219" s="8" t="s">
        <v>5105</v>
      </c>
      <c r="O1219" s="12"/>
      <c r="P1219" s="13"/>
      <c r="Q1219" s="14">
        <f>Tabela1[[#This Row],[QTDE/ Fabricação]]-Tabela1[[#This Row],[QTE]]</f>
        <v>-32</v>
      </c>
      <c r="R1219" s="18">
        <f t="shared" si="285"/>
        <v>28</v>
      </c>
      <c r="S1219" s="18">
        <f t="shared" si="286"/>
        <v>0</v>
      </c>
      <c r="T1219" s="19">
        <f t="shared" si="287"/>
        <v>-112</v>
      </c>
      <c r="U1219" s="16">
        <f>IFERROR(SUMIF('LISTA DE EMBARQUE'!B:B,MICRO!E:E,'LISTA DE EMBARQUE'!G:G),"")</f>
        <v>0</v>
      </c>
      <c r="V1219" s="12" t="str">
        <f>IFERROR(VLOOKUP(Tabela1[[#This Row],[COD.MDE]],'LISTA DE EMBARQUE'!B:L,11,0),"")</f>
        <v/>
      </c>
      <c r="W1219" s="13" t="str">
        <f>IFERROR(VLOOKUP(Tabela1[[#This Row],[COD.MDE]],'LISTA DE EMBARQUE'!B:M,12,0),"")</f>
        <v/>
      </c>
      <c r="X1219" s="14">
        <f>IFERROR(Tabela1[[#This Row],[QIANTIDADE EXPEDIDA]]*Tabela1[[#This Row],[PESO UNI]],"")</f>
        <v>0</v>
      </c>
      <c r="Y1219" s="14">
        <f t="shared" si="288"/>
        <v>-32</v>
      </c>
      <c r="Z1219" s="20">
        <f>Tabela1[[#This Row],[PESO TOTAL]]-Tabela1[[#This Row],[Peso Expedido]]</f>
        <v>112</v>
      </c>
      <c r="AA1219" s="17">
        <v>1</v>
      </c>
      <c r="AB1219" s="33"/>
      <c r="AC1219" s="33"/>
      <c r="AD1219" s="33"/>
      <c r="AE1219" s="33"/>
      <c r="AF1219" s="33"/>
      <c r="AG1219" s="33"/>
      <c r="AH1219" s="33"/>
      <c r="AI1219" s="33"/>
      <c r="AJ1219"/>
      <c r="AK1219"/>
      <c r="AL1219"/>
      <c r="AM1219"/>
      <c r="AN1219"/>
      <c r="AO1219"/>
      <c r="AP1219"/>
      <c r="AQ1219" s="22"/>
      <c r="AR1219" s="24"/>
      <c r="AS1219" s="37"/>
      <c r="AT1219" s="37"/>
      <c r="AU1219" s="37"/>
      <c r="AV1219" s="37"/>
      <c r="AW1219" s="37"/>
    </row>
    <row r="1220" spans="1:49" ht="15.75" customHeight="1" x14ac:dyDescent="0.25">
      <c r="A1220" s="1" t="s">
        <v>5717</v>
      </c>
      <c r="B1220" s="21" t="s">
        <v>5718</v>
      </c>
      <c r="C1220" s="1">
        <v>64</v>
      </c>
      <c r="D1220" s="1" t="s">
        <v>5733</v>
      </c>
      <c r="E1220" s="7">
        <v>4901</v>
      </c>
      <c r="F1220" s="7">
        <v>74</v>
      </c>
      <c r="G1220" s="1">
        <v>1.5</v>
      </c>
      <c r="H1220" s="34">
        <f>Tabela1[[#This Row],[PESO UNI]]*Tabela1[[#This Row],[QTE]]</f>
        <v>96</v>
      </c>
      <c r="I1220" s="7">
        <v>0</v>
      </c>
      <c r="J1220" s="8" t="s">
        <v>3045</v>
      </c>
      <c r="K1220" s="8" t="s">
        <v>4320</v>
      </c>
      <c r="L1220" s="9" t="s">
        <v>2984</v>
      </c>
      <c r="M1220" s="10">
        <v>46279</v>
      </c>
      <c r="N1220" s="8" t="s">
        <v>5105</v>
      </c>
      <c r="O1220" s="12"/>
      <c r="P1220" s="13"/>
      <c r="Q1220" s="14">
        <f>Tabela1[[#This Row],[QTDE/ Fabricação]]-Tabela1[[#This Row],[QTE]]</f>
        <v>-64</v>
      </c>
      <c r="R1220" s="18">
        <f t="shared" si="285"/>
        <v>24</v>
      </c>
      <c r="S1220" s="18">
        <f t="shared" si="286"/>
        <v>0</v>
      </c>
      <c r="T1220" s="19">
        <f t="shared" si="287"/>
        <v>-96</v>
      </c>
      <c r="U1220" s="16">
        <f>IFERROR(SUMIF('LISTA DE EMBARQUE'!B:B,MICRO!E:E,'LISTA DE EMBARQUE'!G:G),"")</f>
        <v>0</v>
      </c>
      <c r="V1220" s="12" t="str">
        <f>IFERROR(VLOOKUP(Tabela1[[#This Row],[COD.MDE]],'LISTA DE EMBARQUE'!B:L,11,0),"")</f>
        <v/>
      </c>
      <c r="W1220" s="13" t="str">
        <f>IFERROR(VLOOKUP(Tabela1[[#This Row],[COD.MDE]],'LISTA DE EMBARQUE'!B:M,12,0),"")</f>
        <v/>
      </c>
      <c r="X1220" s="14">
        <f>IFERROR(Tabela1[[#This Row],[QIANTIDADE EXPEDIDA]]*Tabela1[[#This Row],[PESO UNI]],"")</f>
        <v>0</v>
      </c>
      <c r="Y1220" s="14">
        <f t="shared" si="288"/>
        <v>-64</v>
      </c>
      <c r="Z1220" s="20">
        <f>Tabela1[[#This Row],[PESO TOTAL]]-Tabela1[[#This Row],[Peso Expedido]]</f>
        <v>96</v>
      </c>
      <c r="AA1220" s="17">
        <v>1</v>
      </c>
      <c r="AB1220" s="33"/>
      <c r="AC1220" s="33"/>
      <c r="AD1220" s="33"/>
      <c r="AE1220" s="33"/>
      <c r="AF1220" s="33"/>
      <c r="AG1220" s="33"/>
      <c r="AH1220" s="33"/>
      <c r="AI1220" s="33"/>
      <c r="AJ1220"/>
      <c r="AK1220"/>
      <c r="AL1220"/>
      <c r="AM1220"/>
      <c r="AN1220"/>
      <c r="AO1220"/>
      <c r="AP1220"/>
      <c r="AQ1220" s="22"/>
      <c r="AR1220" s="24"/>
      <c r="AS1220" s="37"/>
      <c r="AT1220" s="37"/>
      <c r="AU1220" s="37"/>
      <c r="AV1220" s="37"/>
      <c r="AW1220" s="37"/>
    </row>
    <row r="1221" spans="1:49" ht="15.75" customHeight="1" x14ac:dyDescent="0.25">
      <c r="A1221" s="1" t="s">
        <v>5717</v>
      </c>
      <c r="B1221" s="21" t="s">
        <v>5718</v>
      </c>
      <c r="C1221" s="1">
        <v>32</v>
      </c>
      <c r="D1221" s="1" t="s">
        <v>5734</v>
      </c>
      <c r="E1221" s="7">
        <v>4902</v>
      </c>
      <c r="F1221" s="7">
        <v>74</v>
      </c>
      <c r="G1221" s="1">
        <v>2.8</v>
      </c>
      <c r="H1221" s="34">
        <f>Tabela1[[#This Row],[PESO UNI]]*Tabela1[[#This Row],[QTE]]</f>
        <v>89.6</v>
      </c>
      <c r="I1221" s="7">
        <v>0</v>
      </c>
      <c r="J1221" s="8" t="s">
        <v>3045</v>
      </c>
      <c r="K1221" s="8" t="s">
        <v>4320</v>
      </c>
      <c r="L1221" s="9" t="s">
        <v>2984</v>
      </c>
      <c r="M1221" s="10">
        <v>46279</v>
      </c>
      <c r="N1221" s="8" t="s">
        <v>5105</v>
      </c>
      <c r="O1221" s="12"/>
      <c r="P1221" s="13"/>
      <c r="Q1221" s="14">
        <f>Tabela1[[#This Row],[QTDE/ Fabricação]]-Tabela1[[#This Row],[QTE]]</f>
        <v>-32</v>
      </c>
      <c r="R1221" s="18">
        <f t="shared" si="285"/>
        <v>22.4</v>
      </c>
      <c r="S1221" s="18">
        <f t="shared" si="286"/>
        <v>0</v>
      </c>
      <c r="T1221" s="19">
        <f t="shared" si="287"/>
        <v>-89.6</v>
      </c>
      <c r="U1221" s="16">
        <f>IFERROR(SUMIF('LISTA DE EMBARQUE'!B:B,MICRO!E:E,'LISTA DE EMBARQUE'!G:G),"")</f>
        <v>0</v>
      </c>
      <c r="V1221" s="12" t="str">
        <f>IFERROR(VLOOKUP(Tabela1[[#This Row],[COD.MDE]],'LISTA DE EMBARQUE'!B:L,11,0),"")</f>
        <v/>
      </c>
      <c r="W1221" s="13" t="str">
        <f>IFERROR(VLOOKUP(Tabela1[[#This Row],[COD.MDE]],'LISTA DE EMBARQUE'!B:M,12,0),"")</f>
        <v/>
      </c>
      <c r="X1221" s="14">
        <f>IFERROR(Tabela1[[#This Row],[QIANTIDADE EXPEDIDA]]*Tabela1[[#This Row],[PESO UNI]],"")</f>
        <v>0</v>
      </c>
      <c r="Y1221" s="14">
        <f t="shared" si="288"/>
        <v>-32</v>
      </c>
      <c r="Z1221" s="20">
        <f>Tabela1[[#This Row],[PESO TOTAL]]-Tabela1[[#This Row],[Peso Expedido]]</f>
        <v>89.6</v>
      </c>
      <c r="AA1221" s="17">
        <v>1</v>
      </c>
      <c r="AB1221" s="33"/>
      <c r="AC1221" s="33"/>
      <c r="AD1221" s="33"/>
      <c r="AE1221" s="33"/>
      <c r="AF1221" s="33"/>
      <c r="AG1221" s="33"/>
      <c r="AH1221" s="33"/>
      <c r="AI1221" s="33"/>
      <c r="AJ1221"/>
      <c r="AK1221"/>
      <c r="AL1221"/>
      <c r="AM1221"/>
      <c r="AN1221"/>
      <c r="AO1221"/>
      <c r="AP1221"/>
      <c r="AQ1221" s="22"/>
      <c r="AR1221" s="24"/>
      <c r="AS1221" s="37"/>
      <c r="AT1221" s="37"/>
      <c r="AU1221" s="37"/>
      <c r="AV1221" s="37"/>
      <c r="AW1221" s="37"/>
    </row>
    <row r="1222" spans="1:49" ht="15.75" customHeight="1" x14ac:dyDescent="0.25">
      <c r="A1222" s="1" t="s">
        <v>5735</v>
      </c>
      <c r="B1222" s="21" t="s">
        <v>5736</v>
      </c>
      <c r="C1222" s="1">
        <v>2</v>
      </c>
      <c r="D1222" s="1" t="s">
        <v>5737</v>
      </c>
      <c r="E1222" s="7">
        <v>4903</v>
      </c>
      <c r="F1222" s="7">
        <v>74</v>
      </c>
      <c r="G1222" s="1">
        <v>92.9</v>
      </c>
      <c r="H1222" s="34">
        <f>Tabela1[[#This Row],[PESO UNI]]*Tabela1[[#This Row],[QTE]]</f>
        <v>185.8</v>
      </c>
      <c r="I1222" s="7">
        <v>0</v>
      </c>
      <c r="J1222" s="8" t="s">
        <v>3045</v>
      </c>
      <c r="K1222" s="8" t="s">
        <v>4320</v>
      </c>
      <c r="L1222" s="9" t="s">
        <v>2984</v>
      </c>
      <c r="M1222" s="10">
        <v>46279</v>
      </c>
      <c r="N1222" s="8" t="s">
        <v>5105</v>
      </c>
      <c r="O1222" s="12"/>
      <c r="P1222" s="13"/>
      <c r="Q1222" s="14">
        <f>Tabela1[[#This Row],[QTDE/ Fabricação]]-Tabela1[[#This Row],[QTE]]</f>
        <v>-2</v>
      </c>
      <c r="R1222" s="18">
        <f t="shared" ref="R1222:R1232" si="289">IFERROR(H1222*((AA1222*0.25)+(AC1222*0.25)+(AD1222*0.225)+(AE1222*0.225)+(AF1222*0.05)),"")</f>
        <v>46.45</v>
      </c>
      <c r="S1222" s="18">
        <f t="shared" ref="S1222:S1232" si="290">IFERROR(H1222*AG1222,"")</f>
        <v>0</v>
      </c>
      <c r="T1222" s="19">
        <f t="shared" ref="T1222:T1232" si="291">IFERROR(S1222-H1222,"")</f>
        <v>-185.8</v>
      </c>
      <c r="U1222" s="16">
        <f>IFERROR(SUMIF('LISTA DE EMBARQUE'!B:B,MICRO!E:E,'LISTA DE EMBARQUE'!G:G),"")</f>
        <v>0</v>
      </c>
      <c r="V1222" s="12" t="str">
        <f>IFERROR(VLOOKUP(Tabela1[[#This Row],[COD.MDE]],'LISTA DE EMBARQUE'!B:L,11,0),"")</f>
        <v/>
      </c>
      <c r="W1222" s="13" t="str">
        <f>IFERROR(VLOOKUP(Tabela1[[#This Row],[COD.MDE]],'LISTA DE EMBARQUE'!B:M,12,0),"")</f>
        <v/>
      </c>
      <c r="X1222" s="14">
        <f>IFERROR(Tabela1[[#This Row],[QIANTIDADE EXPEDIDA]]*Tabela1[[#This Row],[PESO UNI]],"")</f>
        <v>0</v>
      </c>
      <c r="Y1222" s="14">
        <f t="shared" ref="Y1222:Y1232" si="292">U1222-C1222</f>
        <v>-2</v>
      </c>
      <c r="Z1222" s="20">
        <f>Tabela1[[#This Row],[PESO TOTAL]]-Tabela1[[#This Row],[Peso Expedido]]</f>
        <v>185.8</v>
      </c>
      <c r="AA1222" s="17">
        <v>1</v>
      </c>
      <c r="AB1222" s="33"/>
      <c r="AC1222" s="33"/>
      <c r="AD1222" s="33"/>
      <c r="AE1222" s="33"/>
      <c r="AF1222" s="33"/>
      <c r="AG1222" s="33"/>
      <c r="AH1222" s="33"/>
      <c r="AI1222" s="33"/>
      <c r="AJ1222"/>
      <c r="AK1222"/>
      <c r="AL1222"/>
      <c r="AM1222"/>
      <c r="AN1222"/>
      <c r="AO1222"/>
      <c r="AP1222"/>
      <c r="AQ1222" s="22"/>
      <c r="AR1222" s="24"/>
      <c r="AS1222" s="37"/>
      <c r="AT1222" s="37"/>
      <c r="AU1222" s="37"/>
      <c r="AV1222" s="37"/>
      <c r="AW1222" s="37"/>
    </row>
    <row r="1223" spans="1:49" ht="15.75" customHeight="1" x14ac:dyDescent="0.25">
      <c r="A1223" s="208" t="s">
        <v>5738</v>
      </c>
      <c r="B1223" s="21" t="s">
        <v>5739</v>
      </c>
      <c r="C1223" s="206">
        <v>2</v>
      </c>
      <c r="D1223" s="206" t="s">
        <v>5740</v>
      </c>
      <c r="E1223" s="242">
        <v>4904</v>
      </c>
      <c r="F1223" s="192">
        <v>75</v>
      </c>
      <c r="G1223" s="1">
        <v>145.5</v>
      </c>
      <c r="H1223" s="34">
        <f>Tabela1[[#This Row],[PESO UNI]]*Tabela1[[#This Row],[QTE]]</f>
        <v>291</v>
      </c>
      <c r="I1223" s="7">
        <v>0</v>
      </c>
      <c r="J1223" s="8" t="s">
        <v>3140</v>
      </c>
      <c r="K1223" s="8" t="s">
        <v>4320</v>
      </c>
      <c r="L1223" s="9" t="s">
        <v>2984</v>
      </c>
      <c r="M1223" s="10">
        <v>46280</v>
      </c>
      <c r="N1223" s="8" t="s">
        <v>38</v>
      </c>
      <c r="O1223" s="12"/>
      <c r="P1223" s="13"/>
      <c r="Q1223" s="14">
        <f>Tabela1[[#This Row],[QTDE/ Fabricação]]-Tabela1[[#This Row],[QTE]]</f>
        <v>-2</v>
      </c>
      <c r="R1223" s="18">
        <f t="shared" si="289"/>
        <v>72.75</v>
      </c>
      <c r="S1223" s="18">
        <f t="shared" si="290"/>
        <v>0</v>
      </c>
      <c r="T1223" s="19">
        <f t="shared" si="291"/>
        <v>-291</v>
      </c>
      <c r="U1223" s="16">
        <f>IFERROR(SUMIF('LISTA DE EMBARQUE'!B:B,MICRO!E:E,'LISTA DE EMBARQUE'!G:G),"")</f>
        <v>0</v>
      </c>
      <c r="V1223" s="12" t="str">
        <f>IFERROR(VLOOKUP(Tabela1[[#This Row],[COD.MDE]],'LISTA DE EMBARQUE'!B:L,11,0),"")</f>
        <v/>
      </c>
      <c r="W1223" s="13" t="str">
        <f>IFERROR(VLOOKUP(Tabela1[[#This Row],[COD.MDE]],'LISTA DE EMBARQUE'!B:M,12,0),"")</f>
        <v/>
      </c>
      <c r="X1223" s="14">
        <f>IFERROR(Tabela1[[#This Row],[QIANTIDADE EXPEDIDA]]*Tabela1[[#This Row],[PESO UNI]],"")</f>
        <v>0</v>
      </c>
      <c r="Y1223" s="14">
        <f t="shared" si="292"/>
        <v>-2</v>
      </c>
      <c r="Z1223" s="20">
        <f>Tabela1[[#This Row],[PESO TOTAL]]-Tabela1[[#This Row],[Peso Expedido]]</f>
        <v>291</v>
      </c>
      <c r="AA1223" s="17">
        <v>1</v>
      </c>
      <c r="AB1223" s="33"/>
      <c r="AC1223" s="33"/>
      <c r="AD1223" s="33"/>
      <c r="AE1223" s="33"/>
      <c r="AF1223" s="33"/>
      <c r="AG1223" s="33"/>
      <c r="AH1223" s="33"/>
      <c r="AI1223" s="33"/>
      <c r="AJ1223"/>
      <c r="AK1223"/>
      <c r="AL1223"/>
      <c r="AM1223"/>
      <c r="AN1223"/>
      <c r="AO1223"/>
      <c r="AP1223"/>
      <c r="AQ1223" s="22"/>
      <c r="AR1223" s="24"/>
      <c r="AS1223" s="37"/>
      <c r="AT1223" s="37"/>
      <c r="AU1223" s="37"/>
      <c r="AV1223" s="37"/>
      <c r="AW1223" s="37"/>
    </row>
    <row r="1224" spans="1:49" ht="15.75" customHeight="1" x14ac:dyDescent="0.25">
      <c r="A1224" s="208" t="s">
        <v>5738</v>
      </c>
      <c r="B1224" s="21" t="s">
        <v>5739</v>
      </c>
      <c r="C1224" s="206">
        <v>1</v>
      </c>
      <c r="D1224" s="206" t="s">
        <v>5741</v>
      </c>
      <c r="E1224" s="242">
        <v>4905</v>
      </c>
      <c r="F1224" s="192">
        <v>75</v>
      </c>
      <c r="G1224" s="1">
        <v>18.5</v>
      </c>
      <c r="H1224" s="34">
        <f>Tabela1[[#This Row],[PESO UNI]]*Tabela1[[#This Row],[QTE]]</f>
        <v>18.5</v>
      </c>
      <c r="I1224" s="7">
        <v>0</v>
      </c>
      <c r="J1224" s="8" t="s">
        <v>3140</v>
      </c>
      <c r="K1224" s="8" t="s">
        <v>4320</v>
      </c>
      <c r="L1224" s="9" t="s">
        <v>2984</v>
      </c>
      <c r="M1224" s="10">
        <v>46280</v>
      </c>
      <c r="N1224" s="8" t="s">
        <v>38</v>
      </c>
      <c r="O1224" s="12"/>
      <c r="P1224" s="13"/>
      <c r="Q1224" s="14">
        <f>Tabela1[[#This Row],[QTDE/ Fabricação]]-Tabela1[[#This Row],[QTE]]</f>
        <v>-1</v>
      </c>
      <c r="R1224" s="18">
        <f t="shared" si="289"/>
        <v>4.625</v>
      </c>
      <c r="S1224" s="18">
        <f t="shared" si="290"/>
        <v>0</v>
      </c>
      <c r="T1224" s="19">
        <f t="shared" si="291"/>
        <v>-18.5</v>
      </c>
      <c r="U1224" s="16">
        <f>IFERROR(SUMIF('LISTA DE EMBARQUE'!B:B,MICRO!E:E,'LISTA DE EMBARQUE'!G:G),"")</f>
        <v>0</v>
      </c>
      <c r="V1224" s="12" t="str">
        <f>IFERROR(VLOOKUP(Tabela1[[#This Row],[COD.MDE]],'LISTA DE EMBARQUE'!B:L,11,0),"")</f>
        <v/>
      </c>
      <c r="W1224" s="13" t="str">
        <f>IFERROR(VLOOKUP(Tabela1[[#This Row],[COD.MDE]],'LISTA DE EMBARQUE'!B:M,12,0),"")</f>
        <v/>
      </c>
      <c r="X1224" s="14">
        <f>IFERROR(Tabela1[[#This Row],[QIANTIDADE EXPEDIDA]]*Tabela1[[#This Row],[PESO UNI]],"")</f>
        <v>0</v>
      </c>
      <c r="Y1224" s="14">
        <f t="shared" si="292"/>
        <v>-1</v>
      </c>
      <c r="Z1224" s="20">
        <f>Tabela1[[#This Row],[PESO TOTAL]]-Tabela1[[#This Row],[Peso Expedido]]</f>
        <v>18.5</v>
      </c>
      <c r="AA1224" s="17">
        <v>1</v>
      </c>
      <c r="AB1224" s="33"/>
      <c r="AC1224" s="33"/>
      <c r="AD1224" s="33"/>
      <c r="AE1224" s="33"/>
      <c r="AF1224" s="33"/>
      <c r="AG1224" s="33"/>
      <c r="AH1224" s="33"/>
      <c r="AI1224" s="33"/>
      <c r="AJ1224"/>
      <c r="AK1224"/>
      <c r="AL1224"/>
      <c r="AM1224"/>
      <c r="AN1224"/>
      <c r="AO1224"/>
      <c r="AP1224"/>
      <c r="AQ1224" s="22"/>
      <c r="AR1224" s="24"/>
      <c r="AS1224" s="37"/>
      <c r="AT1224" s="37"/>
      <c r="AU1224" s="37"/>
      <c r="AV1224" s="37"/>
      <c r="AW1224" s="37"/>
    </row>
    <row r="1225" spans="1:49" ht="15.75" customHeight="1" x14ac:dyDescent="0.25">
      <c r="A1225" s="208" t="s">
        <v>5738</v>
      </c>
      <c r="B1225" s="21" t="s">
        <v>5739</v>
      </c>
      <c r="C1225" s="206">
        <v>1</v>
      </c>
      <c r="D1225" s="206" t="s">
        <v>5742</v>
      </c>
      <c r="E1225" s="242">
        <v>4906</v>
      </c>
      <c r="F1225" s="192">
        <v>75</v>
      </c>
      <c r="G1225" s="1">
        <v>18.5</v>
      </c>
      <c r="H1225" s="34">
        <f>Tabela1[[#This Row],[PESO UNI]]*Tabela1[[#This Row],[QTE]]</f>
        <v>18.5</v>
      </c>
      <c r="I1225" s="7">
        <v>0</v>
      </c>
      <c r="J1225" s="8" t="s">
        <v>3140</v>
      </c>
      <c r="K1225" s="8" t="s">
        <v>4320</v>
      </c>
      <c r="L1225" s="9" t="s">
        <v>2984</v>
      </c>
      <c r="M1225" s="10">
        <v>46280</v>
      </c>
      <c r="N1225" s="8" t="s">
        <v>38</v>
      </c>
      <c r="O1225" s="12"/>
      <c r="P1225" s="13"/>
      <c r="Q1225" s="14">
        <f>Tabela1[[#This Row],[QTDE/ Fabricação]]-Tabela1[[#This Row],[QTE]]</f>
        <v>-1</v>
      </c>
      <c r="R1225" s="18">
        <f t="shared" si="289"/>
        <v>4.625</v>
      </c>
      <c r="S1225" s="18">
        <f t="shared" si="290"/>
        <v>0</v>
      </c>
      <c r="T1225" s="19">
        <f t="shared" si="291"/>
        <v>-18.5</v>
      </c>
      <c r="U1225" s="16">
        <f>IFERROR(SUMIF('LISTA DE EMBARQUE'!B:B,MICRO!E:E,'LISTA DE EMBARQUE'!G:G),"")</f>
        <v>0</v>
      </c>
      <c r="V1225" s="12" t="str">
        <f>IFERROR(VLOOKUP(Tabela1[[#This Row],[COD.MDE]],'LISTA DE EMBARQUE'!B:L,11,0),"")</f>
        <v/>
      </c>
      <c r="W1225" s="13" t="str">
        <f>IFERROR(VLOOKUP(Tabela1[[#This Row],[COD.MDE]],'LISTA DE EMBARQUE'!B:M,12,0),"")</f>
        <v/>
      </c>
      <c r="X1225" s="14">
        <f>IFERROR(Tabela1[[#This Row],[QIANTIDADE EXPEDIDA]]*Tabela1[[#This Row],[PESO UNI]],"")</f>
        <v>0</v>
      </c>
      <c r="Y1225" s="14">
        <f t="shared" si="292"/>
        <v>-1</v>
      </c>
      <c r="Z1225" s="20">
        <f>Tabela1[[#This Row],[PESO TOTAL]]-Tabela1[[#This Row],[Peso Expedido]]</f>
        <v>18.5</v>
      </c>
      <c r="AA1225" s="17">
        <v>1</v>
      </c>
      <c r="AB1225" s="33"/>
      <c r="AC1225" s="33"/>
      <c r="AD1225" s="33"/>
      <c r="AE1225" s="33"/>
      <c r="AF1225" s="33"/>
      <c r="AG1225" s="33"/>
      <c r="AH1225" s="33"/>
      <c r="AI1225" s="33"/>
      <c r="AJ1225"/>
      <c r="AK1225"/>
      <c r="AL1225"/>
      <c r="AM1225"/>
      <c r="AN1225"/>
      <c r="AO1225"/>
      <c r="AP1225"/>
      <c r="AQ1225" s="22"/>
      <c r="AR1225" s="24"/>
      <c r="AS1225" s="37"/>
      <c r="AT1225" s="37"/>
      <c r="AU1225" s="37"/>
      <c r="AV1225" s="37"/>
      <c r="AW1225" s="37"/>
    </row>
    <row r="1226" spans="1:49" ht="15.75" customHeight="1" x14ac:dyDescent="0.25">
      <c r="A1226" s="208" t="s">
        <v>5738</v>
      </c>
      <c r="B1226" s="21" t="s">
        <v>5739</v>
      </c>
      <c r="C1226" s="206">
        <v>2</v>
      </c>
      <c r="D1226" s="206" t="s">
        <v>5743</v>
      </c>
      <c r="E1226" s="242">
        <v>4907</v>
      </c>
      <c r="F1226" s="192">
        <v>75</v>
      </c>
      <c r="G1226" s="1">
        <v>48.5</v>
      </c>
      <c r="H1226" s="34">
        <f>Tabela1[[#This Row],[PESO UNI]]*Tabela1[[#This Row],[QTE]]</f>
        <v>97</v>
      </c>
      <c r="I1226" s="7">
        <v>0</v>
      </c>
      <c r="J1226" s="8" t="s">
        <v>3140</v>
      </c>
      <c r="K1226" s="8" t="s">
        <v>4320</v>
      </c>
      <c r="L1226" s="9" t="s">
        <v>2984</v>
      </c>
      <c r="M1226" s="10">
        <v>46280</v>
      </c>
      <c r="N1226" s="8" t="s">
        <v>38</v>
      </c>
      <c r="O1226" s="12"/>
      <c r="P1226" s="13"/>
      <c r="Q1226" s="14">
        <f>Tabela1[[#This Row],[QTDE/ Fabricação]]-Tabela1[[#This Row],[QTE]]</f>
        <v>-2</v>
      </c>
      <c r="R1226" s="18">
        <f t="shared" si="289"/>
        <v>24.25</v>
      </c>
      <c r="S1226" s="18">
        <f t="shared" si="290"/>
        <v>0</v>
      </c>
      <c r="T1226" s="19">
        <f t="shared" si="291"/>
        <v>-97</v>
      </c>
      <c r="U1226" s="16">
        <f>IFERROR(SUMIF('LISTA DE EMBARQUE'!B:B,MICRO!E:E,'LISTA DE EMBARQUE'!G:G),"")</f>
        <v>0</v>
      </c>
      <c r="V1226" s="12" t="str">
        <f>IFERROR(VLOOKUP(Tabela1[[#This Row],[COD.MDE]],'LISTA DE EMBARQUE'!B:L,11,0),"")</f>
        <v/>
      </c>
      <c r="W1226" s="13" t="str">
        <f>IFERROR(VLOOKUP(Tabela1[[#This Row],[COD.MDE]],'LISTA DE EMBARQUE'!B:M,12,0),"")</f>
        <v/>
      </c>
      <c r="X1226" s="14">
        <f>IFERROR(Tabela1[[#This Row],[QIANTIDADE EXPEDIDA]]*Tabela1[[#This Row],[PESO UNI]],"")</f>
        <v>0</v>
      </c>
      <c r="Y1226" s="14">
        <f t="shared" si="292"/>
        <v>-2</v>
      </c>
      <c r="Z1226" s="20">
        <f>Tabela1[[#This Row],[PESO TOTAL]]-Tabela1[[#This Row],[Peso Expedido]]</f>
        <v>97</v>
      </c>
      <c r="AA1226" s="17">
        <v>1</v>
      </c>
      <c r="AB1226" s="33"/>
      <c r="AC1226" s="33"/>
      <c r="AD1226" s="33"/>
      <c r="AE1226" s="33"/>
      <c r="AF1226" s="33"/>
      <c r="AG1226" s="33"/>
      <c r="AH1226" s="33"/>
      <c r="AI1226" s="33"/>
      <c r="AJ1226"/>
      <c r="AK1226"/>
      <c r="AL1226"/>
      <c r="AM1226"/>
      <c r="AN1226"/>
      <c r="AO1226"/>
      <c r="AP1226"/>
      <c r="AQ1226" s="22"/>
      <c r="AR1226" s="24"/>
      <c r="AS1226" s="37"/>
      <c r="AT1226" s="37"/>
      <c r="AU1226" s="37"/>
      <c r="AV1226" s="37"/>
      <c r="AW1226" s="37"/>
    </row>
    <row r="1227" spans="1:49" ht="15.75" customHeight="1" x14ac:dyDescent="0.25">
      <c r="A1227" s="208" t="s">
        <v>5738</v>
      </c>
      <c r="B1227" s="21" t="s">
        <v>5739</v>
      </c>
      <c r="C1227" s="206">
        <v>2</v>
      </c>
      <c r="D1227" s="206" t="s">
        <v>5744</v>
      </c>
      <c r="E1227" s="242">
        <v>4908</v>
      </c>
      <c r="F1227" s="192">
        <v>75</v>
      </c>
      <c r="G1227" s="1">
        <v>0.4</v>
      </c>
      <c r="H1227" s="34">
        <f>Tabela1[[#This Row],[PESO UNI]]*Tabela1[[#This Row],[QTE]]</f>
        <v>0.8</v>
      </c>
      <c r="I1227" s="7">
        <v>0</v>
      </c>
      <c r="J1227" s="8" t="s">
        <v>3140</v>
      </c>
      <c r="K1227" s="8" t="s">
        <v>4320</v>
      </c>
      <c r="L1227" s="9" t="s">
        <v>2984</v>
      </c>
      <c r="M1227" s="10">
        <v>46280</v>
      </c>
      <c r="N1227" s="8" t="s">
        <v>38</v>
      </c>
      <c r="O1227" s="12"/>
      <c r="P1227" s="13"/>
      <c r="Q1227" s="14">
        <f>Tabela1[[#This Row],[QTDE/ Fabricação]]-Tabela1[[#This Row],[QTE]]</f>
        <v>-2</v>
      </c>
      <c r="R1227" s="18">
        <f t="shared" si="289"/>
        <v>0.2</v>
      </c>
      <c r="S1227" s="18">
        <f t="shared" si="290"/>
        <v>0</v>
      </c>
      <c r="T1227" s="19">
        <f t="shared" si="291"/>
        <v>-0.8</v>
      </c>
      <c r="U1227" s="16">
        <f>IFERROR(SUMIF('LISTA DE EMBARQUE'!B:B,MICRO!E:E,'LISTA DE EMBARQUE'!G:G),"")</f>
        <v>0</v>
      </c>
      <c r="V1227" s="12" t="str">
        <f>IFERROR(VLOOKUP(Tabela1[[#This Row],[COD.MDE]],'LISTA DE EMBARQUE'!B:L,11,0),"")</f>
        <v/>
      </c>
      <c r="W1227" s="13" t="str">
        <f>IFERROR(VLOOKUP(Tabela1[[#This Row],[COD.MDE]],'LISTA DE EMBARQUE'!B:M,12,0),"")</f>
        <v/>
      </c>
      <c r="X1227" s="14">
        <f>IFERROR(Tabela1[[#This Row],[QIANTIDADE EXPEDIDA]]*Tabela1[[#This Row],[PESO UNI]],"")</f>
        <v>0</v>
      </c>
      <c r="Y1227" s="14">
        <f t="shared" si="292"/>
        <v>-2</v>
      </c>
      <c r="Z1227" s="20">
        <f>Tabela1[[#This Row],[PESO TOTAL]]-Tabela1[[#This Row],[Peso Expedido]]</f>
        <v>0.8</v>
      </c>
      <c r="AA1227" s="17">
        <v>1</v>
      </c>
      <c r="AB1227" s="33"/>
      <c r="AC1227" s="33"/>
      <c r="AD1227" s="33"/>
      <c r="AE1227" s="33"/>
      <c r="AF1227" s="33"/>
      <c r="AG1227" s="33"/>
      <c r="AH1227" s="33"/>
      <c r="AI1227" s="33"/>
      <c r="AJ1227"/>
      <c r="AK1227"/>
      <c r="AL1227"/>
      <c r="AM1227"/>
      <c r="AN1227"/>
      <c r="AO1227"/>
      <c r="AP1227"/>
      <c r="AQ1227" s="22"/>
      <c r="AR1227" s="24"/>
      <c r="AS1227" s="37"/>
      <c r="AT1227" s="37"/>
      <c r="AU1227" s="37"/>
      <c r="AV1227" s="37"/>
      <c r="AW1227" s="37"/>
    </row>
    <row r="1228" spans="1:49" ht="15.75" customHeight="1" x14ac:dyDescent="0.25">
      <c r="A1228" s="208" t="s">
        <v>5738</v>
      </c>
      <c r="B1228" s="21" t="s">
        <v>5739</v>
      </c>
      <c r="C1228" s="206">
        <v>2</v>
      </c>
      <c r="D1228" s="206" t="s">
        <v>5745</v>
      </c>
      <c r="E1228" s="242">
        <v>4909</v>
      </c>
      <c r="F1228" s="192">
        <v>75</v>
      </c>
      <c r="G1228" s="1">
        <v>0.8</v>
      </c>
      <c r="H1228" s="34">
        <f>Tabela1[[#This Row],[PESO UNI]]*Tabela1[[#This Row],[QTE]]</f>
        <v>1.6</v>
      </c>
      <c r="I1228" s="7">
        <v>0</v>
      </c>
      <c r="J1228" s="8" t="s">
        <v>3140</v>
      </c>
      <c r="K1228" s="8" t="s">
        <v>4320</v>
      </c>
      <c r="L1228" s="9" t="s">
        <v>2984</v>
      </c>
      <c r="M1228" s="10">
        <v>46280</v>
      </c>
      <c r="N1228" s="8" t="s">
        <v>38</v>
      </c>
      <c r="O1228" s="12"/>
      <c r="P1228" s="13"/>
      <c r="Q1228" s="14">
        <f>Tabela1[[#This Row],[QTDE/ Fabricação]]-Tabela1[[#This Row],[QTE]]</f>
        <v>-2</v>
      </c>
      <c r="R1228" s="18">
        <f t="shared" si="289"/>
        <v>0.4</v>
      </c>
      <c r="S1228" s="18">
        <f t="shared" si="290"/>
        <v>0</v>
      </c>
      <c r="T1228" s="19">
        <f t="shared" si="291"/>
        <v>-1.6</v>
      </c>
      <c r="U1228" s="16">
        <f>IFERROR(SUMIF('LISTA DE EMBARQUE'!B:B,MICRO!E:E,'LISTA DE EMBARQUE'!G:G),"")</f>
        <v>0</v>
      </c>
      <c r="V1228" s="12" t="str">
        <f>IFERROR(VLOOKUP(Tabela1[[#This Row],[COD.MDE]],'LISTA DE EMBARQUE'!B:L,11,0),"")</f>
        <v/>
      </c>
      <c r="W1228" s="13" t="str">
        <f>IFERROR(VLOOKUP(Tabela1[[#This Row],[COD.MDE]],'LISTA DE EMBARQUE'!B:M,12,0),"")</f>
        <v/>
      </c>
      <c r="X1228" s="14">
        <f>IFERROR(Tabela1[[#This Row],[QIANTIDADE EXPEDIDA]]*Tabela1[[#This Row],[PESO UNI]],"")</f>
        <v>0</v>
      </c>
      <c r="Y1228" s="14">
        <f t="shared" si="292"/>
        <v>-2</v>
      </c>
      <c r="Z1228" s="20">
        <f>Tabela1[[#This Row],[PESO TOTAL]]-Tabela1[[#This Row],[Peso Expedido]]</f>
        <v>1.6</v>
      </c>
      <c r="AA1228" s="17">
        <v>1</v>
      </c>
      <c r="AB1228" s="33"/>
      <c r="AC1228" s="33"/>
      <c r="AD1228" s="33"/>
      <c r="AE1228" s="33"/>
      <c r="AF1228" s="33"/>
      <c r="AG1228" s="33"/>
      <c r="AH1228" s="33"/>
      <c r="AI1228" s="33"/>
      <c r="AJ1228"/>
      <c r="AK1228"/>
      <c r="AL1228"/>
      <c r="AM1228"/>
      <c r="AN1228"/>
      <c r="AO1228"/>
      <c r="AP1228"/>
      <c r="AQ1228" s="22"/>
      <c r="AR1228" s="24"/>
      <c r="AS1228" s="37"/>
      <c r="AT1228" s="37"/>
      <c r="AU1228" s="37"/>
      <c r="AV1228" s="37"/>
      <c r="AW1228" s="37"/>
    </row>
    <row r="1229" spans="1:49" ht="15.75" customHeight="1" x14ac:dyDescent="0.25">
      <c r="A1229" s="208" t="s">
        <v>5738</v>
      </c>
      <c r="B1229" s="21" t="s">
        <v>5739</v>
      </c>
      <c r="C1229" s="206">
        <v>2</v>
      </c>
      <c r="D1229" s="206" t="s">
        <v>5746</v>
      </c>
      <c r="E1229" s="242">
        <v>4910</v>
      </c>
      <c r="F1229" s="192">
        <v>75</v>
      </c>
      <c r="G1229" s="1">
        <v>77.3</v>
      </c>
      <c r="H1229" s="34">
        <f>Tabela1[[#This Row],[PESO UNI]]*Tabela1[[#This Row],[QTE]]</f>
        <v>154.6</v>
      </c>
      <c r="I1229" s="7">
        <v>0</v>
      </c>
      <c r="J1229" s="8" t="s">
        <v>3140</v>
      </c>
      <c r="K1229" s="8" t="s">
        <v>4320</v>
      </c>
      <c r="L1229" s="9" t="s">
        <v>2984</v>
      </c>
      <c r="M1229" s="10">
        <v>46280</v>
      </c>
      <c r="N1229" s="8" t="s">
        <v>38</v>
      </c>
      <c r="O1229" s="12"/>
      <c r="P1229" s="13"/>
      <c r="Q1229" s="14">
        <f>Tabela1[[#This Row],[QTDE/ Fabricação]]-Tabela1[[#This Row],[QTE]]</f>
        <v>-2</v>
      </c>
      <c r="R1229" s="18">
        <f t="shared" si="289"/>
        <v>38.65</v>
      </c>
      <c r="S1229" s="18">
        <f t="shared" si="290"/>
        <v>0</v>
      </c>
      <c r="T1229" s="19">
        <f t="shared" si="291"/>
        <v>-154.6</v>
      </c>
      <c r="U1229" s="16">
        <f>IFERROR(SUMIF('LISTA DE EMBARQUE'!B:B,MICRO!E:E,'LISTA DE EMBARQUE'!G:G),"")</f>
        <v>0</v>
      </c>
      <c r="V1229" s="12" t="str">
        <f>IFERROR(VLOOKUP(Tabela1[[#This Row],[COD.MDE]],'LISTA DE EMBARQUE'!B:L,11,0),"")</f>
        <v/>
      </c>
      <c r="W1229" s="13" t="str">
        <f>IFERROR(VLOOKUP(Tabela1[[#This Row],[COD.MDE]],'LISTA DE EMBARQUE'!B:M,12,0),"")</f>
        <v/>
      </c>
      <c r="X1229" s="14">
        <f>IFERROR(Tabela1[[#This Row],[QIANTIDADE EXPEDIDA]]*Tabela1[[#This Row],[PESO UNI]],"")</f>
        <v>0</v>
      </c>
      <c r="Y1229" s="14">
        <f t="shared" si="292"/>
        <v>-2</v>
      </c>
      <c r="Z1229" s="20">
        <f>Tabela1[[#This Row],[PESO TOTAL]]-Tabela1[[#This Row],[Peso Expedido]]</f>
        <v>154.6</v>
      </c>
      <c r="AA1229" s="17">
        <v>1</v>
      </c>
      <c r="AB1229" s="33"/>
      <c r="AC1229" s="33"/>
      <c r="AD1229" s="33"/>
      <c r="AE1229" s="33"/>
      <c r="AF1229" s="33"/>
      <c r="AG1229" s="33"/>
      <c r="AH1229" s="33"/>
      <c r="AI1229" s="33"/>
      <c r="AJ1229"/>
      <c r="AK1229"/>
      <c r="AL1229"/>
      <c r="AM1229"/>
      <c r="AN1229"/>
      <c r="AO1229"/>
      <c r="AP1229"/>
      <c r="AQ1229" s="22"/>
      <c r="AR1229" s="24"/>
      <c r="AS1229" s="37"/>
      <c r="AT1229" s="37"/>
      <c r="AU1229" s="37"/>
      <c r="AV1229" s="37"/>
      <c r="AW1229" s="37"/>
    </row>
    <row r="1230" spans="1:49" ht="15.75" customHeight="1" x14ac:dyDescent="0.25">
      <c r="A1230" s="208" t="s">
        <v>5738</v>
      </c>
      <c r="B1230" s="21" t="s">
        <v>5739</v>
      </c>
      <c r="C1230" s="206">
        <v>2</v>
      </c>
      <c r="D1230" s="206" t="s">
        <v>5747</v>
      </c>
      <c r="E1230" s="242">
        <v>4911</v>
      </c>
      <c r="F1230" s="192">
        <v>75</v>
      </c>
      <c r="G1230" s="1">
        <v>0.9</v>
      </c>
      <c r="H1230" s="34">
        <f>Tabela1[[#This Row],[PESO UNI]]*Tabela1[[#This Row],[QTE]]</f>
        <v>1.8</v>
      </c>
      <c r="I1230" s="7">
        <v>0</v>
      </c>
      <c r="J1230" s="8" t="s">
        <v>3140</v>
      </c>
      <c r="K1230" s="8" t="s">
        <v>4320</v>
      </c>
      <c r="L1230" s="9" t="s">
        <v>2984</v>
      </c>
      <c r="M1230" s="10">
        <v>46280</v>
      </c>
      <c r="N1230" s="8" t="s">
        <v>38</v>
      </c>
      <c r="O1230" s="12"/>
      <c r="P1230" s="13"/>
      <c r="Q1230" s="14">
        <f>Tabela1[[#This Row],[QTDE/ Fabricação]]-Tabela1[[#This Row],[QTE]]</f>
        <v>-2</v>
      </c>
      <c r="R1230" s="18">
        <f t="shared" si="289"/>
        <v>0.45</v>
      </c>
      <c r="S1230" s="18">
        <f t="shared" si="290"/>
        <v>0</v>
      </c>
      <c r="T1230" s="19">
        <f t="shared" si="291"/>
        <v>-1.8</v>
      </c>
      <c r="U1230" s="16">
        <f>IFERROR(SUMIF('LISTA DE EMBARQUE'!B:B,MICRO!E:E,'LISTA DE EMBARQUE'!G:G),"")</f>
        <v>0</v>
      </c>
      <c r="V1230" s="12" t="str">
        <f>IFERROR(VLOOKUP(Tabela1[[#This Row],[COD.MDE]],'LISTA DE EMBARQUE'!B:L,11,0),"")</f>
        <v/>
      </c>
      <c r="W1230" s="13" t="str">
        <f>IFERROR(VLOOKUP(Tabela1[[#This Row],[COD.MDE]],'LISTA DE EMBARQUE'!B:M,12,0),"")</f>
        <v/>
      </c>
      <c r="X1230" s="14">
        <f>IFERROR(Tabela1[[#This Row],[QIANTIDADE EXPEDIDA]]*Tabela1[[#This Row],[PESO UNI]],"")</f>
        <v>0</v>
      </c>
      <c r="Y1230" s="14">
        <f t="shared" si="292"/>
        <v>-2</v>
      </c>
      <c r="Z1230" s="20">
        <f>Tabela1[[#This Row],[PESO TOTAL]]-Tabela1[[#This Row],[Peso Expedido]]</f>
        <v>1.8</v>
      </c>
      <c r="AA1230" s="17">
        <v>1</v>
      </c>
      <c r="AB1230" s="33"/>
      <c r="AC1230" s="33"/>
      <c r="AD1230" s="33"/>
      <c r="AE1230" s="33"/>
      <c r="AF1230" s="33"/>
      <c r="AG1230" s="33"/>
      <c r="AH1230" s="33"/>
      <c r="AI1230" s="33"/>
      <c r="AJ1230"/>
      <c r="AK1230"/>
      <c r="AL1230"/>
      <c r="AM1230"/>
      <c r="AN1230"/>
      <c r="AO1230"/>
      <c r="AP1230"/>
      <c r="AQ1230" s="22"/>
      <c r="AR1230" s="24"/>
      <c r="AS1230" s="37"/>
      <c r="AT1230" s="37"/>
      <c r="AU1230" s="37"/>
      <c r="AV1230" s="37"/>
      <c r="AW1230" s="37"/>
    </row>
    <row r="1231" spans="1:49" ht="15.75" customHeight="1" x14ac:dyDescent="0.25">
      <c r="A1231" s="208" t="s">
        <v>5738</v>
      </c>
      <c r="B1231" s="21" t="s">
        <v>5739</v>
      </c>
      <c r="C1231" s="206">
        <v>4</v>
      </c>
      <c r="D1231" s="206" t="s">
        <v>5748</v>
      </c>
      <c r="E1231" s="242">
        <v>4912</v>
      </c>
      <c r="F1231" s="192">
        <v>75</v>
      </c>
      <c r="G1231" s="1">
        <v>4.7</v>
      </c>
      <c r="H1231" s="34">
        <f>Tabela1[[#This Row],[PESO UNI]]*Tabela1[[#This Row],[QTE]]</f>
        <v>18.8</v>
      </c>
      <c r="I1231" s="7">
        <v>0</v>
      </c>
      <c r="J1231" s="8" t="s">
        <v>3140</v>
      </c>
      <c r="K1231" s="8" t="s">
        <v>4320</v>
      </c>
      <c r="L1231" s="9" t="s">
        <v>2984</v>
      </c>
      <c r="M1231" s="10">
        <v>46280</v>
      </c>
      <c r="N1231" s="8" t="s">
        <v>38</v>
      </c>
      <c r="O1231" s="12"/>
      <c r="P1231" s="13"/>
      <c r="Q1231" s="14">
        <f>Tabela1[[#This Row],[QTDE/ Fabricação]]-Tabela1[[#This Row],[QTE]]</f>
        <v>-4</v>
      </c>
      <c r="R1231" s="18">
        <f t="shared" si="289"/>
        <v>4.7</v>
      </c>
      <c r="S1231" s="18">
        <f t="shared" si="290"/>
        <v>0</v>
      </c>
      <c r="T1231" s="19">
        <f t="shared" si="291"/>
        <v>-18.8</v>
      </c>
      <c r="U1231" s="16">
        <f>IFERROR(SUMIF('LISTA DE EMBARQUE'!B:B,MICRO!E:E,'LISTA DE EMBARQUE'!G:G),"")</f>
        <v>0</v>
      </c>
      <c r="V1231" s="12" t="str">
        <f>IFERROR(VLOOKUP(Tabela1[[#This Row],[COD.MDE]],'LISTA DE EMBARQUE'!B:L,11,0),"")</f>
        <v/>
      </c>
      <c r="W1231" s="13" t="str">
        <f>IFERROR(VLOOKUP(Tabela1[[#This Row],[COD.MDE]],'LISTA DE EMBARQUE'!B:M,12,0),"")</f>
        <v/>
      </c>
      <c r="X1231" s="14">
        <f>IFERROR(Tabela1[[#This Row],[QIANTIDADE EXPEDIDA]]*Tabela1[[#This Row],[PESO UNI]],"")</f>
        <v>0</v>
      </c>
      <c r="Y1231" s="14">
        <f t="shared" si="292"/>
        <v>-4</v>
      </c>
      <c r="Z1231" s="20">
        <f>Tabela1[[#This Row],[PESO TOTAL]]-Tabela1[[#This Row],[Peso Expedido]]</f>
        <v>18.8</v>
      </c>
      <c r="AA1231" s="17">
        <v>1</v>
      </c>
      <c r="AB1231" s="33"/>
      <c r="AC1231" s="33"/>
      <c r="AD1231" s="33"/>
      <c r="AE1231" s="33"/>
      <c r="AF1231" s="33"/>
      <c r="AG1231" s="33"/>
      <c r="AH1231" s="33"/>
      <c r="AI1231" s="33"/>
      <c r="AJ1231"/>
      <c r="AK1231"/>
      <c r="AL1231"/>
      <c r="AM1231"/>
      <c r="AN1231"/>
      <c r="AO1231"/>
      <c r="AP1231"/>
      <c r="AQ1231" s="22"/>
      <c r="AR1231" s="24"/>
      <c r="AS1231" s="37"/>
      <c r="AT1231" s="37"/>
      <c r="AU1231" s="37"/>
      <c r="AV1231" s="37"/>
      <c r="AW1231" s="37"/>
    </row>
    <row r="1232" spans="1:49" ht="15.75" customHeight="1" x14ac:dyDescent="0.25">
      <c r="A1232" s="208" t="s">
        <v>5738</v>
      </c>
      <c r="B1232" s="21" t="s">
        <v>5739</v>
      </c>
      <c r="C1232" s="206">
        <v>2</v>
      </c>
      <c r="D1232" s="206" t="s">
        <v>5749</v>
      </c>
      <c r="E1232" s="242">
        <v>4913</v>
      </c>
      <c r="F1232" s="192">
        <v>75</v>
      </c>
      <c r="G1232" s="1">
        <v>2.2999999999999998</v>
      </c>
      <c r="H1232" s="34">
        <f>Tabela1[[#This Row],[PESO UNI]]*Tabela1[[#This Row],[QTE]]</f>
        <v>4.5999999999999996</v>
      </c>
      <c r="I1232" s="7">
        <v>0</v>
      </c>
      <c r="J1232" s="8" t="s">
        <v>3140</v>
      </c>
      <c r="K1232" s="8" t="s">
        <v>4320</v>
      </c>
      <c r="L1232" s="9" t="s">
        <v>2984</v>
      </c>
      <c r="M1232" s="10">
        <v>46280</v>
      </c>
      <c r="N1232" s="8" t="s">
        <v>38</v>
      </c>
      <c r="O1232" s="12"/>
      <c r="P1232" s="13"/>
      <c r="Q1232" s="14">
        <f>Tabela1[[#This Row],[QTDE/ Fabricação]]-Tabela1[[#This Row],[QTE]]</f>
        <v>-2</v>
      </c>
      <c r="R1232" s="18">
        <f t="shared" si="289"/>
        <v>1.1499999999999999</v>
      </c>
      <c r="S1232" s="18">
        <f t="shared" si="290"/>
        <v>0</v>
      </c>
      <c r="T1232" s="19">
        <f t="shared" si="291"/>
        <v>-4.5999999999999996</v>
      </c>
      <c r="U1232" s="16">
        <f>IFERROR(SUMIF('LISTA DE EMBARQUE'!B:B,MICRO!E:E,'LISTA DE EMBARQUE'!G:G),"")</f>
        <v>0</v>
      </c>
      <c r="V1232" s="12" t="str">
        <f>IFERROR(VLOOKUP(Tabela1[[#This Row],[COD.MDE]],'LISTA DE EMBARQUE'!B:L,11,0),"")</f>
        <v/>
      </c>
      <c r="W1232" s="13" t="str">
        <f>IFERROR(VLOOKUP(Tabela1[[#This Row],[COD.MDE]],'LISTA DE EMBARQUE'!B:M,12,0),"")</f>
        <v/>
      </c>
      <c r="X1232" s="14">
        <f>IFERROR(Tabela1[[#This Row],[QIANTIDADE EXPEDIDA]]*Tabela1[[#This Row],[PESO UNI]],"")</f>
        <v>0</v>
      </c>
      <c r="Y1232" s="14">
        <f t="shared" si="292"/>
        <v>-2</v>
      </c>
      <c r="Z1232" s="20">
        <f>Tabela1[[#This Row],[PESO TOTAL]]-Tabela1[[#This Row],[Peso Expedido]]</f>
        <v>4.5999999999999996</v>
      </c>
      <c r="AA1232" s="17">
        <v>1</v>
      </c>
      <c r="AB1232" s="33"/>
      <c r="AC1232" s="33"/>
      <c r="AD1232" s="33"/>
      <c r="AE1232" s="33"/>
      <c r="AF1232" s="33"/>
      <c r="AG1232" s="33"/>
      <c r="AH1232" s="33"/>
      <c r="AI1232" s="33"/>
      <c r="AJ1232"/>
      <c r="AK1232"/>
      <c r="AL1232"/>
      <c r="AM1232"/>
      <c r="AN1232"/>
      <c r="AO1232"/>
      <c r="AP1232"/>
      <c r="AQ1232" s="22"/>
      <c r="AR1232" s="24"/>
      <c r="AS1232" s="37"/>
      <c r="AT1232" s="37"/>
      <c r="AU1232" s="37"/>
      <c r="AV1232" s="37"/>
      <c r="AW1232" s="37"/>
    </row>
  </sheetData>
  <phoneticPr fontId="6" type="noConversion"/>
  <conditionalFormatting sqref="A1077:A1083">
    <cfRule type="expression" dxfId="153" priority="1894">
      <formula>#REF!="OK"</formula>
    </cfRule>
  </conditionalFormatting>
  <conditionalFormatting sqref="A862:X862 E2:E458 AA29:AH120 AI29:AI459 AE121:AH122 AA123:AH140 AD141:AH142 AA143:AH147 AD148:AH149 AA150:AH449 AA452:AD453 AA454:AB458 AD454:AD458 AA486:AH604 E556:E604 L605 J605:J1232 E606:E1039 AA762:AJ762 AC762:AE763 AA763:AI775 AA776:AB776 AH776:AI776 AA777:AI797 AA798:AH804 AA805:AB805 AH805:AI805 AA806:AI816 AA817:AH817 AB818:AI819 AA820:AI821 AB822:AI833 AA834:AI836 AB837:AI838 AA839:AI839 AB840:AI841 AA842:AI857 AB858:AI858 AA859:AI873 AB874:AI884 AA885:AI891 AB892:AI952 AB953:AB954 AH953:AI954 AB955:AI986 AB987:AB988 AH987:AI988 AB989:AI995 AB996:AB997 AH996:AI997 AB998:AI1022 AA1023:AI1098 E1099:E1232 AB1099:AI1232">
    <cfRule type="expression" dxfId="152" priority="2010">
      <formula>$AI2="OK"</formula>
    </cfRule>
  </conditionalFormatting>
  <conditionalFormatting sqref="E1079:F1098 AR1079:XFD1098 B1090:C1098">
    <cfRule type="expression" dxfId="151" priority="1224">
      <formula>#REF!="OK"</formula>
    </cfRule>
  </conditionalFormatting>
  <conditionalFormatting sqref="F564:F1078 B606:B1051">
    <cfRule type="expression" dxfId="150" priority="1452">
      <formula>#REF!="OK"</formula>
    </cfRule>
  </conditionalFormatting>
  <conditionalFormatting sqref="G452:G458">
    <cfRule type="expression" dxfId="149" priority="361">
      <formula>$AI506="OK"</formula>
    </cfRule>
  </conditionalFormatting>
  <conditionalFormatting sqref="H419">
    <cfRule type="expression" dxfId="148" priority="28803">
      <formula>$AI449="OK"</formula>
    </cfRule>
  </conditionalFormatting>
  <conditionalFormatting sqref="H420:H438">
    <cfRule type="expression" dxfId="147" priority="28793">
      <formula>$AI459="OK"</formula>
    </cfRule>
  </conditionalFormatting>
  <conditionalFormatting sqref="H576">
    <cfRule type="expression" dxfId="146" priority="28770">
      <formula>$AI604="OK"</formula>
    </cfRule>
  </conditionalFormatting>
  <conditionalFormatting sqref="H606:I1232 K859:O1232 A1079:C1098 B1099:B1232 F1099:F1232">
    <cfRule type="expression" dxfId="145" priority="1380">
      <formula>#REF!="OK"</formula>
    </cfRule>
  </conditionalFormatting>
  <conditionalFormatting sqref="K153:K438 K445:K451 L448:L449 L762:O763">
    <cfRule type="expression" dxfId="144" priority="2019">
      <formula>#REF!="OK"</formula>
    </cfRule>
  </conditionalFormatting>
  <conditionalFormatting sqref="K762:K763">
    <cfRule type="expression" dxfId="143" priority="29019">
      <formula>$AI1250="OK"</formula>
    </cfRule>
  </conditionalFormatting>
  <conditionalFormatting sqref="K764:O817 K818:M819 O818:O819 K820:O821 K822:M833 O822:O833 K834:O836 K837:M838 O837:O838 K839:O839 K840:M841 O840:O841 K842:O857 K858:M858 O858 A1052:B1078">
    <cfRule type="expression" dxfId="142" priority="1495">
      <formula>#REF!="OK"</formula>
    </cfRule>
  </conditionalFormatting>
  <conditionalFormatting sqref="L2:L27 H415:H417">
    <cfRule type="expression" dxfId="141" priority="28546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140" priority="2016">
      <formula>$AI72="OK"</formula>
    </cfRule>
  </conditionalFormatting>
  <conditionalFormatting sqref="L408">
    <cfRule type="expression" dxfId="139" priority="28795">
      <formula>$AI449="OK"</formula>
    </cfRule>
  </conditionalFormatting>
  <conditionalFormatting sqref="L409:L438">
    <cfRule type="expression" dxfId="138" priority="28648">
      <formula>$AI459="OK"</formula>
    </cfRule>
  </conditionalFormatting>
  <conditionalFormatting sqref="N2:N451">
    <cfRule type="expression" dxfId="137" priority="1900">
      <formula>#REF!="OK"</formula>
    </cfRule>
  </conditionalFormatting>
  <conditionalFormatting sqref="N818:N819">
    <cfRule type="expression" dxfId="136" priority="587">
      <formula>#REF!="OK"</formula>
    </cfRule>
  </conditionalFormatting>
  <conditionalFormatting sqref="N822:N833">
    <cfRule type="expression" dxfId="135" priority="575">
      <formula>#REF!="OK"</formula>
    </cfRule>
  </conditionalFormatting>
  <conditionalFormatting sqref="N837:N838">
    <cfRule type="expression" dxfId="134" priority="573">
      <formula>#REF!="OK"</formula>
    </cfRule>
  </conditionalFormatting>
  <conditionalFormatting sqref="N840:N841">
    <cfRule type="expression" dxfId="133" priority="571">
      <formula>#REF!="OK"</formula>
    </cfRule>
  </conditionalFormatting>
  <conditionalFormatting sqref="N858">
    <cfRule type="expression" dxfId="132" priority="569">
      <formula>#REF!="OK"</formula>
    </cfRule>
  </conditionalFormatting>
  <conditionalFormatting sqref="O450:O458">
    <cfRule type="cellIs" dxfId="131" priority="1966" operator="greaterThanOrEqual">
      <formula>0</formula>
    </cfRule>
  </conditionalFormatting>
  <conditionalFormatting sqref="O450:P453 H449 R449 M450:M451 A450:D453 F450:F453 H450:J458 K452:N458 P457:P458">
    <cfRule type="expression" dxfId="130" priority="28604">
      <formula>$AI503="OK"</formula>
    </cfRule>
  </conditionalFormatting>
  <conditionalFormatting sqref="O2:Z27 A2:D27 F2:F27 H2:K27 M2:M27 H153:H413 H459:H571">
    <cfRule type="expression" dxfId="129" priority="28579">
      <formula>$AI34="OK"</formula>
    </cfRule>
  </conditionalFormatting>
  <conditionalFormatting sqref="O28:Z107 T153:Z211 T257:Z393 O500:Z558 O153:R211 O257:R393 A28:D107 F28:F107 H28:K107 M28:M107 S153:S210 A153:D211 F153:F211 I153:J211 M153:M211 S256:S392 A257:D393 F257:F393 I257:J393 M257:M393 B556:B558 F556:F558 I556:I558 M556:M558">
    <cfRule type="expression" dxfId="128" priority="28277">
      <formula>$AI73="OK"</formula>
    </cfRule>
  </conditionalFormatting>
  <conditionalFormatting sqref="O108:Z108 A108:D108 F108 H108:K108 M108 L109">
    <cfRule type="expression" dxfId="127" priority="28912">
      <formula>#REF!="OK"</formula>
    </cfRule>
  </conditionalFormatting>
  <conditionalFormatting sqref="O402:Z402 O406:Z406 A402:D402 F402 I402:J402 M402 L403 A406:D406 F406 I406:J406 M406 L407 H414 H418">
    <cfRule type="expression" dxfId="126" priority="28796">
      <formula>#REF!="OK"</formula>
    </cfRule>
  </conditionalFormatting>
  <conditionalFormatting sqref="O403:Z405 L110:L152 L214:L256 L396:L402 A403:D405 F403:F405 I403:J405 M403:M405">
    <cfRule type="expression" dxfId="125" priority="28483">
      <formula>$AI153="OK"</formula>
    </cfRule>
  </conditionalFormatting>
  <conditionalFormatting sqref="O407:Z407 L404:L406 A407:D407 F407 I407:J407 M407">
    <cfRule type="expression" dxfId="124" priority="28805">
      <formula>$AI446="OK"</formula>
    </cfRule>
  </conditionalFormatting>
  <conditionalFormatting sqref="O446:Z446 S449:Z449 O449:Q449 Q450:Q451 O454:P456 O457:O458 A446:D446 F446 J446 M446 H446:H448 R447:R448 A449:D449 F449 J449 M449 L450:L451 U450:U458 A454:D458 F454:F458">
    <cfRule type="expression" dxfId="123" priority="28618">
      <formula>$AI499="OK"</formula>
    </cfRule>
  </conditionalFormatting>
  <conditionalFormatting sqref="O559:Z562 Z560:Z563 B559:B562 F559:F562 I559:I562 M559:M562 H572:H575">
    <cfRule type="expression" dxfId="122" priority="28733">
      <formula>#REF!="OK"</formula>
    </cfRule>
  </conditionalFormatting>
  <conditionalFormatting sqref="O563:Z563 B563 F563 I563 M563">
    <cfRule type="expression" dxfId="121" priority="28647">
      <formula>$AI604="OK"</formula>
    </cfRule>
  </conditionalFormatting>
  <conditionalFormatting sqref="P762:Z834">
    <cfRule type="expression" dxfId="120" priority="28932">
      <formula>$AI1260="OK"</formula>
    </cfRule>
  </conditionalFormatting>
  <conditionalFormatting sqref="P835:Z845">
    <cfRule type="expression" dxfId="119" priority="29008">
      <formula>$AI1331="OK"</formula>
    </cfRule>
  </conditionalFormatting>
  <conditionalFormatting sqref="P837:Z845">
    <cfRule type="expression" dxfId="118" priority="29009">
      <formula>$AI1332="OK"</formula>
    </cfRule>
  </conditionalFormatting>
  <conditionalFormatting sqref="P845:Z845 P847:Z913 A873:X873">
    <cfRule type="expression" dxfId="117" priority="29001">
      <formula>$AI1339="OK"</formula>
    </cfRule>
  </conditionalFormatting>
  <conditionalFormatting sqref="P846:Z846">
    <cfRule type="expression" dxfId="116" priority="710">
      <formula>$AI1340="OK"</formula>
    </cfRule>
    <cfRule type="expression" dxfId="115" priority="711">
      <formula>$AI1342="OK"</formula>
    </cfRule>
    <cfRule type="expression" dxfId="114" priority="712">
      <formula>$AI1341="OK"</formula>
    </cfRule>
  </conditionalFormatting>
  <conditionalFormatting sqref="P847:Z913 A873:X873">
    <cfRule type="expression" dxfId="113" priority="29025">
      <formula>$AI1340="OK"</formula>
    </cfRule>
  </conditionalFormatting>
  <conditionalFormatting sqref="P914:Z927">
    <cfRule type="expression" dxfId="112" priority="589">
      <formula>$AI1408="OK"</formula>
    </cfRule>
    <cfRule type="expression" dxfId="111" priority="590">
      <formula>$AI1407="OK"</formula>
    </cfRule>
  </conditionalFormatting>
  <conditionalFormatting sqref="P928:Z1015">
    <cfRule type="expression" dxfId="110" priority="29013">
      <formula>$AI1396="OK"</formula>
    </cfRule>
  </conditionalFormatting>
  <conditionalFormatting sqref="P928:Z1044 P1048:Z1082">
    <cfRule type="expression" dxfId="109" priority="29011">
      <formula>$AI1395="OK"</formula>
    </cfRule>
  </conditionalFormatting>
  <conditionalFormatting sqref="P1016:Z1044 P1048:Z1083">
    <cfRule type="expression" dxfId="108" priority="28999">
      <formula>$AI1482="OK"</formula>
    </cfRule>
  </conditionalFormatting>
  <conditionalFormatting sqref="P1045:Z1047">
    <cfRule type="expression" dxfId="107" priority="1556">
      <formula>$AI1511="OK"</formula>
    </cfRule>
    <cfRule type="expression" dxfId="106" priority="1557">
      <formula>$AI1512="OK"</formula>
    </cfRule>
  </conditionalFormatting>
  <conditionalFormatting sqref="P1083:Z1083">
    <cfRule type="expression" dxfId="105" priority="16">
      <formula>$AI1550="OK"</formula>
    </cfRule>
  </conditionalFormatting>
  <conditionalFormatting sqref="P1084:Z1107">
    <cfRule type="expression" dxfId="104" priority="29100">
      <formula>$AI1548="OK"</formula>
    </cfRule>
    <cfRule type="expression" dxfId="103" priority="29107">
      <formula>$AI1549="OK"</formula>
    </cfRule>
  </conditionalFormatting>
  <conditionalFormatting sqref="P1108:Z1111">
    <cfRule type="expression" dxfId="102" priority="561">
      <formula>$AI1572="OK"</formula>
    </cfRule>
    <cfRule type="expression" dxfId="101" priority="562">
      <formula>$AI1573="OK"</formula>
    </cfRule>
  </conditionalFormatting>
  <conditionalFormatting sqref="P1112:Z1113">
    <cfRule type="expression" dxfId="100" priority="29035">
      <formula>$AI1569="OK"</formula>
    </cfRule>
  </conditionalFormatting>
  <conditionalFormatting sqref="P1112:Z1200 P1206:Z1226">
    <cfRule type="expression" dxfId="99" priority="29061">
      <formula>$AI1568="OK"</formula>
    </cfRule>
  </conditionalFormatting>
  <conditionalFormatting sqref="P1114:Z1226">
    <cfRule type="expression" dxfId="98" priority="29095">
      <formula>$AI1569="OK"</formula>
    </cfRule>
  </conditionalFormatting>
  <conditionalFormatting sqref="P1200:Z1200">
    <cfRule type="expression" dxfId="97" priority="305">
      <formula>$AI1656="OK"</formula>
    </cfRule>
  </conditionalFormatting>
  <conditionalFormatting sqref="P1201:Z1205">
    <cfRule type="expression" dxfId="96" priority="29094">
      <formula>$AI1655="OK"</formula>
    </cfRule>
  </conditionalFormatting>
  <conditionalFormatting sqref="P1227:Z1232">
    <cfRule type="expression" dxfId="95" priority="17">
      <formula>$AI1683="OK"</formula>
    </cfRule>
    <cfRule type="expression" dxfId="94" priority="18">
      <formula>$AI1682="OK"</formula>
    </cfRule>
  </conditionalFormatting>
  <conditionalFormatting sqref="Q2:Q451 T2:T1232 Y2:Z1232 Q459:Q1232 A873:X873">
    <cfRule type="cellIs" dxfId="93" priority="28246" operator="greaterThanOrEqual">
      <formula>0</formula>
    </cfRule>
  </conditionalFormatting>
  <conditionalFormatting sqref="Q2:Q451">
    <cfRule type="cellIs" dxfId="92" priority="28245" operator="lessThan">
      <formula>0</formula>
    </cfRule>
  </conditionalFormatting>
  <conditionalFormatting sqref="Q452:Q458">
    <cfRule type="expression" dxfId="91" priority="360">
      <formula>$AI506="OK"</formula>
    </cfRule>
  </conditionalFormatting>
  <conditionalFormatting sqref="Q459:Q1232 O450:O458">
    <cfRule type="cellIs" dxfId="90" priority="1965" operator="lessThan">
      <formula>0</formula>
    </cfRule>
  </conditionalFormatting>
  <conditionalFormatting sqref="S211">
    <cfRule type="expression" dxfId="89" priority="2017">
      <formula>#REF!="OK"</formula>
    </cfRule>
  </conditionalFormatting>
  <conditionalFormatting sqref="S393">
    <cfRule type="expression" dxfId="88" priority="2018">
      <formula>#REF!="OK"</formula>
    </cfRule>
  </conditionalFormatting>
  <conditionalFormatting sqref="S447:Z447 O447:Q447 A447:D447 F447 J447 M447">
    <cfRule type="expression" dxfId="87" priority="28603">
      <formula>#REF!="OK"</formula>
    </cfRule>
  </conditionalFormatting>
  <conditionalFormatting sqref="T2:T1232 Y2:Z1232 A873:X873">
    <cfRule type="cellIs" dxfId="86" priority="28247" operator="lessThan">
      <formula>0</formula>
    </cfRule>
  </conditionalFormatting>
  <conditionalFormatting sqref="T212:Z212 O212:R212 A212:D212 F212 I212:J212 M212">
    <cfRule type="expression" dxfId="85" priority="28457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84" priority="28345">
      <formula>$AI257="OK"</formula>
    </cfRule>
  </conditionalFormatting>
  <conditionalFormatting sqref="T394:Z394 O394:R394 A394:D394 F394 I394:J394 M394 L395">
    <cfRule type="expression" dxfId="83" priority="28508">
      <formula>#REF!="OK"</formula>
    </cfRule>
  </conditionalFormatting>
  <conditionalFormatting sqref="T408:Z438 O408:R438 S408:S437 A408:D438 F408:F438 I408:J438 M408:M438 L439:L445">
    <cfRule type="expression" dxfId="82" priority="28889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81" priority="28798">
      <formula>$AI490="OK"</formula>
    </cfRule>
  </conditionalFormatting>
  <conditionalFormatting sqref="T605:Z605 Q605:R605 H605">
    <cfRule type="expression" dxfId="80" priority="28785">
      <formula>$AI669="OK"</formula>
    </cfRule>
  </conditionalFormatting>
  <conditionalFormatting sqref="V450:Y451 R450:T458 V452:Z458">
    <cfRule type="expression" dxfId="79" priority="28703">
      <formula>$AI487="OK"</formula>
    </cfRule>
  </conditionalFormatting>
  <conditionalFormatting sqref="Z450:Z451 O564:Z622 K623:Z761 K556:K622 B564:B603 I564:I603 M564:M603 H577:H603 A604:D605 H604:J605 L604:N622">
    <cfRule type="expression" dxfId="78" priority="28772">
      <formula>#REF!="OK"</formula>
    </cfRule>
  </conditionalFormatting>
  <conditionalFormatting sqref="Z450:Z451">
    <cfRule type="expression" dxfId="77" priority="1949">
      <formula>$AI494="OK"</formula>
    </cfRule>
  </conditionalFormatting>
  <conditionalFormatting sqref="Z564">
    <cfRule type="expression" dxfId="76" priority="28763">
      <formula>$AI604="OK"</formula>
    </cfRule>
  </conditionalFormatting>
  <conditionalFormatting sqref="Z605">
    <cfRule type="expression" dxfId="75" priority="28788">
      <formula>$AI668="OK"</formula>
    </cfRule>
  </conditionalFormatting>
  <conditionalFormatting sqref="AA818:AA819 AA892:AA1022 AA1099:AA1232">
    <cfRule type="cellIs" dxfId="74" priority="840" operator="greaterThanOrEqual">
      <formula>1</formula>
    </cfRule>
    <cfRule type="expression" dxfId="73" priority="841">
      <formula>$AI818="OK"</formula>
    </cfRule>
  </conditionalFormatting>
  <conditionalFormatting sqref="AA822:AA833">
    <cfRule type="cellIs" dxfId="72" priority="816" operator="greaterThanOrEqual">
      <formula>1</formula>
    </cfRule>
    <cfRule type="expression" dxfId="71" priority="817">
      <formula>$AI822="OK"</formula>
    </cfRule>
  </conditionalFormatting>
  <conditionalFormatting sqref="AA837:AA838">
    <cfRule type="cellIs" dxfId="70" priority="812" operator="greaterThanOrEqual">
      <formula>1</formula>
    </cfRule>
    <cfRule type="expression" dxfId="69" priority="813">
      <formula>$AI837="OK"</formula>
    </cfRule>
  </conditionalFormatting>
  <conditionalFormatting sqref="AA840:AA841">
    <cfRule type="cellIs" dxfId="68" priority="808" operator="greaterThanOrEqual">
      <formula>1</formula>
    </cfRule>
    <cfRule type="expression" dxfId="67" priority="809">
      <formula>$AI840="OK"</formula>
    </cfRule>
  </conditionalFormatting>
  <conditionalFormatting sqref="AA858">
    <cfRule type="cellIs" dxfId="66" priority="806" operator="greaterThanOrEqual">
      <formula>1</formula>
    </cfRule>
    <cfRule type="expression" dxfId="65" priority="807">
      <formula>$AI858="OK"</formula>
    </cfRule>
  </conditionalFormatting>
  <conditionalFormatting sqref="AA874:AA884">
    <cfRule type="cellIs" dxfId="64" priority="784" operator="greaterThanOrEqual">
      <formula>1</formula>
    </cfRule>
    <cfRule type="expression" dxfId="63" priority="785">
      <formula>$AI874="OK"</formula>
    </cfRule>
  </conditionalFormatting>
  <conditionalFormatting sqref="AA137:AC141">
    <cfRule type="expression" dxfId="62" priority="747">
      <formula>$AI137="OK"</formula>
    </cfRule>
  </conditionalFormatting>
  <conditionalFormatting sqref="AA142:AC142 AC988:AG988">
    <cfRule type="expression" dxfId="61" priority="749">
      <formula>$AI141="OK"</formula>
    </cfRule>
  </conditionalFormatting>
  <conditionalFormatting sqref="AA143:AC148">
    <cfRule type="expression" dxfId="60" priority="739">
      <formula>$AI143="OK"</formula>
    </cfRule>
  </conditionalFormatting>
  <conditionalFormatting sqref="AA149:AC149">
    <cfRule type="expression" dxfId="59" priority="741">
      <formula>$AI148="OK"</formula>
    </cfRule>
  </conditionalFormatting>
  <conditionalFormatting sqref="AA150:AC150">
    <cfRule type="expression" dxfId="58" priority="738">
      <formula>$AI150="OK"</formula>
    </cfRule>
  </conditionalFormatting>
  <conditionalFormatting sqref="AA608:AC609 AA612:AC616 AA619:AC622 AA775:AC797 AA805:AC816 AA820:AC821 AA835:AC836 AA839:AC839 AA855:AC857 AA859:AC861 AA863:AC868 AA1034:AC1034">
    <cfRule type="expression" dxfId="57" priority="735">
      <formula>$AI608="OK"</formula>
    </cfRule>
  </conditionalFormatting>
  <conditionalFormatting sqref="AA608:AC609 AA612:AC616 AA619:AC622 AA1023:AJ1098">
    <cfRule type="cellIs" dxfId="56" priority="737" operator="greaterThanOrEqual">
      <formula>1</formula>
    </cfRule>
  </conditionalFormatting>
  <conditionalFormatting sqref="AA121:AD127">
    <cfRule type="expression" dxfId="55" priority="844">
      <formula>$AI121="OK"</formula>
    </cfRule>
  </conditionalFormatting>
  <conditionalFormatting sqref="AA604:AH604">
    <cfRule type="cellIs" dxfId="54" priority="852" operator="greaterThanOrEqual">
      <formula>1</formula>
    </cfRule>
  </conditionalFormatting>
  <conditionalFormatting sqref="AA606:AH607">
    <cfRule type="expression" dxfId="53" priority="557">
      <formula>$AI606="OK"</formula>
    </cfRule>
    <cfRule type="cellIs" dxfId="52" priority="558" operator="greaterThanOrEqual">
      <formula>1</formula>
    </cfRule>
  </conditionalFormatting>
  <conditionalFormatting sqref="AA617:AH618">
    <cfRule type="expression" dxfId="51" priority="553">
      <formula>$AI617="OK"</formula>
    </cfRule>
    <cfRule type="cellIs" dxfId="50" priority="554" operator="greaterThanOrEqual">
      <formula>1</formula>
    </cfRule>
  </conditionalFormatting>
  <conditionalFormatting sqref="AA623:AH761">
    <cfRule type="expression" dxfId="49" priority="850">
      <formula>$AI623="OK"</formula>
    </cfRule>
    <cfRule type="cellIs" dxfId="48" priority="851" operator="greaterThanOrEqual">
      <formula>1</formula>
    </cfRule>
  </conditionalFormatting>
  <conditionalFormatting sqref="AA2:AI28 AA450:AE451 AE452:AG453 AF454:AG458 AA459:AH459 A459:G555 I459:N555 AA460:AI603 J556:J603 L556:L603">
    <cfRule type="expression" dxfId="47" priority="28243">
      <formula>$AI2="OK"</formula>
    </cfRule>
  </conditionalFormatting>
  <conditionalFormatting sqref="AA2:AI28 AA29:AH451 AI29:AI459 AJ153:AW153 AA452:AG453 AA454:AB458 AD454:AG458 AA459:AH459 AA762:AJ775 AA776:AB776 AH776:AJ776 AA777:AJ797 AA798:AH804 AJ798:AJ804 AA805:AB805 AH805:AJ805 AA806:AJ816 AA817:AH817 AJ817 AB818:AJ819 AA820:AJ821 AB822:AJ833 AA834:AJ836 AB837:AJ838 AA839:AJ839 AB840:AJ841 AB858:AJ858 AA859:AJ873 AB874:AJ884 AA885:AJ891">
    <cfRule type="cellIs" dxfId="46" priority="28244" operator="greaterThanOrEqual">
      <formula>1</formula>
    </cfRule>
  </conditionalFormatting>
  <conditionalFormatting sqref="AA460:AI605 AI606:AI761 AI798:AI804 AI817">
    <cfRule type="cellIs" dxfId="45" priority="1943" operator="greaterThanOrEqual">
      <formula>1</formula>
    </cfRule>
  </conditionalFormatting>
  <conditionalFormatting sqref="AA605:AI605">
    <cfRule type="expression" dxfId="44" priority="1944">
      <formula>$AI605="OK"</formula>
    </cfRule>
  </conditionalFormatting>
  <conditionalFormatting sqref="AA842:AJ857">
    <cfRule type="cellIs" dxfId="43" priority="709" operator="greaterThanOrEqual">
      <formula>1</formula>
    </cfRule>
  </conditionalFormatting>
  <conditionalFormatting sqref="AB892:AJ1022 AA1047:AA1048">
    <cfRule type="cellIs" dxfId="42" priority="707" operator="greaterThanOrEqual">
      <formula>1</formula>
    </cfRule>
  </conditionalFormatting>
  <conditionalFormatting sqref="AB1099:AJ1232">
    <cfRule type="cellIs" dxfId="41" priority="19" operator="greaterThanOrEqual">
      <formula>1</formula>
    </cfRule>
  </conditionalFormatting>
  <conditionalFormatting sqref="AC454:AC458">
    <cfRule type="expression" dxfId="40" priority="1883">
      <formula>$AI454="OK"</formula>
    </cfRule>
    <cfRule type="cellIs" dxfId="39" priority="1884" operator="greaterThanOrEqual">
      <formula>1</formula>
    </cfRule>
  </conditionalFormatting>
  <conditionalFormatting sqref="AC776">
    <cfRule type="cellIs" dxfId="38" priority="13" operator="greaterThanOrEqual">
      <formula>1</formula>
    </cfRule>
  </conditionalFormatting>
  <conditionalFormatting sqref="AC805">
    <cfRule type="cellIs" dxfId="37" priority="10" operator="greaterThanOrEqual">
      <formula>1</formula>
    </cfRule>
  </conditionalFormatting>
  <conditionalFormatting sqref="AC1047:AC1048">
    <cfRule type="cellIs" dxfId="36" priority="705" operator="greaterThanOrEqual">
      <formula>1</formula>
    </cfRule>
  </conditionalFormatting>
  <conditionalFormatting sqref="AC892:AG898">
    <cfRule type="cellIs" dxfId="35" priority="546" operator="greaterThanOrEqual">
      <formula>1</formula>
    </cfRule>
  </conditionalFormatting>
  <conditionalFormatting sqref="AC928:AG1022">
    <cfRule type="cellIs" dxfId="34" priority="380" operator="greaterThanOrEqual">
      <formula>1</formula>
    </cfRule>
  </conditionalFormatting>
  <conditionalFormatting sqref="AC953:AG987">
    <cfRule type="expression" dxfId="33" priority="450">
      <formula>$AI954="OK"</formula>
    </cfRule>
  </conditionalFormatting>
  <conditionalFormatting sqref="AC987:AG988">
    <cfRule type="expression" dxfId="32" priority="451">
      <formula>$AI987="OK"</formula>
    </cfRule>
  </conditionalFormatting>
  <conditionalFormatting sqref="AC989:AG1022">
    <cfRule type="expression" dxfId="31" priority="381">
      <formula>$AI990="OK"</formula>
    </cfRule>
  </conditionalFormatting>
  <conditionalFormatting sqref="AC996:AG996">
    <cfRule type="expression" dxfId="30" priority="434">
      <formula>$AI998="OK"</formula>
    </cfRule>
  </conditionalFormatting>
  <conditionalFormatting sqref="AC997:AG997">
    <cfRule type="expression" dxfId="29" priority="432">
      <formula>$AI997="OK"</formula>
    </cfRule>
  </conditionalFormatting>
  <conditionalFormatting sqref="AC1099:AG1128">
    <cfRule type="cellIs" dxfId="28" priority="366" operator="greaterThanOrEqual">
      <formula>1</formula>
    </cfRule>
    <cfRule type="expression" dxfId="27" priority="367">
      <formula>$AI1100="OK"</formula>
    </cfRule>
  </conditionalFormatting>
  <conditionalFormatting sqref="AD1047:AD1048">
    <cfRule type="cellIs" dxfId="26" priority="703" operator="greaterThanOrEqual">
      <formula>1</formula>
    </cfRule>
  </conditionalFormatting>
  <conditionalFormatting sqref="AD776:AG776">
    <cfRule type="cellIs" dxfId="25" priority="14" operator="greaterThanOrEqual">
      <formula>1</formula>
    </cfRule>
    <cfRule type="expression" dxfId="24" priority="15">
      <formula>$AI776="OK"</formula>
    </cfRule>
  </conditionalFormatting>
  <conditionalFormatting sqref="AD805:AG805">
    <cfRule type="cellIs" dxfId="23" priority="11" operator="greaterThanOrEqual">
      <formula>1</formula>
    </cfRule>
    <cfRule type="expression" dxfId="22" priority="12">
      <formula>$AI805="OK"</formula>
    </cfRule>
  </conditionalFormatting>
  <conditionalFormatting sqref="AD1000:AG1000">
    <cfRule type="cellIs" dxfId="21" priority="9" operator="greaterThanOrEqual">
      <formula>1</formula>
    </cfRule>
  </conditionalFormatting>
  <conditionalFormatting sqref="AD1002:AG1006">
    <cfRule type="cellIs" dxfId="20" priority="4" operator="greaterThanOrEqual">
      <formula>1</formula>
    </cfRule>
  </conditionalFormatting>
  <conditionalFormatting sqref="AD1013:AG1015">
    <cfRule type="cellIs" dxfId="19" priority="1" operator="greaterThanOrEqual">
      <formula>1</formula>
    </cfRule>
  </conditionalFormatting>
  <conditionalFormatting sqref="AD608:AH609 AA610:AH611 AD612:AH616 AD619:AH622">
    <cfRule type="cellIs" dxfId="18" priority="1933" operator="greaterThanOrEqual">
      <formula>1</formula>
    </cfRule>
    <cfRule type="expression" dxfId="17" priority="1934">
      <formula>$AI608="OK"</formula>
    </cfRule>
  </conditionalFormatting>
  <conditionalFormatting sqref="AE454:AE458">
    <cfRule type="expression" dxfId="16" priority="1882">
      <formula>$AI454="OK"</formula>
    </cfRule>
  </conditionalFormatting>
  <conditionalFormatting sqref="AE1047:AE1048">
    <cfRule type="cellIs" dxfId="15" priority="701" operator="greaterThanOrEqual">
      <formula>1</formula>
    </cfRule>
  </conditionalFormatting>
  <conditionalFormatting sqref="AF454:AF458">
    <cfRule type="expression" dxfId="14" priority="1881">
      <formula>$AI454="OK"</formula>
    </cfRule>
  </conditionalFormatting>
  <conditionalFormatting sqref="AF1047:AF1048">
    <cfRule type="cellIs" dxfId="13" priority="699" operator="greaterThanOrEqual">
      <formula>1</formula>
    </cfRule>
  </conditionalFormatting>
  <conditionalFormatting sqref="AF450:AH451">
    <cfRule type="expression" dxfId="12" priority="1832">
      <formula>$AI450="OK"</formula>
    </cfRule>
  </conditionalFormatting>
  <conditionalFormatting sqref="AG454:AG458">
    <cfRule type="expression" dxfId="11" priority="1880">
      <formula>$AI454="OK"</formula>
    </cfRule>
  </conditionalFormatting>
  <conditionalFormatting sqref="AH452:AH458">
    <cfRule type="expression" dxfId="10" priority="364">
      <formula>$AI452="OK"</formula>
    </cfRule>
    <cfRule type="cellIs" dxfId="9" priority="365" operator="greaterThanOrEqual">
      <formula>1</formula>
    </cfRule>
  </conditionalFormatting>
  <conditionalFormatting sqref="AI486:AI761 N556:N603 AI798:AI804 AI817">
    <cfRule type="expression" dxfId="8" priority="1950">
      <formula>$AI486="OK"</formula>
    </cfRule>
  </conditionalFormatting>
  <conditionalFormatting sqref="AJ1147">
    <cfRule type="cellIs" dxfId="7" priority="641" operator="greaterThanOrEqual">
      <formula>1</formula>
    </cfRule>
  </conditionalFormatting>
  <conditionalFormatting sqref="AJ153:AW153">
    <cfRule type="expression" dxfId="6" priority="2021">
      <formula>$AI153="OK"</formula>
    </cfRule>
  </conditionalFormatting>
  <pageMargins left="0" right="0" top="0" bottom="0" header="0" footer="0"/>
  <pageSetup paperSize="8" scale="32" fitToHeight="0" orientation="landscape" r:id="rId1"/>
  <ignoredErrors>
    <ignoredError sqref="H862" unlockedFormula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33"/>
  <sheetViews>
    <sheetView topLeftCell="C23" workbookViewId="0">
      <selection activeCell="B29" sqref="B29:F29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232">
        <v>188</v>
      </c>
      <c r="B2" s="217" t="s">
        <v>2071</v>
      </c>
      <c r="C2" s="233">
        <v>46188</v>
      </c>
      <c r="D2" s="233">
        <v>46261</v>
      </c>
      <c r="E2" s="234" t="s">
        <v>496</v>
      </c>
      <c r="F2" s="217" t="s">
        <v>2070</v>
      </c>
    </row>
    <row r="3" spans="1:6" x14ac:dyDescent="0.25">
      <c r="A3" s="232">
        <v>190</v>
      </c>
      <c r="B3" s="217" t="s">
        <v>2986</v>
      </c>
      <c r="C3" s="233">
        <v>46205</v>
      </c>
      <c r="D3" s="233"/>
      <c r="E3" s="234" t="s">
        <v>496</v>
      </c>
      <c r="F3" s="217" t="s">
        <v>2987</v>
      </c>
    </row>
    <row r="4" spans="1:6" x14ac:dyDescent="0.25">
      <c r="A4" s="231">
        <v>198</v>
      </c>
      <c r="B4" s="107" t="s">
        <v>2985</v>
      </c>
      <c r="C4" s="185">
        <v>46387</v>
      </c>
      <c r="D4" s="185"/>
      <c r="E4" s="186" t="s">
        <v>4967</v>
      </c>
      <c r="F4" s="107" t="s">
        <v>2983</v>
      </c>
    </row>
    <row r="5" spans="1:6" ht="30" x14ac:dyDescent="0.25">
      <c r="A5" s="213">
        <v>200</v>
      </c>
      <c r="B5" s="214" t="s">
        <v>2994</v>
      </c>
      <c r="C5" s="215">
        <v>46219</v>
      </c>
      <c r="D5" s="215"/>
      <c r="E5" s="216" t="s">
        <v>496</v>
      </c>
      <c r="F5" s="217" t="s">
        <v>2993</v>
      </c>
    </row>
    <row r="6" spans="1:6" ht="30" x14ac:dyDescent="0.25">
      <c r="A6" s="213">
        <v>201</v>
      </c>
      <c r="B6" s="214" t="s">
        <v>2992</v>
      </c>
      <c r="C6" s="215">
        <v>46198</v>
      </c>
      <c r="D6" s="215"/>
      <c r="E6" s="216" t="s">
        <v>496</v>
      </c>
      <c r="F6" s="217" t="s">
        <v>2991</v>
      </c>
    </row>
    <row r="7" spans="1:6" ht="75" x14ac:dyDescent="0.25">
      <c r="A7" s="213">
        <v>202</v>
      </c>
      <c r="B7" s="214" t="s">
        <v>3007</v>
      </c>
      <c r="C7" s="218">
        <v>46198</v>
      </c>
      <c r="D7" s="215"/>
      <c r="E7" s="216" t="s">
        <v>496</v>
      </c>
      <c r="F7" s="217" t="s">
        <v>3006</v>
      </c>
    </row>
    <row r="8" spans="1:6" x14ac:dyDescent="0.25">
      <c r="A8" s="213">
        <v>203</v>
      </c>
      <c r="B8" s="219" t="s">
        <v>4976</v>
      </c>
      <c r="C8" s="215">
        <v>46202</v>
      </c>
      <c r="D8" s="215">
        <v>46231</v>
      </c>
      <c r="E8" s="216" t="s">
        <v>496</v>
      </c>
      <c r="F8" s="217" t="s">
        <v>3009</v>
      </c>
    </row>
    <row r="9" spans="1:6" x14ac:dyDescent="0.25">
      <c r="A9" s="213">
        <v>204</v>
      </c>
      <c r="B9" s="219" t="s">
        <v>3164</v>
      </c>
      <c r="C9" s="215">
        <v>46226</v>
      </c>
      <c r="D9" s="215"/>
      <c r="E9" s="216" t="s">
        <v>4860</v>
      </c>
      <c r="F9" s="217" t="s">
        <v>3009</v>
      </c>
    </row>
    <row r="10" spans="1:6" x14ac:dyDescent="0.25">
      <c r="A10" s="213">
        <v>205</v>
      </c>
      <c r="B10" s="219" t="s">
        <v>3166</v>
      </c>
      <c r="C10" s="215">
        <v>46235</v>
      </c>
      <c r="D10" s="215"/>
      <c r="E10" s="220" t="s">
        <v>4861</v>
      </c>
      <c r="F10" s="217" t="s">
        <v>3165</v>
      </c>
    </row>
    <row r="11" spans="1:6" ht="30" x14ac:dyDescent="0.25">
      <c r="A11" s="184">
        <v>207</v>
      </c>
      <c r="B11" s="205" t="s">
        <v>3293</v>
      </c>
      <c r="C11" s="185">
        <v>46336</v>
      </c>
      <c r="D11" s="185"/>
      <c r="E11" s="186" t="s">
        <v>5481</v>
      </c>
      <c r="F11" s="107" t="s">
        <v>3292</v>
      </c>
    </row>
    <row r="12" spans="1:6" ht="30" x14ac:dyDescent="0.25">
      <c r="A12" s="241">
        <v>208</v>
      </c>
      <c r="B12" s="214" t="s">
        <v>4308</v>
      </c>
      <c r="C12" s="215">
        <v>46233</v>
      </c>
      <c r="D12" s="215">
        <v>46265</v>
      </c>
      <c r="E12" s="220" t="s">
        <v>496</v>
      </c>
      <c r="F12" s="219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5664</v>
      </c>
      <c r="F13" s="188" t="s">
        <v>4323</v>
      </c>
    </row>
    <row r="14" spans="1:6" ht="121.15" customHeight="1" x14ac:dyDescent="0.25">
      <c r="A14" s="213">
        <v>898</v>
      </c>
      <c r="B14" s="214" t="s">
        <v>4443</v>
      </c>
      <c r="C14" s="215">
        <v>46270</v>
      </c>
      <c r="D14" s="215"/>
      <c r="E14" s="220" t="s">
        <v>496</v>
      </c>
      <c r="F14" s="219" t="s">
        <v>4442</v>
      </c>
    </row>
    <row r="15" spans="1:6" x14ac:dyDescent="0.25">
      <c r="A15" s="213">
        <v>897</v>
      </c>
      <c r="B15" s="219" t="s">
        <v>4551</v>
      </c>
      <c r="C15" s="215">
        <v>46216</v>
      </c>
      <c r="D15" s="215"/>
      <c r="E15" s="220" t="s">
        <v>496</v>
      </c>
      <c r="F15" s="219" t="s">
        <v>4550</v>
      </c>
    </row>
    <row r="16" spans="1:6" x14ac:dyDescent="0.25">
      <c r="A16" s="211">
        <v>210</v>
      </c>
      <c r="B16" s="191" t="s">
        <v>4855</v>
      </c>
      <c r="C16" s="189">
        <v>46308</v>
      </c>
      <c r="D16" s="189"/>
      <c r="E16" s="190" t="s">
        <v>3167</v>
      </c>
      <c r="F16" s="188" t="s">
        <v>2991</v>
      </c>
    </row>
    <row r="17" spans="1:6" ht="30" x14ac:dyDescent="0.25">
      <c r="A17" s="211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2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35">
        <v>133</v>
      </c>
      <c r="B19" s="219" t="s">
        <v>4971</v>
      </c>
      <c r="C19" s="215">
        <v>46249</v>
      </c>
      <c r="D19" s="215"/>
      <c r="E19" s="220" t="s">
        <v>5486</v>
      </c>
      <c r="F19" s="219" t="s">
        <v>4970</v>
      </c>
    </row>
    <row r="20" spans="1:6" x14ac:dyDescent="0.25">
      <c r="A20" s="235">
        <v>899</v>
      </c>
      <c r="B20" s="219" t="s">
        <v>4971</v>
      </c>
      <c r="C20" s="215">
        <v>46270</v>
      </c>
      <c r="D20" s="215"/>
      <c r="E20" s="220" t="s">
        <v>5486</v>
      </c>
      <c r="F20" s="219" t="s">
        <v>4442</v>
      </c>
    </row>
    <row r="21" spans="1:6" ht="45" x14ac:dyDescent="0.25">
      <c r="A21" s="223">
        <v>214</v>
      </c>
      <c r="B21" s="191" t="s">
        <v>5031</v>
      </c>
      <c r="C21" s="189">
        <v>46268</v>
      </c>
      <c r="D21" s="189"/>
      <c r="E21" s="190" t="s">
        <v>4861</v>
      </c>
      <c r="F21" s="188" t="s">
        <v>5032</v>
      </c>
    </row>
    <row r="22" spans="1:6" x14ac:dyDescent="0.25">
      <c r="A22" s="235">
        <v>900</v>
      </c>
      <c r="B22" s="219" t="s">
        <v>5485</v>
      </c>
      <c r="C22" s="215">
        <v>46277</v>
      </c>
      <c r="D22" s="215"/>
      <c r="E22" s="220" t="s">
        <v>5486</v>
      </c>
      <c r="F22" s="219" t="s">
        <v>4442</v>
      </c>
    </row>
    <row r="23" spans="1:6" ht="240" x14ac:dyDescent="0.25">
      <c r="A23" s="224">
        <v>206</v>
      </c>
      <c r="B23" s="191" t="s">
        <v>5275</v>
      </c>
      <c r="C23" s="189"/>
      <c r="D23" s="189"/>
      <c r="E23" s="225" t="s">
        <v>4968</v>
      </c>
      <c r="F23" s="226" t="s">
        <v>5276</v>
      </c>
    </row>
    <row r="24" spans="1:6" x14ac:dyDescent="0.25">
      <c r="A24" s="231">
        <v>216</v>
      </c>
      <c r="B24" s="107" t="s">
        <v>5483</v>
      </c>
      <c r="C24" s="185">
        <v>46288</v>
      </c>
      <c r="D24" s="185"/>
      <c r="E24" s="186" t="s">
        <v>5662</v>
      </c>
      <c r="F24" s="188" t="s">
        <v>5409</v>
      </c>
    </row>
    <row r="25" spans="1:6" x14ac:dyDescent="0.25">
      <c r="A25" s="230">
        <v>217</v>
      </c>
      <c r="B25" s="188" t="s">
        <v>5484</v>
      </c>
      <c r="C25" s="189">
        <v>46295</v>
      </c>
      <c r="D25" s="189"/>
      <c r="E25" s="186" t="s">
        <v>5663</v>
      </c>
      <c r="F25" s="188" t="s">
        <v>5409</v>
      </c>
    </row>
    <row r="26" spans="1:6" x14ac:dyDescent="0.25">
      <c r="A26" s="230">
        <v>215</v>
      </c>
      <c r="B26" s="188" t="s">
        <v>5553</v>
      </c>
      <c r="C26" s="189">
        <v>46295</v>
      </c>
      <c r="D26" s="189"/>
      <c r="E26" s="190" t="s">
        <v>5665</v>
      </c>
      <c r="F26" s="188" t="s">
        <v>5554</v>
      </c>
    </row>
    <row r="27" spans="1:6" x14ac:dyDescent="0.25">
      <c r="A27" s="236">
        <v>218</v>
      </c>
      <c r="B27" s="188" t="s">
        <v>5623</v>
      </c>
      <c r="C27" s="189">
        <v>46290</v>
      </c>
      <c r="D27" s="189"/>
      <c r="E27" s="190" t="s">
        <v>5660</v>
      </c>
      <c r="F27" s="188" t="s">
        <v>4307</v>
      </c>
    </row>
    <row r="28" spans="1:6" x14ac:dyDescent="0.25">
      <c r="A28" s="236">
        <v>213</v>
      </c>
      <c r="B28" s="188" t="s">
        <v>5656</v>
      </c>
      <c r="C28" s="189">
        <v>46278</v>
      </c>
      <c r="D28" s="189"/>
      <c r="E28" s="190" t="s">
        <v>5661</v>
      </c>
      <c r="F28" s="188" t="s">
        <v>5659</v>
      </c>
    </row>
    <row r="29" spans="1:6" x14ac:dyDescent="0.25">
      <c r="A29" s="236">
        <v>219</v>
      </c>
      <c r="B29" s="188" t="s">
        <v>5694</v>
      </c>
      <c r="C29" s="189">
        <v>46348</v>
      </c>
      <c r="D29" s="189"/>
      <c r="E29" s="190" t="s">
        <v>5695</v>
      </c>
      <c r="F29" s="188" t="s">
        <v>4323</v>
      </c>
    </row>
    <row r="30" spans="1:6" x14ac:dyDescent="0.25">
      <c r="A30" s="236">
        <v>220</v>
      </c>
      <c r="B30" s="188" t="s">
        <v>5694</v>
      </c>
      <c r="C30" s="189">
        <v>46348</v>
      </c>
      <c r="D30" s="189"/>
      <c r="E30" s="190" t="s">
        <v>5695</v>
      </c>
      <c r="F30" s="188" t="s">
        <v>4323</v>
      </c>
    </row>
    <row r="31" spans="1:6" x14ac:dyDescent="0.25">
      <c r="A31" s="236">
        <v>221</v>
      </c>
      <c r="B31" s="188" t="s">
        <v>5694</v>
      </c>
      <c r="C31" s="189">
        <v>46348</v>
      </c>
      <c r="D31" s="189"/>
      <c r="E31" s="190" t="s">
        <v>5695</v>
      </c>
      <c r="F31" s="188" t="s">
        <v>4323</v>
      </c>
    </row>
    <row r="32" spans="1:6" x14ac:dyDescent="0.25">
      <c r="A32" s="236">
        <v>222</v>
      </c>
      <c r="B32" s="188" t="s">
        <v>5712</v>
      </c>
      <c r="C32" s="189">
        <v>46348</v>
      </c>
      <c r="D32" s="189"/>
      <c r="E32" s="190" t="s">
        <v>5695</v>
      </c>
      <c r="F32" s="188" t="s">
        <v>4323</v>
      </c>
    </row>
    <row r="33" spans="1:6" x14ac:dyDescent="0.25">
      <c r="A33" s="236">
        <v>223</v>
      </c>
      <c r="B33" s="188" t="s">
        <v>5712</v>
      </c>
      <c r="C33" s="189">
        <v>46348</v>
      </c>
      <c r="D33" s="189"/>
      <c r="E33" s="190" t="s">
        <v>5695</v>
      </c>
      <c r="F33" s="188" t="s">
        <v>4323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18" activePane="bottomRight" state="frozen"/>
      <selection pane="topRight" activeCell="D1" sqref="D1"/>
      <selection pane="bottomLeft" activeCell="A6" sqref="A6"/>
      <selection pane="bottomRight" activeCell="N24" sqref="N24:T28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96" t="e" vm="1">
        <v>#VALUE!</v>
      </c>
      <c r="D2" s="297"/>
      <c r="E2" s="300" t="s">
        <v>320</v>
      </c>
      <c r="F2" s="300"/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301"/>
      <c r="U2" s="304" t="s">
        <v>246</v>
      </c>
      <c r="V2" s="294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98"/>
      <c r="D3" s="299"/>
      <c r="E3" s="302"/>
      <c r="F3" s="302"/>
      <c r="G3" s="302"/>
      <c r="H3" s="302"/>
      <c r="I3" s="302"/>
      <c r="J3" s="302"/>
      <c r="K3" s="302"/>
      <c r="L3" s="302"/>
      <c r="M3" s="302"/>
      <c r="N3" s="302"/>
      <c r="O3" s="302"/>
      <c r="P3" s="302"/>
      <c r="Q3" s="302"/>
      <c r="R3" s="302"/>
      <c r="S3" s="302"/>
      <c r="T3" s="303"/>
      <c r="U3" s="305"/>
      <c r="V3" s="295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59" t="s">
        <v>2070</v>
      </c>
      <c r="D6" s="262" t="s">
        <v>2069</v>
      </c>
      <c r="E6" s="265" t="s">
        <v>2071</v>
      </c>
      <c r="F6" s="268">
        <v>46183</v>
      </c>
      <c r="G6" s="306">
        <v>46220</v>
      </c>
      <c r="H6" s="285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53">
        <f>T9/T6</f>
        <v>0.88949747289203585</v>
      </c>
      <c r="V6" s="256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60"/>
      <c r="D7" s="263"/>
      <c r="E7" s="266"/>
      <c r="F7" s="269"/>
      <c r="G7" s="307"/>
      <c r="H7" s="286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54"/>
      <c r="V7" s="257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60"/>
      <c r="D8" s="263"/>
      <c r="E8" s="266"/>
      <c r="F8" s="269"/>
      <c r="G8" s="307"/>
      <c r="H8" s="286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54"/>
      <c r="V8" s="257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60"/>
      <c r="D9" s="263"/>
      <c r="E9" s="266"/>
      <c r="F9" s="269"/>
      <c r="G9" s="307"/>
      <c r="H9" s="286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54"/>
      <c r="V9" s="257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61"/>
      <c r="D10" s="264"/>
      <c r="E10" s="267"/>
      <c r="F10" s="270"/>
      <c r="G10" s="308"/>
      <c r="H10" s="287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55"/>
      <c r="V10" s="258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59" t="s">
        <v>2987</v>
      </c>
      <c r="D12" s="262" t="s">
        <v>2551</v>
      </c>
      <c r="E12" s="265" t="s">
        <v>2986</v>
      </c>
      <c r="F12" s="268">
        <v>46205</v>
      </c>
      <c r="G12" s="306"/>
      <c r="H12" s="291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53">
        <f>T15/T12</f>
        <v>0.76586952907929418</v>
      </c>
      <c r="V12" s="256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60"/>
      <c r="D13" s="263"/>
      <c r="E13" s="266"/>
      <c r="F13" s="269"/>
      <c r="G13" s="307"/>
      <c r="H13" s="292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54"/>
      <c r="V13" s="257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60"/>
      <c r="D14" s="263"/>
      <c r="E14" s="266"/>
      <c r="F14" s="269"/>
      <c r="G14" s="307"/>
      <c r="H14" s="292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54"/>
      <c r="V14" s="257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60"/>
      <c r="D15" s="263"/>
      <c r="E15" s="266"/>
      <c r="F15" s="269"/>
      <c r="G15" s="307"/>
      <c r="H15" s="292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54"/>
      <c r="V15" s="257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61"/>
      <c r="D16" s="264"/>
      <c r="E16" s="267"/>
      <c r="F16" s="270"/>
      <c r="G16" s="308"/>
      <c r="H16" s="293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55"/>
      <c r="V16" s="258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59" t="s">
        <v>2983</v>
      </c>
      <c r="D18" s="262" t="s">
        <v>2984</v>
      </c>
      <c r="E18" s="265" t="s">
        <v>2985</v>
      </c>
      <c r="F18" s="268">
        <v>46289</v>
      </c>
      <c r="G18" s="306"/>
      <c r="H18" s="274" t="s">
        <v>4324</v>
      </c>
      <c r="I18" s="127" t="s">
        <v>3031</v>
      </c>
      <c r="J18" s="128">
        <f>SUMIF(PERFORMANCE!$N:$N,W18,PERFORMANCE!$G:$G)/1000</f>
        <v>8.109099999999998</v>
      </c>
      <c r="K18" s="128">
        <f>SUMIF(PERFORMANCE!$N:$N,X18,PERFORMANCE!$G:$G)/1000</f>
        <v>0</v>
      </c>
      <c r="L18" s="128">
        <f>SUMIF(PERFORMANCE!$N:$N,Y18,PERFORMANCE!$G:$G)/1000</f>
        <v>5.4174000000000007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33.387099999999997</v>
      </c>
      <c r="U18" s="253">
        <f>T21/T18</f>
        <v>0.7892509382366244</v>
      </c>
      <c r="V18" s="256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60"/>
      <c r="D19" s="263"/>
      <c r="E19" s="266"/>
      <c r="F19" s="269"/>
      <c r="G19" s="307"/>
      <c r="H19" s="275"/>
      <c r="I19" s="129" t="s">
        <v>3028</v>
      </c>
      <c r="J19" s="130">
        <f t="shared" ref="J19" si="17">J18-J20</f>
        <v>7.8932999999999982</v>
      </c>
      <c r="K19" s="130">
        <f t="shared" ref="K19" si="18">K18-K20</f>
        <v>0</v>
      </c>
      <c r="L19" s="130">
        <f t="shared" ref="L19" si="19">L18-L20</f>
        <v>5.4174000000000007</v>
      </c>
      <c r="M19" s="130">
        <f t="shared" ref="M19" si="20">M18-M20</f>
        <v>9.2813999999999997</v>
      </c>
      <c r="N19" s="130">
        <f>N18-N20</f>
        <v>10.5792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33.171299999999995</v>
      </c>
      <c r="U19" s="254"/>
      <c r="V19" s="257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60"/>
      <c r="D20" s="263"/>
      <c r="E20" s="266"/>
      <c r="F20" s="269"/>
      <c r="G20" s="307"/>
      <c r="H20" s="275"/>
      <c r="I20" s="129" t="s">
        <v>3030</v>
      </c>
      <c r="J20" s="131">
        <f>SUMIF(PERFORMANCE!$N:$N,W18,PERFORMANCE!$Q:$Q)/1000</f>
        <v>0.21580000000000005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0.21580000000000005</v>
      </c>
      <c r="U20" s="254"/>
      <c r="V20" s="257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60"/>
      <c r="D21" s="263"/>
      <c r="E21" s="266"/>
      <c r="F21" s="269"/>
      <c r="G21" s="307"/>
      <c r="H21" s="275"/>
      <c r="I21" s="132" t="s">
        <v>315</v>
      </c>
      <c r="J21" s="131">
        <f>SUMIF(PERFORMANCE!$N:$N,MACRO!W18,PERFORMANCE!$R:$R)/1000</f>
        <v>6.4901999999999997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9.2813999999999997</v>
      </c>
      <c r="N21" s="131">
        <f>SUMIF(PERFORMANCE!$N:$N,MACRO!AA18,PERFORMANCE!$R:$R)/1000</f>
        <v>10.5792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26.3508</v>
      </c>
      <c r="U21" s="254"/>
      <c r="V21" s="257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61"/>
      <c r="D22" s="264"/>
      <c r="E22" s="267"/>
      <c r="F22" s="270"/>
      <c r="G22" s="308"/>
      <c r="H22" s="276"/>
      <c r="I22" s="133" t="s">
        <v>3029</v>
      </c>
      <c r="J22" s="134">
        <f t="shared" ref="J22:R22" si="28">J18-J21</f>
        <v>1.6188999999999982</v>
      </c>
      <c r="K22" s="134">
        <f t="shared" si="28"/>
        <v>0</v>
      </c>
      <c r="L22" s="134">
        <f t="shared" si="28"/>
        <v>5.4174000000000007</v>
      </c>
      <c r="M22" s="134">
        <f t="shared" si="28"/>
        <v>0</v>
      </c>
      <c r="N22" s="134">
        <f t="shared" si="28"/>
        <v>0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7.0362999999999971</v>
      </c>
      <c r="U22" s="255"/>
      <c r="V22" s="258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59" t="s">
        <v>3292</v>
      </c>
      <c r="D24" s="262" t="s">
        <v>3291</v>
      </c>
      <c r="E24" s="265" t="s">
        <v>3293</v>
      </c>
      <c r="F24" s="268">
        <v>46336</v>
      </c>
      <c r="G24" s="271"/>
      <c r="H24" s="274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53">
        <v>0</v>
      </c>
      <c r="V24" s="256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60"/>
      <c r="D25" s="263"/>
      <c r="E25" s="266"/>
      <c r="F25" s="269"/>
      <c r="G25" s="272"/>
      <c r="H25" s="275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54"/>
      <c r="V25" s="257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60"/>
      <c r="D26" s="263"/>
      <c r="E26" s="266"/>
      <c r="F26" s="269"/>
      <c r="G26" s="272"/>
      <c r="H26" s="275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54"/>
      <c r="V26" s="257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60"/>
      <c r="D27" s="263"/>
      <c r="E27" s="266"/>
      <c r="F27" s="269"/>
      <c r="G27" s="272"/>
      <c r="H27" s="275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54"/>
      <c r="V27" s="257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61"/>
      <c r="D28" s="264"/>
      <c r="E28" s="267"/>
      <c r="F28" s="270"/>
      <c r="G28" s="273"/>
      <c r="H28" s="276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55"/>
      <c r="V28" s="258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59" t="s">
        <v>2993</v>
      </c>
      <c r="D30" s="262" t="s">
        <v>2989</v>
      </c>
      <c r="E30" s="265" t="s">
        <v>2994</v>
      </c>
      <c r="F30" s="268">
        <v>46219</v>
      </c>
      <c r="G30" s="271"/>
      <c r="H30" s="285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53">
        <v>0</v>
      </c>
      <c r="V30" s="256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60"/>
      <c r="D31" s="263"/>
      <c r="E31" s="266"/>
      <c r="F31" s="269"/>
      <c r="G31" s="272"/>
      <c r="H31" s="286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54"/>
      <c r="V31" s="257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60"/>
      <c r="D32" s="263"/>
      <c r="E32" s="266"/>
      <c r="F32" s="269"/>
      <c r="G32" s="272"/>
      <c r="H32" s="286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54"/>
      <c r="V32" s="257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60"/>
      <c r="D33" s="263"/>
      <c r="E33" s="266"/>
      <c r="F33" s="269"/>
      <c r="G33" s="272"/>
      <c r="H33" s="286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54"/>
      <c r="V33" s="257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61"/>
      <c r="D34" s="264"/>
      <c r="E34" s="267"/>
      <c r="F34" s="270"/>
      <c r="G34" s="273"/>
      <c r="H34" s="287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55"/>
      <c r="V34" s="258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59" t="s">
        <v>2995</v>
      </c>
      <c r="D36" s="262" t="s">
        <v>2990</v>
      </c>
      <c r="E36" s="265" t="s">
        <v>2992</v>
      </c>
      <c r="F36" s="268">
        <v>46198</v>
      </c>
      <c r="G36" s="288"/>
      <c r="H36" s="291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53">
        <v>0</v>
      </c>
      <c r="V36" s="256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60"/>
      <c r="D37" s="263"/>
      <c r="E37" s="266"/>
      <c r="F37" s="269"/>
      <c r="G37" s="289"/>
      <c r="H37" s="292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54"/>
      <c r="V37" s="257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60"/>
      <c r="D38" s="263"/>
      <c r="E38" s="266"/>
      <c r="F38" s="269"/>
      <c r="G38" s="289"/>
      <c r="H38" s="292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54"/>
      <c r="V38" s="257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60"/>
      <c r="D39" s="263"/>
      <c r="E39" s="266"/>
      <c r="F39" s="269"/>
      <c r="G39" s="289"/>
      <c r="H39" s="292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54"/>
      <c r="V39" s="257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61"/>
      <c r="D40" s="264"/>
      <c r="E40" s="267"/>
      <c r="F40" s="270"/>
      <c r="G40" s="290"/>
      <c r="H40" s="293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55"/>
      <c r="V40" s="258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59" t="s">
        <v>3006</v>
      </c>
      <c r="D42" s="262" t="s">
        <v>3004</v>
      </c>
      <c r="E42" s="265" t="s">
        <v>3007</v>
      </c>
      <c r="F42" s="268">
        <v>46188</v>
      </c>
      <c r="G42" s="288">
        <v>46220</v>
      </c>
      <c r="H42" s="285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53">
        <v>0</v>
      </c>
      <c r="V42" s="256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60"/>
      <c r="D43" s="263"/>
      <c r="E43" s="266"/>
      <c r="F43" s="269"/>
      <c r="G43" s="289"/>
      <c r="H43" s="286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54"/>
      <c r="V43" s="257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60"/>
      <c r="D44" s="263"/>
      <c r="E44" s="266"/>
      <c r="F44" s="269"/>
      <c r="G44" s="289"/>
      <c r="H44" s="286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54"/>
      <c r="V44" s="257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60"/>
      <c r="D45" s="263"/>
      <c r="E45" s="266"/>
      <c r="F45" s="269"/>
      <c r="G45" s="289"/>
      <c r="H45" s="286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54"/>
      <c r="V45" s="257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61"/>
      <c r="D46" s="264"/>
      <c r="E46" s="267"/>
      <c r="F46" s="270"/>
      <c r="G46" s="290"/>
      <c r="H46" s="287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55"/>
      <c r="V46" s="258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59" t="s">
        <v>3009</v>
      </c>
      <c r="D48" s="262" t="s">
        <v>3005</v>
      </c>
      <c r="E48" s="265" t="s">
        <v>3008</v>
      </c>
      <c r="F48" s="268">
        <v>46202</v>
      </c>
      <c r="G48" s="288">
        <v>46233</v>
      </c>
      <c r="H48" s="285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53">
        <v>0</v>
      </c>
      <c r="V48" s="256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60"/>
      <c r="D49" s="263"/>
      <c r="E49" s="266"/>
      <c r="F49" s="269"/>
      <c r="G49" s="289"/>
      <c r="H49" s="286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54"/>
      <c r="V49" s="257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60"/>
      <c r="D50" s="263"/>
      <c r="E50" s="266"/>
      <c r="F50" s="269"/>
      <c r="G50" s="289"/>
      <c r="H50" s="286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54"/>
      <c r="V50" s="257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60"/>
      <c r="D51" s="263"/>
      <c r="E51" s="266"/>
      <c r="F51" s="269"/>
      <c r="G51" s="289"/>
      <c r="H51" s="286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54"/>
      <c r="V51" s="257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61"/>
      <c r="D52" s="264"/>
      <c r="E52" s="267"/>
      <c r="F52" s="270"/>
      <c r="G52" s="290"/>
      <c r="H52" s="287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55"/>
      <c r="V52" s="258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59" t="s">
        <v>3009</v>
      </c>
      <c r="D54" s="262" t="s">
        <v>3111</v>
      </c>
      <c r="E54" s="265" t="s">
        <v>3164</v>
      </c>
      <c r="F54" s="268">
        <v>46226</v>
      </c>
      <c r="G54" s="271"/>
      <c r="H54" s="285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53">
        <v>0</v>
      </c>
      <c r="V54" s="256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60"/>
      <c r="D55" s="263"/>
      <c r="E55" s="266"/>
      <c r="F55" s="269"/>
      <c r="G55" s="272"/>
      <c r="H55" s="286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54"/>
      <c r="V55" s="257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60"/>
      <c r="D56" s="263"/>
      <c r="E56" s="266"/>
      <c r="F56" s="269"/>
      <c r="G56" s="272"/>
      <c r="H56" s="286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54"/>
      <c r="V56" s="257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60"/>
      <c r="D57" s="263"/>
      <c r="E57" s="266"/>
      <c r="F57" s="269"/>
      <c r="G57" s="272"/>
      <c r="H57" s="286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54"/>
      <c r="V57" s="257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61"/>
      <c r="D58" s="264"/>
      <c r="E58" s="267"/>
      <c r="F58" s="270"/>
      <c r="G58" s="273"/>
      <c r="H58" s="287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55"/>
      <c r="V58" s="258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59" t="s">
        <v>3165</v>
      </c>
      <c r="D60" s="262" t="s">
        <v>3163</v>
      </c>
      <c r="E60" s="265" t="s">
        <v>3166</v>
      </c>
      <c r="F60" s="268">
        <v>46235</v>
      </c>
      <c r="G60" s="271"/>
      <c r="H60" s="274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53">
        <v>0</v>
      </c>
      <c r="V60" s="256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60"/>
      <c r="D61" s="263"/>
      <c r="E61" s="266"/>
      <c r="F61" s="269"/>
      <c r="G61" s="272"/>
      <c r="H61" s="275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54"/>
      <c r="V61" s="257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60"/>
      <c r="D62" s="263"/>
      <c r="E62" s="266"/>
      <c r="F62" s="269"/>
      <c r="G62" s="272"/>
      <c r="H62" s="275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54"/>
      <c r="V62" s="257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60"/>
      <c r="D63" s="263"/>
      <c r="E63" s="266"/>
      <c r="F63" s="269"/>
      <c r="G63" s="272"/>
      <c r="H63" s="275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9.7199999999999995E-2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9.7199999999999995E-2</v>
      </c>
      <c r="U63" s="254"/>
      <c r="V63" s="257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61"/>
      <c r="D64" s="264"/>
      <c r="E64" s="267"/>
      <c r="F64" s="270"/>
      <c r="G64" s="273"/>
      <c r="H64" s="276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0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0</v>
      </c>
      <c r="U64" s="255"/>
      <c r="V64" s="258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59" t="s">
        <v>4307</v>
      </c>
      <c r="D66" s="262" t="s">
        <v>4299</v>
      </c>
      <c r="E66" s="265" t="s">
        <v>4308</v>
      </c>
      <c r="F66" s="268">
        <v>46233</v>
      </c>
      <c r="G66" s="271"/>
      <c r="H66" s="274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53">
        <v>0</v>
      </c>
      <c r="V66" s="256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60"/>
      <c r="D67" s="263"/>
      <c r="E67" s="266"/>
      <c r="F67" s="269"/>
      <c r="G67" s="272"/>
      <c r="H67" s="275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0.13500000000000001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0.13500000000000001</v>
      </c>
      <c r="U67" s="254"/>
      <c r="V67" s="257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60"/>
      <c r="D68" s="263"/>
      <c r="E68" s="266"/>
      <c r="F68" s="269"/>
      <c r="G68" s="272"/>
      <c r="H68" s="275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0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0</v>
      </c>
      <c r="U68" s="254"/>
      <c r="V68" s="257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60"/>
      <c r="D69" s="263"/>
      <c r="E69" s="266"/>
      <c r="F69" s="269"/>
      <c r="G69" s="272"/>
      <c r="H69" s="275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0.13500000000000001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0.13500000000000001</v>
      </c>
      <c r="U69" s="254"/>
      <c r="V69" s="257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61"/>
      <c r="D70" s="264"/>
      <c r="E70" s="267"/>
      <c r="F70" s="270"/>
      <c r="G70" s="273"/>
      <c r="H70" s="276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</v>
      </c>
      <c r="U70" s="255"/>
      <c r="V70" s="258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59" t="s">
        <v>3165</v>
      </c>
      <c r="D72" s="262" t="s">
        <v>4306</v>
      </c>
      <c r="E72" s="265" t="s">
        <v>4309</v>
      </c>
      <c r="F72" s="268">
        <v>46280</v>
      </c>
      <c r="G72" s="271"/>
      <c r="H72" s="274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53">
        <v>0</v>
      </c>
      <c r="V72" s="256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60"/>
      <c r="D73" s="263"/>
      <c r="E73" s="266"/>
      <c r="F73" s="269"/>
      <c r="G73" s="272"/>
      <c r="H73" s="275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54"/>
      <c r="V73" s="257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60"/>
      <c r="D74" s="263"/>
      <c r="E74" s="266"/>
      <c r="F74" s="269"/>
      <c r="G74" s="272"/>
      <c r="H74" s="275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54"/>
      <c r="V74" s="257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60"/>
      <c r="D75" s="263"/>
      <c r="E75" s="266"/>
      <c r="F75" s="269"/>
      <c r="G75" s="272"/>
      <c r="H75" s="275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54"/>
      <c r="V75" s="257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61"/>
      <c r="D76" s="264"/>
      <c r="E76" s="267"/>
      <c r="F76" s="270"/>
      <c r="G76" s="273"/>
      <c r="H76" s="276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55"/>
      <c r="V76" s="258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77" t="s">
        <v>326</v>
      </c>
      <c r="E79" s="279" t="s">
        <v>891</v>
      </c>
      <c r="F79" s="280"/>
      <c r="G79" s="280"/>
      <c r="H79" s="280"/>
      <c r="I79" s="280"/>
      <c r="J79" s="281"/>
      <c r="K79" s="282" t="s">
        <v>331</v>
      </c>
      <c r="L79" s="283"/>
      <c r="M79" s="283"/>
      <c r="N79" s="284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78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25.185099999999998</v>
      </c>
      <c r="F81" s="98">
        <f t="shared" si="230"/>
        <v>0.14360000000000001</v>
      </c>
      <c r="G81" s="98">
        <f t="shared" si="230"/>
        <v>9.3310999999999993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97.505799999999994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8.8692999999999955</v>
      </c>
      <c r="F83" s="141">
        <f t="shared" si="232"/>
        <v>3.5999999999999921E-3</v>
      </c>
      <c r="G83" s="141">
        <f>G81-G85</f>
        <v>5.6310999999999991</v>
      </c>
      <c r="H83" s="141">
        <f>H81-H85</f>
        <v>10.351599999999999</v>
      </c>
      <c r="I83" s="141">
        <f t="shared" ref="I83:M83" si="233">I81-I85</f>
        <v>10.814400000000001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35.669999999999995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16.315800000000003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2.0099999999999998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61.835799999999999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20.366199999999999</v>
      </c>
      <c r="F86" s="98">
        <f t="shared" si="235"/>
        <v>0</v>
      </c>
      <c r="G86" s="98">
        <f t="shared" si="235"/>
        <v>3.3136999999999999</v>
      </c>
      <c r="H86" s="98">
        <f t="shared" si="235"/>
        <v>13.026599999999998</v>
      </c>
      <c r="I86" s="98">
        <f t="shared" si="235"/>
        <v>12.686400000000001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81.562899999999999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4.4188999999999981</v>
      </c>
      <c r="F87" s="146">
        <f t="shared" si="236"/>
        <v>0.14000000000000001</v>
      </c>
      <c r="G87" s="146">
        <f t="shared" si="236"/>
        <v>6.0474000000000006</v>
      </c>
      <c r="H87" s="146">
        <f t="shared" si="236"/>
        <v>0</v>
      </c>
      <c r="I87" s="146">
        <f t="shared" si="236"/>
        <v>0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15.436299999999996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481"/>
  <sheetViews>
    <sheetView topLeftCell="D1" zoomScaleNormal="100" workbookViewId="0">
      <pane ySplit="1" topLeftCell="A2" activePane="bottomLeft" state="frozen"/>
      <selection pane="bottomLeft" activeCell="D5279" sqref="D5279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142.19999999999999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295.39999999999998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950.5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2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4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2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2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2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2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2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2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2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2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2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2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2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2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2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2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2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2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2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2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2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2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2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2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2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2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7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7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7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7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7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7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7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7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7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7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7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7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7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7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7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7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7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7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7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7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7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7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7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7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7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7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7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7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7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7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7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7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7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7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7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7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7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7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7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7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7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7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7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7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7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7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7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7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7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7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7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7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7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7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7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7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7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7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7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7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7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7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7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7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7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7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7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7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7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7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7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7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7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7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7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7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7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7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7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7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7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7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7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7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7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7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7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7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7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7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7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7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7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7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7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7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7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7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7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7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7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7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7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7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7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7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7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7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7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7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7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7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7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7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7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7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7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7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7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7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7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7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7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7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7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7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7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7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7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7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7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7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7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7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7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7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7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7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7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7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7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7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7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7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1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1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1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1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1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1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2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1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2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1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2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1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1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1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1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1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1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1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1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1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1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1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1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1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1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1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1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1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1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1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1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1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1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1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1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1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1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1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1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1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1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1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1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1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1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1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1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1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1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1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1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1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1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1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1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1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1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1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1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1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1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1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1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1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1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1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1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1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1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1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1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1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1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1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1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1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1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1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1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1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1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1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1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1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1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1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1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1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1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1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1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1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1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1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1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1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1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1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1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1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1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1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1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1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1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1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1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1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1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1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1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1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1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1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1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1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1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1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1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1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1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1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1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1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1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1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1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1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1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1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1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1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1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1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1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1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1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1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1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1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1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1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1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1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1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1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4966</v>
      </c>
      <c r="J5115" s="1">
        <v>41</v>
      </c>
      <c r="K5115" s="1">
        <v>164</v>
      </c>
      <c r="L5115" s="42">
        <v>1</v>
      </c>
      <c r="M5115" s="221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4966</v>
      </c>
      <c r="J5116" s="1">
        <v>2.5</v>
      </c>
      <c r="K5116" s="1">
        <v>10</v>
      </c>
      <c r="L5116" s="42">
        <v>1</v>
      </c>
      <c r="M5116" s="221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4966</v>
      </c>
      <c r="J5117" s="1">
        <v>1.8</v>
      </c>
      <c r="K5117" s="1">
        <v>7.2</v>
      </c>
      <c r="L5117" s="42">
        <v>1</v>
      </c>
      <c r="M5117" s="221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4966</v>
      </c>
      <c r="J5118" s="1">
        <v>16</v>
      </c>
      <c r="K5118" s="1">
        <v>480</v>
      </c>
      <c r="L5118" s="42">
        <v>1</v>
      </c>
      <c r="M5118" s="221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4966</v>
      </c>
      <c r="J5119" s="1">
        <v>16</v>
      </c>
      <c r="K5119" s="1">
        <v>192</v>
      </c>
      <c r="L5119" s="42">
        <v>1</v>
      </c>
      <c r="M5119" s="221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4969</v>
      </c>
      <c r="J5120" s="1">
        <v>11.5</v>
      </c>
      <c r="K5120" s="1">
        <v>345</v>
      </c>
      <c r="L5120" s="42">
        <v>1</v>
      </c>
      <c r="M5120" s="221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5021</v>
      </c>
      <c r="J5121" s="1">
        <v>4.0999999999999996</v>
      </c>
      <c r="K5121" s="1">
        <v>122.99999999999999</v>
      </c>
      <c r="L5121" s="42">
        <v>1</v>
      </c>
      <c r="M5121" s="221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21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21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21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21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21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21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21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21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5022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21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21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21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21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21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21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5038</v>
      </c>
      <c r="J5136" s="1">
        <v>19.8</v>
      </c>
      <c r="K5136" s="1">
        <v>99</v>
      </c>
      <c r="L5136" s="42">
        <v>1</v>
      </c>
      <c r="M5136" s="221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5039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21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5040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21">
        <v>46247</v>
      </c>
      <c r="N5138" s="1" t="str">
        <f>VLOOKUP(B5138,MICRO!E:L,8,0)</f>
        <v>P-198</v>
      </c>
    </row>
    <row r="5139" spans="1:14" ht="20.25" x14ac:dyDescent="0.25">
      <c r="A5139" s="1">
        <v>1</v>
      </c>
      <c r="B5139" s="159">
        <v>3750</v>
      </c>
      <c r="C5139" s="1" t="s">
        <v>3059</v>
      </c>
      <c r="D5139" s="1"/>
      <c r="E5139" s="1" t="s">
        <v>43</v>
      </c>
      <c r="F5139" s="1" t="s">
        <v>3061</v>
      </c>
      <c r="G5139" s="1">
        <v>1</v>
      </c>
      <c r="H5139" s="1" t="s">
        <v>19</v>
      </c>
      <c r="I5139" s="1" t="s">
        <v>3034</v>
      </c>
      <c r="J5139" s="1">
        <v>520</v>
      </c>
      <c r="K5139" s="1">
        <v>520</v>
      </c>
      <c r="L5139" s="42">
        <v>5</v>
      </c>
      <c r="M5139" s="229">
        <v>46254</v>
      </c>
      <c r="N5139" s="1" t="str">
        <f>VLOOKUP(B5139,MICRO!E:L,8,0)</f>
        <v>P-198</v>
      </c>
    </row>
    <row r="5140" spans="1:14" ht="20.25" x14ac:dyDescent="0.25">
      <c r="A5140" s="1">
        <v>2</v>
      </c>
      <c r="B5140" s="159">
        <v>3751</v>
      </c>
      <c r="C5140" s="1" t="s">
        <v>3059</v>
      </c>
      <c r="D5140" s="1"/>
      <c r="E5140" s="1" t="s">
        <v>746</v>
      </c>
      <c r="F5140" s="1" t="s">
        <v>3062</v>
      </c>
      <c r="G5140" s="1">
        <v>2</v>
      </c>
      <c r="H5140" s="1" t="s">
        <v>19</v>
      </c>
      <c r="I5140" s="1" t="s">
        <v>3034</v>
      </c>
      <c r="J5140" s="1">
        <v>8.4</v>
      </c>
      <c r="K5140" s="1">
        <v>16.8</v>
      </c>
      <c r="L5140" s="42">
        <v>5</v>
      </c>
      <c r="M5140" s="229">
        <v>46254</v>
      </c>
      <c r="N5140" s="1" t="str">
        <f>VLOOKUP(B5140,MICRO!E:L,8,0)</f>
        <v>P-198</v>
      </c>
    </row>
    <row r="5141" spans="1:14" ht="20.25" x14ac:dyDescent="0.25">
      <c r="A5141" s="1">
        <v>3</v>
      </c>
      <c r="B5141" s="159"/>
      <c r="C5141" s="1" t="s">
        <v>3063</v>
      </c>
      <c r="D5141" s="1"/>
      <c r="E5141" s="1" t="s">
        <v>5386</v>
      </c>
      <c r="F5141" s="1" t="s">
        <v>5387</v>
      </c>
      <c r="G5141" s="1">
        <v>8</v>
      </c>
      <c r="H5141" s="1" t="s">
        <v>19</v>
      </c>
      <c r="I5141" s="1" t="s">
        <v>3045</v>
      </c>
      <c r="J5141" s="1">
        <v>0.1</v>
      </c>
      <c r="K5141" s="1">
        <v>0.8</v>
      </c>
      <c r="L5141" s="42">
        <v>5</v>
      </c>
      <c r="M5141" s="229">
        <v>46254</v>
      </c>
      <c r="N5141" s="1" t="e">
        <f>VLOOKUP(B5141,MICRO!E:L,8,0)</f>
        <v>#N/A</v>
      </c>
    </row>
    <row r="5142" spans="1:14" ht="20.25" x14ac:dyDescent="0.25">
      <c r="A5142" s="1">
        <v>4</v>
      </c>
      <c r="B5142" s="159"/>
      <c r="C5142" s="1" t="s">
        <v>3063</v>
      </c>
      <c r="D5142" s="1"/>
      <c r="E5142" s="1" t="s">
        <v>5386</v>
      </c>
      <c r="F5142" s="1" t="s">
        <v>5387</v>
      </c>
      <c r="G5142" s="1">
        <v>8</v>
      </c>
      <c r="H5142" s="1" t="s">
        <v>19</v>
      </c>
      <c r="I5142" s="1" t="s">
        <v>3034</v>
      </c>
      <c r="J5142" s="1">
        <v>0.1</v>
      </c>
      <c r="K5142" s="1">
        <v>0.8</v>
      </c>
      <c r="L5142" s="42">
        <v>5</v>
      </c>
      <c r="M5142" s="229">
        <v>46254</v>
      </c>
      <c r="N5142" s="1" t="e">
        <f>VLOOKUP(B5142,MICRO!E:L,8,0)</f>
        <v>#N/A</v>
      </c>
    </row>
    <row r="5143" spans="1:14" ht="20.25" x14ac:dyDescent="0.25">
      <c r="A5143" s="1">
        <v>5</v>
      </c>
      <c r="B5143" s="159">
        <v>3778</v>
      </c>
      <c r="C5143" s="1" t="s">
        <v>3112</v>
      </c>
      <c r="D5143" s="1" t="s">
        <v>3119</v>
      </c>
      <c r="E5143" s="1" t="s">
        <v>2</v>
      </c>
      <c r="F5143" s="1" t="s">
        <v>3113</v>
      </c>
      <c r="G5143" s="1">
        <v>18</v>
      </c>
      <c r="H5143" s="1" t="s">
        <v>19</v>
      </c>
      <c r="I5143" s="1" t="s">
        <v>3034</v>
      </c>
      <c r="J5143" s="1">
        <v>2.5</v>
      </c>
      <c r="K5143" s="1">
        <v>45</v>
      </c>
      <c r="L5143" s="42">
        <v>5</v>
      </c>
      <c r="M5143" s="229">
        <v>46254</v>
      </c>
      <c r="N5143" s="1" t="str">
        <f>VLOOKUP(B5143,MICRO!E:L,8,0)</f>
        <v>P-198</v>
      </c>
    </row>
    <row r="5144" spans="1:14" ht="20.25" x14ac:dyDescent="0.25">
      <c r="A5144" s="1">
        <v>6</v>
      </c>
      <c r="B5144" s="159">
        <v>3783</v>
      </c>
      <c r="C5144" s="1" t="s">
        <v>3112</v>
      </c>
      <c r="D5144" s="1" t="s">
        <v>3119</v>
      </c>
      <c r="E5144" s="1" t="s">
        <v>173</v>
      </c>
      <c r="F5144" s="1" t="s">
        <v>3118</v>
      </c>
      <c r="G5144" s="1">
        <v>6</v>
      </c>
      <c r="H5144" s="1" t="s">
        <v>19</v>
      </c>
      <c r="I5144" s="1" t="s">
        <v>3034</v>
      </c>
      <c r="J5144" s="1">
        <v>4</v>
      </c>
      <c r="K5144" s="1">
        <v>24</v>
      </c>
      <c r="L5144" s="42">
        <v>5</v>
      </c>
      <c r="M5144" s="229">
        <v>46254</v>
      </c>
      <c r="N5144" s="1" t="str">
        <f>VLOOKUP(B5144,MICRO!E:L,8,0)</f>
        <v>P-198</v>
      </c>
    </row>
    <row r="5145" spans="1:14" ht="20.25" x14ac:dyDescent="0.25">
      <c r="A5145" s="1">
        <v>7</v>
      </c>
      <c r="B5145" s="159">
        <v>3786</v>
      </c>
      <c r="C5145" s="1" t="s">
        <v>3124</v>
      </c>
      <c r="D5145" s="1" t="s">
        <v>3125</v>
      </c>
      <c r="E5145" s="1" t="s">
        <v>2</v>
      </c>
      <c r="F5145" s="1" t="s">
        <v>3126</v>
      </c>
      <c r="G5145" s="1">
        <v>2</v>
      </c>
      <c r="H5145" s="1" t="s">
        <v>19</v>
      </c>
      <c r="I5145" s="1" t="s">
        <v>3034</v>
      </c>
      <c r="J5145" s="1">
        <v>77.3</v>
      </c>
      <c r="K5145" s="1">
        <v>154.6</v>
      </c>
      <c r="L5145" s="42">
        <v>5</v>
      </c>
      <c r="M5145" s="229">
        <v>46254</v>
      </c>
      <c r="N5145" s="1" t="str">
        <f>VLOOKUP(B5145,MICRO!E:L,8,0)</f>
        <v>P-198</v>
      </c>
    </row>
    <row r="5146" spans="1:14" ht="20.25" x14ac:dyDescent="0.25">
      <c r="A5146" s="1">
        <v>8</v>
      </c>
      <c r="B5146" s="159">
        <v>3789</v>
      </c>
      <c r="C5146" s="1" t="s">
        <v>3127</v>
      </c>
      <c r="D5146" s="1" t="s">
        <v>3128</v>
      </c>
      <c r="E5146" s="1" t="s">
        <v>746</v>
      </c>
      <c r="F5146" s="1" t="s">
        <v>3131</v>
      </c>
      <c r="G5146" s="1">
        <v>12</v>
      </c>
      <c r="H5146" s="1" t="s">
        <v>19</v>
      </c>
      <c r="I5146" s="1" t="s">
        <v>3034</v>
      </c>
      <c r="J5146" s="1">
        <v>57.6</v>
      </c>
      <c r="K5146" s="1">
        <v>691.2</v>
      </c>
      <c r="L5146" s="42">
        <v>5</v>
      </c>
      <c r="M5146" s="229">
        <v>46254</v>
      </c>
      <c r="N5146" s="1" t="str">
        <f>VLOOKUP(B5146,MICRO!E:L,8,0)</f>
        <v>P-198</v>
      </c>
    </row>
    <row r="5147" spans="1:14" ht="20.25" x14ac:dyDescent="0.25">
      <c r="A5147" s="1">
        <v>9</v>
      </c>
      <c r="B5147" s="159">
        <v>3790</v>
      </c>
      <c r="C5147" s="1" t="s">
        <v>3127</v>
      </c>
      <c r="D5147" s="1" t="s">
        <v>3128</v>
      </c>
      <c r="E5147" s="1" t="s">
        <v>1101</v>
      </c>
      <c r="F5147" s="1" t="s">
        <v>3132</v>
      </c>
      <c r="G5147" s="1">
        <v>2</v>
      </c>
      <c r="H5147" s="1" t="s">
        <v>19</v>
      </c>
      <c r="I5147" s="1" t="s">
        <v>3034</v>
      </c>
      <c r="J5147" s="1">
        <v>57.6</v>
      </c>
      <c r="K5147" s="1">
        <v>115.2</v>
      </c>
      <c r="L5147" s="42">
        <v>5</v>
      </c>
      <c r="M5147" s="229">
        <v>46254</v>
      </c>
      <c r="N5147" s="1" t="str">
        <f>VLOOKUP(B5147,MICRO!E:L,8,0)</f>
        <v>P-198</v>
      </c>
    </row>
    <row r="5148" spans="1:14" ht="20.25" x14ac:dyDescent="0.25">
      <c r="A5148" s="1">
        <v>10</v>
      </c>
      <c r="B5148" s="159">
        <v>3801</v>
      </c>
      <c r="C5148" s="1" t="s">
        <v>3144</v>
      </c>
      <c r="D5148" s="1"/>
      <c r="E5148" s="1"/>
      <c r="F5148" s="1" t="s">
        <v>660</v>
      </c>
      <c r="G5148" s="1">
        <v>14</v>
      </c>
      <c r="H5148" s="1" t="s">
        <v>19</v>
      </c>
      <c r="I5148" s="1" t="s">
        <v>3140</v>
      </c>
      <c r="J5148" s="1">
        <v>4.7</v>
      </c>
      <c r="K5148" s="1">
        <v>65.8</v>
      </c>
      <c r="L5148" s="42">
        <v>5</v>
      </c>
      <c r="M5148" s="229">
        <v>46254</v>
      </c>
      <c r="N5148" s="1" t="str">
        <f>VLOOKUP(B5148,MICRO!E:L,8,0)</f>
        <v>P-198</v>
      </c>
    </row>
    <row r="5149" spans="1:14" ht="20.25" x14ac:dyDescent="0.25">
      <c r="A5149" s="1">
        <v>11</v>
      </c>
      <c r="B5149" s="159">
        <v>3806</v>
      </c>
      <c r="C5149" s="1" t="s">
        <v>3150</v>
      </c>
      <c r="D5149" s="1"/>
      <c r="E5149" s="1" t="s">
        <v>2</v>
      </c>
      <c r="F5149" s="1" t="s">
        <v>3151</v>
      </c>
      <c r="G5149" s="1">
        <v>5</v>
      </c>
      <c r="H5149" s="1" t="s">
        <v>19</v>
      </c>
      <c r="I5149" s="1" t="s">
        <v>3140</v>
      </c>
      <c r="J5149" s="1">
        <v>6</v>
      </c>
      <c r="K5149" s="1">
        <v>30</v>
      </c>
      <c r="L5149" s="42">
        <v>5</v>
      </c>
      <c r="M5149" s="229">
        <v>46254</v>
      </c>
      <c r="N5149" s="1" t="str">
        <f>VLOOKUP(B5149,MICRO!E:L,8,0)</f>
        <v>P-198</v>
      </c>
    </row>
    <row r="5150" spans="1:14" ht="20.25" x14ac:dyDescent="0.25">
      <c r="A5150" s="1">
        <v>12</v>
      </c>
      <c r="B5150" s="159"/>
      <c r="C5150" s="1" t="s">
        <v>3063</v>
      </c>
      <c r="D5150" s="1"/>
      <c r="E5150" s="1" t="s">
        <v>5386</v>
      </c>
      <c r="F5150" s="1" t="s">
        <v>5387</v>
      </c>
      <c r="G5150" s="1">
        <v>8</v>
      </c>
      <c r="H5150" s="1" t="s">
        <v>19</v>
      </c>
      <c r="I5150" s="1" t="s">
        <v>3093</v>
      </c>
      <c r="J5150" s="1">
        <v>0.1</v>
      </c>
      <c r="K5150" s="1">
        <v>0.8</v>
      </c>
      <c r="L5150" s="42">
        <v>5</v>
      </c>
      <c r="M5150" s="229">
        <v>46254</v>
      </c>
      <c r="N5150" s="1" t="e">
        <f>VLOOKUP(B5150,MICRO!E:L,8,0)</f>
        <v>#N/A</v>
      </c>
    </row>
    <row r="5151" spans="1:14" ht="20.25" x14ac:dyDescent="0.25">
      <c r="A5151" s="1">
        <v>13</v>
      </c>
      <c r="B5151" s="159"/>
      <c r="C5151" s="1" t="s">
        <v>3063</v>
      </c>
      <c r="D5151" s="1"/>
      <c r="E5151" s="1" t="s">
        <v>5386</v>
      </c>
      <c r="F5151" s="1" t="s">
        <v>5387</v>
      </c>
      <c r="G5151" s="1">
        <v>8</v>
      </c>
      <c r="H5151" s="1" t="s">
        <v>19</v>
      </c>
      <c r="I5151" s="1" t="s">
        <v>3140</v>
      </c>
      <c r="J5151" s="1">
        <v>0.1</v>
      </c>
      <c r="K5151" s="1">
        <v>0.8</v>
      </c>
      <c r="L5151" s="42">
        <v>5</v>
      </c>
      <c r="M5151" s="229">
        <v>46254</v>
      </c>
      <c r="N5151" s="1" t="e">
        <f>VLOOKUP(B5151,MICRO!E:L,8,0)</f>
        <v>#N/A</v>
      </c>
    </row>
    <row r="5152" spans="1:14" ht="20.25" x14ac:dyDescent="0.25">
      <c r="A5152" s="1">
        <v>14</v>
      </c>
      <c r="B5152" s="159">
        <v>3827</v>
      </c>
      <c r="C5152" s="1" t="s">
        <v>3301</v>
      </c>
      <c r="D5152" s="1" t="s">
        <v>3302</v>
      </c>
      <c r="E5152" s="1" t="s">
        <v>2</v>
      </c>
      <c r="F5152" s="1" t="s">
        <v>3303</v>
      </c>
      <c r="G5152" s="1">
        <v>3</v>
      </c>
      <c r="H5152" s="1" t="s">
        <v>19</v>
      </c>
      <c r="I5152" s="1" t="s">
        <v>3034</v>
      </c>
      <c r="J5152" s="1">
        <v>7.4</v>
      </c>
      <c r="K5152" s="1">
        <v>22.200000000000003</v>
      </c>
      <c r="L5152" s="42">
        <v>5</v>
      </c>
      <c r="M5152" s="229">
        <v>46254</v>
      </c>
      <c r="N5152" s="1" t="str">
        <f>VLOOKUP(B5152,MICRO!E:L,8,0)</f>
        <v>P-198</v>
      </c>
    </row>
    <row r="5153" spans="1:14" ht="20.25" x14ac:dyDescent="0.25">
      <c r="A5153" s="1">
        <v>15</v>
      </c>
      <c r="B5153" s="159">
        <v>3832</v>
      </c>
      <c r="C5153" s="1" t="s">
        <v>3315</v>
      </c>
      <c r="D5153" s="1" t="s">
        <v>3316</v>
      </c>
      <c r="E5153" s="1" t="s">
        <v>2</v>
      </c>
      <c r="F5153" s="1" t="s">
        <v>3317</v>
      </c>
      <c r="G5153" s="1">
        <v>38</v>
      </c>
      <c r="H5153" s="1" t="s">
        <v>19</v>
      </c>
      <c r="I5153" s="1" t="s">
        <v>3034</v>
      </c>
      <c r="J5153" s="1">
        <v>2.6</v>
      </c>
      <c r="K5153" s="1">
        <v>98.8</v>
      </c>
      <c r="L5153" s="42">
        <v>5</v>
      </c>
      <c r="M5153" s="229">
        <v>46254</v>
      </c>
      <c r="N5153" s="1" t="str">
        <f>VLOOKUP(B5153,MICRO!E:L,8,0)</f>
        <v>P-198</v>
      </c>
    </row>
    <row r="5154" spans="1:14" ht="20.25" x14ac:dyDescent="0.25">
      <c r="A5154" s="1">
        <v>16</v>
      </c>
      <c r="B5154" s="159">
        <v>3833</v>
      </c>
      <c r="C5154" s="1" t="s">
        <v>3315</v>
      </c>
      <c r="D5154" s="1" t="s">
        <v>3316</v>
      </c>
      <c r="E5154" s="1" t="s">
        <v>43</v>
      </c>
      <c r="F5154" s="1" t="s">
        <v>3319</v>
      </c>
      <c r="G5154" s="1">
        <v>18</v>
      </c>
      <c r="H5154" s="1" t="s">
        <v>19</v>
      </c>
      <c r="I5154" s="1" t="s">
        <v>3034</v>
      </c>
      <c r="J5154" s="1">
        <v>2.5</v>
      </c>
      <c r="K5154" s="1">
        <v>45</v>
      </c>
      <c r="L5154" s="42">
        <v>5</v>
      </c>
      <c r="M5154" s="229">
        <v>46254</v>
      </c>
      <c r="N5154" s="1" t="str">
        <f>VLOOKUP(B5154,MICRO!E:L,8,0)</f>
        <v>P-198</v>
      </c>
    </row>
    <row r="5155" spans="1:14" ht="20.25" x14ac:dyDescent="0.25">
      <c r="A5155" s="1">
        <v>17</v>
      </c>
      <c r="B5155" s="159">
        <v>3849</v>
      </c>
      <c r="C5155" s="1" t="s">
        <v>3732</v>
      </c>
      <c r="D5155" s="1" t="s">
        <v>3733</v>
      </c>
      <c r="E5155" s="1" t="s">
        <v>2</v>
      </c>
      <c r="F5155" s="1" t="s">
        <v>3734</v>
      </c>
      <c r="G5155" s="1">
        <v>1</v>
      </c>
      <c r="H5155" s="1" t="s">
        <v>19</v>
      </c>
      <c r="I5155" s="1" t="s">
        <v>3045</v>
      </c>
      <c r="J5155" s="1">
        <v>374.4</v>
      </c>
      <c r="K5155" s="1">
        <v>374.4</v>
      </c>
      <c r="L5155" s="42">
        <v>5</v>
      </c>
      <c r="M5155" s="229">
        <v>46254</v>
      </c>
      <c r="N5155" s="1" t="str">
        <f>VLOOKUP(B5155,MICRO!E:L,8,0)</f>
        <v>P-198</v>
      </c>
    </row>
    <row r="5156" spans="1:14" ht="20.25" x14ac:dyDescent="0.25">
      <c r="A5156" s="1">
        <v>18</v>
      </c>
      <c r="B5156" s="159">
        <v>4330</v>
      </c>
      <c r="C5156" s="1" t="s">
        <v>4310</v>
      </c>
      <c r="D5156" s="1" t="s">
        <v>4311</v>
      </c>
      <c r="E5156" s="1" t="s">
        <v>746</v>
      </c>
      <c r="F5156" s="1" t="s">
        <v>4314</v>
      </c>
      <c r="G5156" s="1">
        <v>4</v>
      </c>
      <c r="H5156" s="1" t="s">
        <v>19</v>
      </c>
      <c r="I5156" s="1" t="s">
        <v>3045</v>
      </c>
      <c r="J5156" s="1">
        <v>51.3</v>
      </c>
      <c r="K5156" s="1">
        <v>205.2</v>
      </c>
      <c r="L5156" s="42">
        <v>5</v>
      </c>
      <c r="M5156" s="229">
        <v>46254</v>
      </c>
      <c r="N5156" s="1" t="str">
        <f>VLOOKUP(B5156,MICRO!E:L,8,0)</f>
        <v>P-198</v>
      </c>
    </row>
    <row r="5157" spans="1:14" ht="20.25" x14ac:dyDescent="0.25">
      <c r="A5157" s="1">
        <v>19</v>
      </c>
      <c r="B5157" s="159">
        <v>4333</v>
      </c>
      <c r="C5157" s="1" t="s">
        <v>4310</v>
      </c>
      <c r="D5157" s="1" t="s">
        <v>4311</v>
      </c>
      <c r="E5157" s="1" t="s">
        <v>173</v>
      </c>
      <c r="F5157" s="1" t="s">
        <v>5388</v>
      </c>
      <c r="G5157" s="1">
        <v>22</v>
      </c>
      <c r="H5157" s="1" t="s">
        <v>19</v>
      </c>
      <c r="I5157" s="1" t="s">
        <v>3045</v>
      </c>
      <c r="J5157" s="1">
        <v>7.6</v>
      </c>
      <c r="K5157" s="1">
        <v>167.2</v>
      </c>
      <c r="L5157" s="42">
        <v>5</v>
      </c>
      <c r="M5157" s="229">
        <v>46254</v>
      </c>
      <c r="N5157" s="1" t="str">
        <f>VLOOKUP(B5157,MICRO!E:L,8,0)</f>
        <v>P-198</v>
      </c>
    </row>
    <row r="5158" spans="1:14" ht="20.25" x14ac:dyDescent="0.25">
      <c r="A5158" s="1">
        <v>20</v>
      </c>
      <c r="B5158" s="159">
        <v>4334</v>
      </c>
      <c r="C5158" s="1" t="s">
        <v>4310</v>
      </c>
      <c r="D5158" s="1" t="s">
        <v>4311</v>
      </c>
      <c r="E5158" s="1" t="s">
        <v>461</v>
      </c>
      <c r="F5158" s="1" t="s">
        <v>4317</v>
      </c>
      <c r="G5158" s="1">
        <v>1</v>
      </c>
      <c r="H5158" s="1" t="s">
        <v>19</v>
      </c>
      <c r="I5158" s="1" t="s">
        <v>3045</v>
      </c>
      <c r="J5158" s="1">
        <v>25.9</v>
      </c>
      <c r="K5158" s="1">
        <v>25.9</v>
      </c>
      <c r="L5158" s="42">
        <v>5</v>
      </c>
      <c r="M5158" s="229">
        <v>46254</v>
      </c>
      <c r="N5158" s="1" t="str">
        <f>VLOOKUP(B5158,MICRO!E:L,8,0)</f>
        <v>P-198</v>
      </c>
    </row>
    <row r="5159" spans="1:14" ht="20.25" x14ac:dyDescent="0.25">
      <c r="A5159" s="1">
        <v>21</v>
      </c>
      <c r="B5159" s="159">
        <v>4395</v>
      </c>
      <c r="C5159" s="1" t="s">
        <v>4510</v>
      </c>
      <c r="D5159" s="1" t="s">
        <v>4511</v>
      </c>
      <c r="E5159" s="1" t="s">
        <v>2</v>
      </c>
      <c r="F5159" s="1" t="s">
        <v>5389</v>
      </c>
      <c r="G5159" s="1">
        <v>1</v>
      </c>
      <c r="H5159" s="1" t="s">
        <v>19</v>
      </c>
      <c r="I5159" s="1" t="s">
        <v>3045</v>
      </c>
      <c r="J5159" s="1">
        <v>1065.9000000000001</v>
      </c>
      <c r="K5159" s="1">
        <v>1065.9000000000001</v>
      </c>
      <c r="L5159" s="42">
        <v>5</v>
      </c>
      <c r="M5159" s="229">
        <v>46254</v>
      </c>
      <c r="N5159" s="1" t="str">
        <f>VLOOKUP(B5159,MICRO!E:L,8,0)</f>
        <v>P-198</v>
      </c>
    </row>
    <row r="5160" spans="1:14" ht="20.25" x14ac:dyDescent="0.25">
      <c r="A5160" s="1">
        <v>22</v>
      </c>
      <c r="B5160" s="159">
        <v>4413</v>
      </c>
      <c r="C5160" s="1" t="s">
        <v>4543</v>
      </c>
      <c r="D5160" s="1" t="s">
        <v>4544</v>
      </c>
      <c r="E5160" s="1" t="s">
        <v>2</v>
      </c>
      <c r="F5160" s="1" t="s">
        <v>4545</v>
      </c>
      <c r="G5160" s="1">
        <v>1</v>
      </c>
      <c r="H5160" s="1" t="s">
        <v>19</v>
      </c>
      <c r="I5160" s="1" t="s">
        <v>3045</v>
      </c>
      <c r="J5160" s="1">
        <v>527.5</v>
      </c>
      <c r="K5160" s="1">
        <v>527.5</v>
      </c>
      <c r="L5160" s="42">
        <v>5</v>
      </c>
      <c r="M5160" s="229">
        <v>46254</v>
      </c>
      <c r="N5160" s="1" t="str">
        <f>VLOOKUP(B5160,MICRO!E:L,8,0)</f>
        <v>P-198</v>
      </c>
    </row>
    <row r="5161" spans="1:14" ht="20.25" x14ac:dyDescent="0.25">
      <c r="A5161" s="1">
        <v>23</v>
      </c>
      <c r="B5161" s="159"/>
      <c r="C5161" s="1" t="s">
        <v>4866</v>
      </c>
      <c r="D5161" s="1" t="s">
        <v>4867</v>
      </c>
      <c r="E5161" s="1" t="s">
        <v>173</v>
      </c>
      <c r="F5161" s="1" t="s">
        <v>5390</v>
      </c>
      <c r="G5161" s="1">
        <v>6</v>
      </c>
      <c r="H5161" s="1" t="s">
        <v>19</v>
      </c>
      <c r="I5161" s="1" t="s">
        <v>3093</v>
      </c>
      <c r="J5161" s="1">
        <v>7.3</v>
      </c>
      <c r="K5161" s="1">
        <v>43.8</v>
      </c>
      <c r="L5161" s="42">
        <v>5</v>
      </c>
      <c r="M5161" s="229">
        <v>46254</v>
      </c>
      <c r="N5161" s="1" t="e">
        <f>VLOOKUP(B5161,MICRO!E:L,8,0)</f>
        <v>#N/A</v>
      </c>
    </row>
    <row r="5162" spans="1:14" ht="20.25" x14ac:dyDescent="0.25">
      <c r="A5162" s="1">
        <v>24</v>
      </c>
      <c r="B5162" s="159"/>
      <c r="C5162" s="1" t="s">
        <v>4866</v>
      </c>
      <c r="D5162" s="1" t="s">
        <v>4867</v>
      </c>
      <c r="E5162" s="1" t="s">
        <v>461</v>
      </c>
      <c r="F5162" s="1" t="s">
        <v>5391</v>
      </c>
      <c r="G5162" s="1">
        <v>2</v>
      </c>
      <c r="H5162" s="1" t="s">
        <v>19</v>
      </c>
      <c r="I5162" s="1" t="s">
        <v>3093</v>
      </c>
      <c r="J5162" s="1">
        <v>10</v>
      </c>
      <c r="K5162" s="1">
        <v>20</v>
      </c>
      <c r="L5162" s="42">
        <v>5</v>
      </c>
      <c r="M5162" s="229">
        <v>46254</v>
      </c>
      <c r="N5162" s="1" t="e">
        <f>VLOOKUP(B5162,MICRO!E:L,8,0)</f>
        <v>#N/A</v>
      </c>
    </row>
    <row r="5163" spans="1:14" ht="20.25" x14ac:dyDescent="0.25">
      <c r="A5163" s="1">
        <v>25</v>
      </c>
      <c r="B5163" s="159"/>
      <c r="C5163" s="1" t="s">
        <v>4866</v>
      </c>
      <c r="D5163" s="1" t="s">
        <v>4867</v>
      </c>
      <c r="E5163" s="1" t="s">
        <v>464</v>
      </c>
      <c r="F5163" s="1" t="s">
        <v>5392</v>
      </c>
      <c r="G5163" s="1">
        <v>2</v>
      </c>
      <c r="H5163" s="1" t="s">
        <v>19</v>
      </c>
      <c r="I5163" s="1" t="s">
        <v>3093</v>
      </c>
      <c r="J5163" s="1">
        <v>8.1999999999999993</v>
      </c>
      <c r="K5163" s="1">
        <v>16.399999999999999</v>
      </c>
      <c r="L5163" s="42">
        <v>5</v>
      </c>
      <c r="M5163" s="229">
        <v>46254</v>
      </c>
      <c r="N5163" s="1" t="e">
        <f>VLOOKUP(B5163,MICRO!E:L,8,0)</f>
        <v>#N/A</v>
      </c>
    </row>
    <row r="5164" spans="1:14" ht="20.25" x14ac:dyDescent="0.25">
      <c r="A5164" s="1">
        <v>26</v>
      </c>
      <c r="B5164" s="159">
        <v>4453</v>
      </c>
      <c r="C5164" s="1" t="s">
        <v>4878</v>
      </c>
      <c r="D5164" s="1" t="s">
        <v>4879</v>
      </c>
      <c r="E5164" s="1" t="s">
        <v>173</v>
      </c>
      <c r="F5164" s="1" t="s">
        <v>5393</v>
      </c>
      <c r="G5164" s="1">
        <v>12</v>
      </c>
      <c r="H5164" s="1" t="s">
        <v>19</v>
      </c>
      <c r="I5164" s="1" t="s">
        <v>3093</v>
      </c>
      <c r="J5164" s="1">
        <v>7.3</v>
      </c>
      <c r="K5164" s="1">
        <v>87.6</v>
      </c>
      <c r="L5164" s="42">
        <v>5</v>
      </c>
      <c r="M5164" s="229">
        <v>46254</v>
      </c>
      <c r="N5164" s="1" t="str">
        <f>VLOOKUP(B5164,MICRO!E:L,8,0)</f>
        <v>P-198</v>
      </c>
    </row>
    <row r="5165" spans="1:14" ht="20.25" x14ac:dyDescent="0.25">
      <c r="A5165" s="1">
        <v>27</v>
      </c>
      <c r="B5165" s="159">
        <v>4454</v>
      </c>
      <c r="C5165" s="1" t="s">
        <v>4878</v>
      </c>
      <c r="D5165" s="1" t="s">
        <v>4879</v>
      </c>
      <c r="E5165" s="1" t="s">
        <v>1102</v>
      </c>
      <c r="F5165" s="1" t="s">
        <v>5394</v>
      </c>
      <c r="G5165" s="1">
        <v>2</v>
      </c>
      <c r="H5165" s="1" t="s">
        <v>19</v>
      </c>
      <c r="I5165" s="1" t="s">
        <v>3093</v>
      </c>
      <c r="J5165" s="1">
        <v>8.5</v>
      </c>
      <c r="K5165" s="1">
        <v>17</v>
      </c>
      <c r="L5165" s="42">
        <v>5</v>
      </c>
      <c r="M5165" s="229">
        <v>46254</v>
      </c>
      <c r="N5165" s="1" t="str">
        <f>VLOOKUP(B5165,MICRO!E:L,8,0)</f>
        <v>P-198</v>
      </c>
    </row>
    <row r="5166" spans="1:14" ht="20.25" x14ac:dyDescent="0.25">
      <c r="A5166" s="1">
        <v>28</v>
      </c>
      <c r="B5166" s="159">
        <v>4455</v>
      </c>
      <c r="C5166" s="1" t="s">
        <v>4878</v>
      </c>
      <c r="D5166" s="1" t="s">
        <v>4879</v>
      </c>
      <c r="E5166" s="1" t="s">
        <v>1103</v>
      </c>
      <c r="F5166" s="1" t="s">
        <v>5395</v>
      </c>
      <c r="G5166" s="1">
        <v>2</v>
      </c>
      <c r="H5166" s="1" t="s">
        <v>19</v>
      </c>
      <c r="I5166" s="1" t="s">
        <v>3093</v>
      </c>
      <c r="J5166" s="1">
        <v>9.1999999999999993</v>
      </c>
      <c r="K5166" s="1">
        <v>18.399999999999999</v>
      </c>
      <c r="L5166" s="42">
        <v>5</v>
      </c>
      <c r="M5166" s="229">
        <v>46254</v>
      </c>
      <c r="N5166" s="1" t="str">
        <f>VLOOKUP(B5166,MICRO!E:L,8,0)</f>
        <v>P-198</v>
      </c>
    </row>
    <row r="5167" spans="1:14" ht="20.25" x14ac:dyDescent="0.25">
      <c r="A5167" s="1">
        <v>29</v>
      </c>
      <c r="B5167" s="159">
        <v>4456</v>
      </c>
      <c r="C5167" s="1" t="s">
        <v>4878</v>
      </c>
      <c r="D5167" s="1" t="s">
        <v>4879</v>
      </c>
      <c r="E5167" s="1" t="s">
        <v>1104</v>
      </c>
      <c r="F5167" s="1" t="s">
        <v>5396</v>
      </c>
      <c r="G5167" s="1">
        <v>2</v>
      </c>
      <c r="H5167" s="1" t="s">
        <v>19</v>
      </c>
      <c r="I5167" s="1" t="s">
        <v>3093</v>
      </c>
      <c r="J5167" s="1">
        <v>9.9</v>
      </c>
      <c r="K5167" s="1">
        <v>19.8</v>
      </c>
      <c r="L5167" s="42">
        <v>5</v>
      </c>
      <c r="M5167" s="229">
        <v>46254</v>
      </c>
      <c r="N5167" s="1" t="str">
        <f>VLOOKUP(B5167,MICRO!E:L,8,0)</f>
        <v>P-198</v>
      </c>
    </row>
    <row r="5168" spans="1:14" ht="20.25" x14ac:dyDescent="0.25">
      <c r="A5168" s="1">
        <v>30</v>
      </c>
      <c r="B5168" s="159">
        <v>4457</v>
      </c>
      <c r="C5168" s="1" t="s">
        <v>4878</v>
      </c>
      <c r="D5168" s="1" t="s">
        <v>4879</v>
      </c>
      <c r="E5168" s="1" t="s">
        <v>1105</v>
      </c>
      <c r="F5168" s="1" t="s">
        <v>5397</v>
      </c>
      <c r="G5168" s="1">
        <v>2</v>
      </c>
      <c r="H5168" s="1" t="s">
        <v>19</v>
      </c>
      <c r="I5168" s="1" t="s">
        <v>3093</v>
      </c>
      <c r="J5168" s="1">
        <v>10.5</v>
      </c>
      <c r="K5168" s="1">
        <v>21</v>
      </c>
      <c r="L5168" s="42">
        <v>5</v>
      </c>
      <c r="M5168" s="229">
        <v>46254</v>
      </c>
      <c r="N5168" s="1" t="str">
        <f>VLOOKUP(B5168,MICRO!E:L,8,0)</f>
        <v>P-198</v>
      </c>
    </row>
    <row r="5169" spans="1:14" ht="20.25" x14ac:dyDescent="0.25">
      <c r="A5169" s="1">
        <v>31</v>
      </c>
      <c r="B5169" s="159">
        <v>4458</v>
      </c>
      <c r="C5169" s="1" t="s">
        <v>4878</v>
      </c>
      <c r="D5169" s="1" t="s">
        <v>4879</v>
      </c>
      <c r="E5169" s="1" t="s">
        <v>1106</v>
      </c>
      <c r="F5169" s="1" t="s">
        <v>5398</v>
      </c>
      <c r="G5169" s="1">
        <v>2</v>
      </c>
      <c r="H5169" s="1" t="s">
        <v>19</v>
      </c>
      <c r="I5169" s="1" t="s">
        <v>3093</v>
      </c>
      <c r="J5169" s="1">
        <v>11.2</v>
      </c>
      <c r="K5169" s="1">
        <v>22.4</v>
      </c>
      <c r="L5169" s="42">
        <v>5</v>
      </c>
      <c r="M5169" s="229">
        <v>46254</v>
      </c>
      <c r="N5169" s="1" t="str">
        <f>VLOOKUP(B5169,MICRO!E:L,8,0)</f>
        <v>P-198</v>
      </c>
    </row>
    <row r="5170" spans="1:14" ht="20.25" x14ac:dyDescent="0.25">
      <c r="A5170" s="1">
        <v>32</v>
      </c>
      <c r="B5170" s="159">
        <v>4459</v>
      </c>
      <c r="C5170" s="1" t="s">
        <v>4878</v>
      </c>
      <c r="D5170" s="1" t="s">
        <v>4879</v>
      </c>
      <c r="E5170" s="1" t="s">
        <v>2310</v>
      </c>
      <c r="F5170" s="1" t="s">
        <v>5399</v>
      </c>
      <c r="G5170" s="1">
        <v>2</v>
      </c>
      <c r="H5170" s="1" t="s">
        <v>19</v>
      </c>
      <c r="I5170" s="1" t="s">
        <v>3093</v>
      </c>
      <c r="J5170" s="1">
        <v>11.9</v>
      </c>
      <c r="K5170" s="1">
        <v>23.8</v>
      </c>
      <c r="L5170" s="42">
        <v>5</v>
      </c>
      <c r="M5170" s="229">
        <v>46254</v>
      </c>
      <c r="N5170" s="1" t="str">
        <f>VLOOKUP(B5170,MICRO!E:L,8,0)</f>
        <v>P-198</v>
      </c>
    </row>
    <row r="5171" spans="1:14" ht="20.25" x14ac:dyDescent="0.25">
      <c r="A5171" s="1">
        <v>33</v>
      </c>
      <c r="B5171" s="159">
        <v>4472</v>
      </c>
      <c r="C5171" s="1" t="s">
        <v>4911</v>
      </c>
      <c r="D5171" s="1" t="s">
        <v>4912</v>
      </c>
      <c r="E5171" s="1" t="s">
        <v>461</v>
      </c>
      <c r="F5171" s="1" t="s">
        <v>5400</v>
      </c>
      <c r="G5171" s="1">
        <v>28</v>
      </c>
      <c r="H5171" s="1" t="s">
        <v>19</v>
      </c>
      <c r="I5171" s="1" t="s">
        <v>3093</v>
      </c>
      <c r="J5171" s="1">
        <v>7.3</v>
      </c>
      <c r="K5171" s="1">
        <v>204.4</v>
      </c>
      <c r="L5171" s="42">
        <v>5</v>
      </c>
      <c r="M5171" s="229">
        <v>46254</v>
      </c>
      <c r="N5171" s="1" t="str">
        <f>VLOOKUP(B5171,MICRO!E:L,8,0)</f>
        <v>P-198</v>
      </c>
    </row>
    <row r="5172" spans="1:14" ht="20.25" x14ac:dyDescent="0.25">
      <c r="A5172" s="1">
        <v>1</v>
      </c>
      <c r="B5172" s="159"/>
      <c r="C5172" s="1" t="s">
        <v>140</v>
      </c>
      <c r="D5172" s="1"/>
      <c r="E5172" s="1"/>
      <c r="F5172" s="1" t="s">
        <v>1190</v>
      </c>
      <c r="G5172" s="1">
        <v>12</v>
      </c>
      <c r="H5172" s="1" t="s">
        <v>19</v>
      </c>
      <c r="I5172" s="1" t="s">
        <v>2276</v>
      </c>
      <c r="J5172" s="1">
        <v>8.5</v>
      </c>
      <c r="K5172" s="1">
        <v>102</v>
      </c>
      <c r="L5172" s="42">
        <v>14</v>
      </c>
      <c r="M5172" s="43">
        <v>46261</v>
      </c>
      <c r="N5172" s="1" t="e">
        <f>VLOOKUP(B5172,MICRO!E:L,8,0)</f>
        <v>#N/A</v>
      </c>
    </row>
    <row r="5173" spans="1:14" ht="20.25" x14ac:dyDescent="0.25">
      <c r="A5173" s="1">
        <v>2</v>
      </c>
      <c r="B5173" s="159">
        <v>3415</v>
      </c>
      <c r="C5173" s="1" t="s">
        <v>2288</v>
      </c>
      <c r="D5173" s="1"/>
      <c r="E5173" s="1"/>
      <c r="F5173" s="1" t="s">
        <v>2289</v>
      </c>
      <c r="G5173" s="1">
        <v>14</v>
      </c>
      <c r="H5173" s="1" t="s">
        <v>19</v>
      </c>
      <c r="I5173" s="1" t="s">
        <v>2276</v>
      </c>
      <c r="J5173" s="1">
        <v>8.5</v>
      </c>
      <c r="K5173" s="1">
        <v>119</v>
      </c>
      <c r="L5173" s="42">
        <v>14</v>
      </c>
      <c r="M5173" s="43">
        <v>46261</v>
      </c>
      <c r="N5173" s="1" t="str">
        <f>VLOOKUP(B5173,MICRO!E:L,8,0)</f>
        <v>P-188</v>
      </c>
    </row>
    <row r="5174" spans="1:14" ht="20.25" x14ac:dyDescent="0.25">
      <c r="A5174" s="1">
        <v>3</v>
      </c>
      <c r="B5174" s="159">
        <v>3417</v>
      </c>
      <c r="C5174" s="1" t="s">
        <v>82</v>
      </c>
      <c r="D5174" s="1"/>
      <c r="E5174" s="1"/>
      <c r="F5174" s="1" t="s">
        <v>2290</v>
      </c>
      <c r="G5174" s="1">
        <v>2</v>
      </c>
      <c r="H5174" s="1" t="s">
        <v>19</v>
      </c>
      <c r="I5174" s="1" t="s">
        <v>2276</v>
      </c>
      <c r="J5174" s="1">
        <v>19.8</v>
      </c>
      <c r="K5174" s="1">
        <v>39.6</v>
      </c>
      <c r="L5174" s="42">
        <v>14</v>
      </c>
      <c r="M5174" s="43">
        <v>46261</v>
      </c>
      <c r="N5174" s="1" t="str">
        <f>VLOOKUP(B5174,MICRO!E:L,8,0)</f>
        <v>P-188</v>
      </c>
    </row>
    <row r="5175" spans="1:14" ht="20.25" x14ac:dyDescent="0.25">
      <c r="A5175" s="1">
        <v>4</v>
      </c>
      <c r="B5175" s="159"/>
      <c r="C5175" s="1" t="s">
        <v>5417</v>
      </c>
      <c r="D5175" s="1"/>
      <c r="E5175" s="1"/>
      <c r="F5175" s="1" t="s">
        <v>5418</v>
      </c>
      <c r="G5175" s="1">
        <v>4</v>
      </c>
      <c r="H5175" s="1" t="s">
        <v>19</v>
      </c>
      <c r="I5175" s="1" t="s">
        <v>4085</v>
      </c>
      <c r="J5175" s="1">
        <v>0.03</v>
      </c>
      <c r="K5175" s="1">
        <v>0.12</v>
      </c>
      <c r="L5175" s="42">
        <v>14</v>
      </c>
      <c r="M5175" s="43">
        <v>46261</v>
      </c>
      <c r="N5175" s="1" t="e">
        <f>VLOOKUP(B5175,MICRO!E:L,8,0)</f>
        <v>#N/A</v>
      </c>
    </row>
    <row r="5176" spans="1:14" ht="20.25" x14ac:dyDescent="0.25">
      <c r="A5176" s="1">
        <v>5</v>
      </c>
      <c r="B5176" s="159"/>
      <c r="C5176" s="1" t="s">
        <v>5417</v>
      </c>
      <c r="D5176" s="1"/>
      <c r="E5176" s="1"/>
      <c r="F5176" s="1" t="s">
        <v>5419</v>
      </c>
      <c r="G5176" s="1">
        <v>2</v>
      </c>
      <c r="H5176" s="1" t="s">
        <v>19</v>
      </c>
      <c r="I5176" s="1" t="s">
        <v>4085</v>
      </c>
      <c r="J5176" s="1">
        <v>0.05</v>
      </c>
      <c r="K5176" s="1">
        <v>0.1</v>
      </c>
      <c r="L5176" s="42">
        <v>14</v>
      </c>
      <c r="M5176" s="43">
        <v>46261</v>
      </c>
      <c r="N5176" s="1" t="e">
        <f>VLOOKUP(B5176,MICRO!E:L,8,0)</f>
        <v>#N/A</v>
      </c>
    </row>
    <row r="5177" spans="1:14" ht="20.25" x14ac:dyDescent="0.25">
      <c r="A5177" s="1">
        <v>6</v>
      </c>
      <c r="B5177" s="159"/>
      <c r="C5177" s="1" t="s">
        <v>5417</v>
      </c>
      <c r="D5177" s="1"/>
      <c r="E5177" s="1"/>
      <c r="F5177" s="1" t="s">
        <v>5420</v>
      </c>
      <c r="G5177" s="1">
        <v>4</v>
      </c>
      <c r="H5177" s="1" t="s">
        <v>19</v>
      </c>
      <c r="I5177" s="1" t="s">
        <v>4085</v>
      </c>
      <c r="J5177" s="1">
        <v>0.04</v>
      </c>
      <c r="K5177" s="1">
        <v>0.16</v>
      </c>
      <c r="L5177" s="42">
        <v>14</v>
      </c>
      <c r="M5177" s="43">
        <v>46261</v>
      </c>
      <c r="N5177" s="1" t="e">
        <f>VLOOKUP(B5177,MICRO!E:L,8,0)</f>
        <v>#N/A</v>
      </c>
    </row>
    <row r="5178" spans="1:14" ht="20.25" x14ac:dyDescent="0.25">
      <c r="A5178" s="1">
        <v>7</v>
      </c>
      <c r="B5178" s="159"/>
      <c r="C5178" s="1" t="s">
        <v>5421</v>
      </c>
      <c r="D5178" s="1"/>
      <c r="E5178" s="1"/>
      <c r="F5178" s="1" t="s">
        <v>5422</v>
      </c>
      <c r="G5178" s="1">
        <v>264</v>
      </c>
      <c r="H5178" s="1" t="s">
        <v>19</v>
      </c>
      <c r="I5178" s="1" t="s">
        <v>4085</v>
      </c>
      <c r="J5178" s="1">
        <v>0.05</v>
      </c>
      <c r="K5178" s="1">
        <v>13.200000000000001</v>
      </c>
      <c r="L5178" s="42">
        <v>14</v>
      </c>
      <c r="M5178" s="43">
        <v>46261</v>
      </c>
      <c r="N5178" s="1" t="e">
        <f>VLOOKUP(B5178,MICRO!E:L,8,0)</f>
        <v>#N/A</v>
      </c>
    </row>
    <row r="5179" spans="1:14" ht="20.25" x14ac:dyDescent="0.25">
      <c r="A5179" s="1">
        <v>8</v>
      </c>
      <c r="B5179" s="159"/>
      <c r="C5179" s="1" t="s">
        <v>5421</v>
      </c>
      <c r="D5179" s="1"/>
      <c r="E5179" s="1"/>
      <c r="F5179" s="1" t="s">
        <v>5423</v>
      </c>
      <c r="G5179" s="1">
        <v>264</v>
      </c>
      <c r="H5179" s="1" t="s">
        <v>19</v>
      </c>
      <c r="I5179" s="1" t="s">
        <v>4085</v>
      </c>
      <c r="J5179" s="1">
        <v>0.03</v>
      </c>
      <c r="K5179" s="1">
        <v>7.92</v>
      </c>
      <c r="L5179" s="42">
        <v>14</v>
      </c>
      <c r="M5179" s="43">
        <v>46261</v>
      </c>
      <c r="N5179" s="1" t="e">
        <f>VLOOKUP(B5179,MICRO!E:L,8,0)</f>
        <v>#N/A</v>
      </c>
    </row>
    <row r="5180" spans="1:14" ht="20.25" x14ac:dyDescent="0.25">
      <c r="A5180" s="1">
        <v>9</v>
      </c>
      <c r="B5180" s="159"/>
      <c r="C5180" s="1" t="s">
        <v>5421</v>
      </c>
      <c r="D5180" s="1"/>
      <c r="E5180" s="1"/>
      <c r="F5180" s="1" t="s">
        <v>5424</v>
      </c>
      <c r="G5180" s="1">
        <v>264</v>
      </c>
      <c r="H5180" s="1" t="s">
        <v>19</v>
      </c>
      <c r="I5180" s="1" t="s">
        <v>4085</v>
      </c>
      <c r="J5180" s="1">
        <v>0.01</v>
      </c>
      <c r="K5180" s="1">
        <v>2.64</v>
      </c>
      <c r="L5180" s="42">
        <v>14</v>
      </c>
      <c r="M5180" s="43">
        <v>46261</v>
      </c>
      <c r="N5180" s="1" t="e">
        <f>VLOOKUP(B5180,MICRO!E:L,8,0)</f>
        <v>#N/A</v>
      </c>
    </row>
    <row r="5181" spans="1:14" ht="20.25" x14ac:dyDescent="0.25">
      <c r="A5181" s="1">
        <v>10</v>
      </c>
      <c r="B5181" s="159"/>
      <c r="C5181" s="1" t="s">
        <v>5425</v>
      </c>
      <c r="D5181" s="1"/>
      <c r="E5181" s="1"/>
      <c r="F5181" s="1" t="s">
        <v>5426</v>
      </c>
      <c r="G5181" s="1">
        <v>264</v>
      </c>
      <c r="H5181" s="1" t="s">
        <v>19</v>
      </c>
      <c r="I5181" s="1" t="s">
        <v>4085</v>
      </c>
      <c r="J5181" s="1">
        <v>0.05</v>
      </c>
      <c r="K5181" s="1">
        <v>13.200000000000001</v>
      </c>
      <c r="L5181" s="42">
        <v>14</v>
      </c>
      <c r="M5181" s="43">
        <v>46261</v>
      </c>
      <c r="N5181" s="1" t="e">
        <f>VLOOKUP(B5181,MICRO!E:L,8,0)</f>
        <v>#N/A</v>
      </c>
    </row>
    <row r="5182" spans="1:14" ht="20.25" x14ac:dyDescent="0.25">
      <c r="A5182" s="1">
        <v>11</v>
      </c>
      <c r="B5182" s="159"/>
      <c r="C5182" s="1" t="s">
        <v>5425</v>
      </c>
      <c r="D5182" s="1"/>
      <c r="E5182" s="1"/>
      <c r="F5182" s="1" t="s">
        <v>5427</v>
      </c>
      <c r="G5182" s="1">
        <v>264</v>
      </c>
      <c r="H5182" s="1" t="s">
        <v>19</v>
      </c>
      <c r="I5182" s="1" t="s">
        <v>4085</v>
      </c>
      <c r="J5182" s="1">
        <v>0.03</v>
      </c>
      <c r="K5182" s="1">
        <v>7.92</v>
      </c>
      <c r="L5182" s="42">
        <v>14</v>
      </c>
      <c r="M5182" s="43">
        <v>46261</v>
      </c>
      <c r="N5182" s="1" t="e">
        <f>VLOOKUP(B5182,MICRO!E:L,8,0)</f>
        <v>#N/A</v>
      </c>
    </row>
    <row r="5183" spans="1:14" ht="20.25" x14ac:dyDescent="0.25">
      <c r="A5183" s="1">
        <v>12</v>
      </c>
      <c r="B5183" s="159"/>
      <c r="C5183" s="1" t="s">
        <v>5425</v>
      </c>
      <c r="D5183" s="1"/>
      <c r="E5183" s="1"/>
      <c r="F5183" s="1" t="s">
        <v>5428</v>
      </c>
      <c r="G5183" s="1">
        <v>264</v>
      </c>
      <c r="H5183" s="1" t="s">
        <v>19</v>
      </c>
      <c r="I5183" s="1" t="s">
        <v>4085</v>
      </c>
      <c r="J5183" s="1">
        <v>0.01</v>
      </c>
      <c r="K5183" s="1">
        <v>2.64</v>
      </c>
      <c r="L5183" s="42">
        <v>14</v>
      </c>
      <c r="M5183" s="43">
        <v>46261</v>
      </c>
      <c r="N5183" s="1" t="e">
        <f>VLOOKUP(B5183,MICRO!E:L,8,0)</f>
        <v>#N/A</v>
      </c>
    </row>
    <row r="5184" spans="1:14" ht="20.25" x14ac:dyDescent="0.25">
      <c r="A5184" s="1">
        <v>13</v>
      </c>
      <c r="B5184" s="159"/>
      <c r="C5184" s="1" t="s">
        <v>5429</v>
      </c>
      <c r="D5184" s="1"/>
      <c r="E5184" s="1"/>
      <c r="F5184" s="1" t="s">
        <v>5430</v>
      </c>
      <c r="G5184" s="1">
        <v>32</v>
      </c>
      <c r="H5184" s="1" t="s">
        <v>19</v>
      </c>
      <c r="I5184" s="1" t="s">
        <v>4085</v>
      </c>
      <c r="J5184" s="1">
        <v>0.05</v>
      </c>
      <c r="K5184" s="1">
        <v>1.6</v>
      </c>
      <c r="L5184" s="42">
        <v>14</v>
      </c>
      <c r="M5184" s="43">
        <v>46261</v>
      </c>
      <c r="N5184" s="1" t="e">
        <f>VLOOKUP(B5184,MICRO!E:L,8,0)</f>
        <v>#N/A</v>
      </c>
    </row>
    <row r="5185" spans="1:14" ht="20.25" x14ac:dyDescent="0.25">
      <c r="A5185" s="1">
        <v>14</v>
      </c>
      <c r="B5185" s="159"/>
      <c r="C5185" s="1" t="s">
        <v>5429</v>
      </c>
      <c r="D5185" s="1"/>
      <c r="E5185" s="1"/>
      <c r="F5185" s="1" t="s">
        <v>5431</v>
      </c>
      <c r="G5185" s="1">
        <v>16</v>
      </c>
      <c r="H5185" s="1" t="s">
        <v>19</v>
      </c>
      <c r="I5185" s="1" t="s">
        <v>4085</v>
      </c>
      <c r="J5185" s="1">
        <v>0.01</v>
      </c>
      <c r="K5185" s="1">
        <v>0.16</v>
      </c>
      <c r="L5185" s="42">
        <v>14</v>
      </c>
      <c r="M5185" s="43">
        <v>46261</v>
      </c>
      <c r="N5185" s="1" t="e">
        <f>VLOOKUP(B5185,MICRO!E:L,8,0)</f>
        <v>#N/A</v>
      </c>
    </row>
    <row r="5186" spans="1:14" ht="20.25" x14ac:dyDescent="0.25">
      <c r="A5186" s="1">
        <v>15</v>
      </c>
      <c r="B5186" s="159"/>
      <c r="C5186" s="1" t="s">
        <v>5432</v>
      </c>
      <c r="D5186" s="1"/>
      <c r="E5186" s="1"/>
      <c r="F5186" s="1" t="s">
        <v>5433</v>
      </c>
      <c r="G5186" s="1">
        <v>8</v>
      </c>
      <c r="H5186" s="1" t="s">
        <v>19</v>
      </c>
      <c r="I5186" s="1" t="s">
        <v>4085</v>
      </c>
      <c r="J5186" s="1">
        <v>0.05</v>
      </c>
      <c r="K5186" s="1">
        <v>0.4</v>
      </c>
      <c r="L5186" s="42">
        <v>14</v>
      </c>
      <c r="M5186" s="43">
        <v>46261</v>
      </c>
      <c r="N5186" s="1" t="e">
        <f>VLOOKUP(B5186,MICRO!E:L,8,0)</f>
        <v>#N/A</v>
      </c>
    </row>
    <row r="5187" spans="1:14" ht="20.25" x14ac:dyDescent="0.25">
      <c r="A5187" s="1">
        <v>16</v>
      </c>
      <c r="B5187" s="159"/>
      <c r="C5187" s="1" t="s">
        <v>5432</v>
      </c>
      <c r="D5187" s="1"/>
      <c r="E5187" s="1"/>
      <c r="F5187" s="1" t="s">
        <v>5434</v>
      </c>
      <c r="G5187" s="1">
        <v>8</v>
      </c>
      <c r="H5187" s="1" t="s">
        <v>19</v>
      </c>
      <c r="I5187" s="1" t="s">
        <v>4085</v>
      </c>
      <c r="J5187" s="1">
        <v>0.03</v>
      </c>
      <c r="K5187" s="1">
        <v>0.24</v>
      </c>
      <c r="L5187" s="42">
        <v>14</v>
      </c>
      <c r="M5187" s="43">
        <v>46261</v>
      </c>
      <c r="N5187" s="1" t="e">
        <f>VLOOKUP(B5187,MICRO!E:L,8,0)</f>
        <v>#N/A</v>
      </c>
    </row>
    <row r="5188" spans="1:14" ht="20.25" x14ac:dyDescent="0.25">
      <c r="A5188" s="1">
        <v>17</v>
      </c>
      <c r="B5188" s="159"/>
      <c r="C5188" s="1" t="s">
        <v>5432</v>
      </c>
      <c r="D5188" s="1"/>
      <c r="E5188" s="1"/>
      <c r="F5188" s="1" t="s">
        <v>5435</v>
      </c>
      <c r="G5188" s="1">
        <v>8</v>
      </c>
      <c r="H5188" s="1" t="s">
        <v>19</v>
      </c>
      <c r="I5188" s="1" t="s">
        <v>4085</v>
      </c>
      <c r="J5188" s="1">
        <v>0.01</v>
      </c>
      <c r="K5188" s="1">
        <v>0.08</v>
      </c>
      <c r="L5188" s="42">
        <v>14</v>
      </c>
      <c r="M5188" s="43">
        <v>46261</v>
      </c>
      <c r="N5188" s="1" t="e">
        <f>VLOOKUP(B5188,MICRO!E:L,8,0)</f>
        <v>#N/A</v>
      </c>
    </row>
    <row r="5189" spans="1:14" ht="20.25" x14ac:dyDescent="0.25">
      <c r="A5189" s="1">
        <v>18</v>
      </c>
      <c r="B5189" s="159"/>
      <c r="C5189" s="1" t="s">
        <v>5432</v>
      </c>
      <c r="D5189" s="1"/>
      <c r="E5189" s="1"/>
      <c r="F5189" s="1" t="s">
        <v>5436</v>
      </c>
      <c r="G5189" s="1">
        <v>8</v>
      </c>
      <c r="H5189" s="1" t="s">
        <v>19</v>
      </c>
      <c r="I5189" s="1" t="s">
        <v>4085</v>
      </c>
      <c r="J5189" s="1">
        <v>0.05</v>
      </c>
      <c r="K5189" s="1">
        <v>0.4</v>
      </c>
      <c r="L5189" s="42">
        <v>14</v>
      </c>
      <c r="M5189" s="43">
        <v>46261</v>
      </c>
      <c r="N5189" s="1" t="e">
        <f>VLOOKUP(B5189,MICRO!E:L,8,0)</f>
        <v>#N/A</v>
      </c>
    </row>
    <row r="5190" spans="1:14" ht="20.25" x14ac:dyDescent="0.25">
      <c r="A5190" s="1">
        <v>19</v>
      </c>
      <c r="B5190" s="159"/>
      <c r="C5190" s="1" t="s">
        <v>5432</v>
      </c>
      <c r="D5190" s="1"/>
      <c r="E5190" s="1"/>
      <c r="F5190" s="1" t="s">
        <v>5437</v>
      </c>
      <c r="G5190" s="1">
        <v>8</v>
      </c>
      <c r="H5190" s="1" t="s">
        <v>19</v>
      </c>
      <c r="I5190" s="1" t="s">
        <v>4085</v>
      </c>
      <c r="J5190" s="1">
        <v>0.03</v>
      </c>
      <c r="K5190" s="1">
        <v>0.24</v>
      </c>
      <c r="L5190" s="42">
        <v>14</v>
      </c>
      <c r="M5190" s="43">
        <v>46261</v>
      </c>
      <c r="N5190" s="1" t="e">
        <f>VLOOKUP(B5190,MICRO!E:L,8,0)</f>
        <v>#N/A</v>
      </c>
    </row>
    <row r="5191" spans="1:14" ht="20.25" x14ac:dyDescent="0.25">
      <c r="A5191" s="1">
        <v>20</v>
      </c>
      <c r="B5191" s="159"/>
      <c r="C5191" s="1" t="s">
        <v>5432</v>
      </c>
      <c r="D5191" s="1"/>
      <c r="E5191" s="1"/>
      <c r="F5191" s="1" t="s">
        <v>5438</v>
      </c>
      <c r="G5191" s="1">
        <v>8</v>
      </c>
      <c r="H5191" s="1" t="s">
        <v>19</v>
      </c>
      <c r="I5191" s="1" t="s">
        <v>4085</v>
      </c>
      <c r="J5191" s="1">
        <v>0.01</v>
      </c>
      <c r="K5191" s="1">
        <v>0.08</v>
      </c>
      <c r="L5191" s="42">
        <v>14</v>
      </c>
      <c r="M5191" s="43">
        <v>46261</v>
      </c>
      <c r="N5191" s="1" t="e">
        <f>VLOOKUP(B5191,MICRO!E:L,8,0)</f>
        <v>#N/A</v>
      </c>
    </row>
    <row r="5192" spans="1:14" ht="20.25" x14ac:dyDescent="0.25">
      <c r="A5192" s="1">
        <v>21</v>
      </c>
      <c r="B5192" s="159"/>
      <c r="C5192" s="1" t="s">
        <v>5432</v>
      </c>
      <c r="D5192" s="1"/>
      <c r="E5192" s="1"/>
      <c r="F5192" s="1" t="s">
        <v>5439</v>
      </c>
      <c r="G5192" s="1">
        <v>8</v>
      </c>
      <c r="H5192" s="1" t="s">
        <v>19</v>
      </c>
      <c r="I5192" s="1" t="s">
        <v>4085</v>
      </c>
      <c r="J5192" s="1">
        <v>0.05</v>
      </c>
      <c r="K5192" s="1">
        <v>0.4</v>
      </c>
      <c r="L5192" s="42">
        <v>14</v>
      </c>
      <c r="M5192" s="43">
        <v>46261</v>
      </c>
      <c r="N5192" s="1" t="e">
        <f>VLOOKUP(B5192,MICRO!E:L,8,0)</f>
        <v>#N/A</v>
      </c>
    </row>
    <row r="5193" spans="1:14" ht="20.25" x14ac:dyDescent="0.25">
      <c r="A5193" s="1">
        <v>22</v>
      </c>
      <c r="B5193" s="159"/>
      <c r="C5193" s="1" t="s">
        <v>5432</v>
      </c>
      <c r="D5193" s="1"/>
      <c r="E5193" s="1"/>
      <c r="F5193" s="1" t="s">
        <v>5440</v>
      </c>
      <c r="G5193" s="1">
        <v>8</v>
      </c>
      <c r="H5193" s="1" t="s">
        <v>19</v>
      </c>
      <c r="I5193" s="1" t="s">
        <v>4085</v>
      </c>
      <c r="J5193" s="1">
        <v>0.03</v>
      </c>
      <c r="K5193" s="1">
        <v>0.24</v>
      </c>
      <c r="L5193" s="42">
        <v>14</v>
      </c>
      <c r="M5193" s="43">
        <v>46261</v>
      </c>
      <c r="N5193" s="1" t="e">
        <f>VLOOKUP(B5193,MICRO!E:L,8,0)</f>
        <v>#N/A</v>
      </c>
    </row>
    <row r="5194" spans="1:14" ht="20.25" x14ac:dyDescent="0.25">
      <c r="A5194" s="1">
        <v>23</v>
      </c>
      <c r="B5194" s="159"/>
      <c r="C5194" s="1" t="s">
        <v>5432</v>
      </c>
      <c r="D5194" s="1"/>
      <c r="E5194" s="1"/>
      <c r="F5194" s="1" t="s">
        <v>5441</v>
      </c>
      <c r="G5194" s="1">
        <v>8</v>
      </c>
      <c r="H5194" s="1" t="s">
        <v>19</v>
      </c>
      <c r="I5194" s="1" t="s">
        <v>4085</v>
      </c>
      <c r="J5194" s="1">
        <v>0.01</v>
      </c>
      <c r="K5194" s="1">
        <v>0.08</v>
      </c>
      <c r="L5194" s="42">
        <v>14</v>
      </c>
      <c r="M5194" s="43">
        <v>46261</v>
      </c>
      <c r="N5194" s="1" t="e">
        <f>VLOOKUP(B5194,MICRO!E:L,8,0)</f>
        <v>#N/A</v>
      </c>
    </row>
    <row r="5195" spans="1:14" ht="20.25" x14ac:dyDescent="0.25">
      <c r="A5195" s="1">
        <v>24</v>
      </c>
      <c r="B5195" s="159"/>
      <c r="C5195" s="1" t="s">
        <v>5432</v>
      </c>
      <c r="D5195" s="1"/>
      <c r="E5195" s="1"/>
      <c r="F5195" s="1" t="s">
        <v>5442</v>
      </c>
      <c r="G5195" s="1">
        <v>20</v>
      </c>
      <c r="H5195" s="1" t="s">
        <v>19</v>
      </c>
      <c r="I5195" s="1" t="s">
        <v>4085</v>
      </c>
      <c r="J5195" s="1">
        <v>0.05</v>
      </c>
      <c r="K5195" s="1">
        <v>1</v>
      </c>
      <c r="L5195" s="42">
        <v>14</v>
      </c>
      <c r="M5195" s="43">
        <v>46261</v>
      </c>
      <c r="N5195" s="1" t="e">
        <f>VLOOKUP(B5195,MICRO!E:L,8,0)</f>
        <v>#N/A</v>
      </c>
    </row>
    <row r="5196" spans="1:14" ht="20.25" x14ac:dyDescent="0.25">
      <c r="A5196" s="1">
        <v>25</v>
      </c>
      <c r="B5196" s="159"/>
      <c r="C5196" s="1" t="s">
        <v>5432</v>
      </c>
      <c r="D5196" s="1"/>
      <c r="E5196" s="1"/>
      <c r="F5196" s="1" t="s">
        <v>5443</v>
      </c>
      <c r="G5196" s="1">
        <v>40</v>
      </c>
      <c r="H5196" s="1" t="s">
        <v>19</v>
      </c>
      <c r="I5196" s="1" t="s">
        <v>4085</v>
      </c>
      <c r="J5196" s="1">
        <v>0.03</v>
      </c>
      <c r="K5196" s="1">
        <v>1.2</v>
      </c>
      <c r="L5196" s="42">
        <v>14</v>
      </c>
      <c r="M5196" s="43">
        <v>46261</v>
      </c>
      <c r="N5196" s="1" t="e">
        <f>VLOOKUP(B5196,MICRO!E:L,8,0)</f>
        <v>#N/A</v>
      </c>
    </row>
    <row r="5197" spans="1:14" ht="20.25" x14ac:dyDescent="0.25">
      <c r="A5197" s="1">
        <v>26</v>
      </c>
      <c r="B5197" s="159"/>
      <c r="C5197" s="1" t="s">
        <v>5444</v>
      </c>
      <c r="D5197" s="1"/>
      <c r="E5197" s="1"/>
      <c r="F5197" s="1" t="s">
        <v>5445</v>
      </c>
      <c r="G5197" s="1">
        <v>32</v>
      </c>
      <c r="H5197" s="1" t="s">
        <v>19</v>
      </c>
      <c r="I5197" s="1" t="s">
        <v>4085</v>
      </c>
      <c r="J5197" s="1">
        <v>0.05</v>
      </c>
      <c r="K5197" s="1">
        <v>1.6</v>
      </c>
      <c r="L5197" s="42">
        <v>14</v>
      </c>
      <c r="M5197" s="43">
        <v>46261</v>
      </c>
      <c r="N5197" s="1" t="e">
        <f>VLOOKUP(B5197,MICRO!E:L,8,0)</f>
        <v>#N/A</v>
      </c>
    </row>
    <row r="5198" spans="1:14" ht="20.25" x14ac:dyDescent="0.25">
      <c r="A5198" s="1">
        <v>27</v>
      </c>
      <c r="B5198" s="159"/>
      <c r="C5198" s="1" t="s">
        <v>5444</v>
      </c>
      <c r="D5198" s="1"/>
      <c r="E5198" s="1"/>
      <c r="F5198" s="1" t="s">
        <v>5446</v>
      </c>
      <c r="G5198" s="1">
        <v>32</v>
      </c>
      <c r="H5198" s="1" t="s">
        <v>19</v>
      </c>
      <c r="I5198" s="1" t="s">
        <v>4085</v>
      </c>
      <c r="J5198" s="1">
        <v>0.03</v>
      </c>
      <c r="K5198" s="1">
        <v>0.96</v>
      </c>
      <c r="L5198" s="42">
        <v>14</v>
      </c>
      <c r="M5198" s="43">
        <v>46261</v>
      </c>
      <c r="N5198" s="1" t="e">
        <f>VLOOKUP(B5198,MICRO!E:L,8,0)</f>
        <v>#N/A</v>
      </c>
    </row>
    <row r="5199" spans="1:14" ht="20.25" x14ac:dyDescent="0.25">
      <c r="A5199" s="1">
        <v>28</v>
      </c>
      <c r="B5199" s="159"/>
      <c r="C5199" s="1" t="s">
        <v>5444</v>
      </c>
      <c r="D5199" s="1"/>
      <c r="E5199" s="1"/>
      <c r="F5199" s="1" t="s">
        <v>5447</v>
      </c>
      <c r="G5199" s="1">
        <v>32</v>
      </c>
      <c r="H5199" s="1" t="s">
        <v>19</v>
      </c>
      <c r="I5199" s="1" t="s">
        <v>4085</v>
      </c>
      <c r="J5199" s="1">
        <v>0.01</v>
      </c>
      <c r="K5199" s="1">
        <v>0.32</v>
      </c>
      <c r="L5199" s="42">
        <v>14</v>
      </c>
      <c r="M5199" s="43">
        <v>46261</v>
      </c>
      <c r="N5199" s="1" t="e">
        <f>VLOOKUP(B5199,MICRO!E:L,8,0)</f>
        <v>#N/A</v>
      </c>
    </row>
    <row r="5200" spans="1:14" ht="20.25" x14ac:dyDescent="0.25">
      <c r="A5200" s="1">
        <v>29</v>
      </c>
      <c r="B5200" s="159"/>
      <c r="C5200" s="1" t="s">
        <v>5448</v>
      </c>
      <c r="D5200" s="1"/>
      <c r="E5200" s="1"/>
      <c r="F5200" s="1" t="s">
        <v>5449</v>
      </c>
      <c r="G5200" s="1">
        <v>160</v>
      </c>
      <c r="H5200" s="1" t="s">
        <v>19</v>
      </c>
      <c r="I5200" s="1" t="s">
        <v>4085</v>
      </c>
      <c r="J5200" s="1">
        <v>0.05</v>
      </c>
      <c r="K5200" s="1">
        <v>8</v>
      </c>
      <c r="L5200" s="42">
        <v>14</v>
      </c>
      <c r="M5200" s="43">
        <v>46261</v>
      </c>
      <c r="N5200" s="1" t="e">
        <f>VLOOKUP(B5200,MICRO!E:L,8,0)</f>
        <v>#N/A</v>
      </c>
    </row>
    <row r="5201" spans="1:14" ht="20.25" x14ac:dyDescent="0.25">
      <c r="A5201" s="1">
        <v>30</v>
      </c>
      <c r="B5201" s="159"/>
      <c r="C5201" s="1" t="s">
        <v>5448</v>
      </c>
      <c r="D5201" s="1"/>
      <c r="E5201" s="1"/>
      <c r="F5201" s="1" t="s">
        <v>5450</v>
      </c>
      <c r="G5201" s="1">
        <v>160</v>
      </c>
      <c r="H5201" s="1" t="s">
        <v>19</v>
      </c>
      <c r="I5201" s="1" t="s">
        <v>4085</v>
      </c>
      <c r="J5201" s="1">
        <v>0.03</v>
      </c>
      <c r="K5201" s="1">
        <v>4.8</v>
      </c>
      <c r="L5201" s="42">
        <v>14</v>
      </c>
      <c r="M5201" s="43">
        <v>46261</v>
      </c>
      <c r="N5201" s="1" t="e">
        <f>VLOOKUP(B5201,MICRO!E:L,8,0)</f>
        <v>#N/A</v>
      </c>
    </row>
    <row r="5202" spans="1:14" ht="20.25" x14ac:dyDescent="0.25">
      <c r="A5202" s="1">
        <v>31</v>
      </c>
      <c r="B5202" s="159"/>
      <c r="C5202" s="1" t="s">
        <v>5448</v>
      </c>
      <c r="D5202" s="1"/>
      <c r="E5202" s="1"/>
      <c r="F5202" s="1" t="s">
        <v>5451</v>
      </c>
      <c r="G5202" s="1">
        <v>160</v>
      </c>
      <c r="H5202" s="1" t="s">
        <v>19</v>
      </c>
      <c r="I5202" s="1" t="s">
        <v>4085</v>
      </c>
      <c r="J5202" s="1">
        <v>0.01</v>
      </c>
      <c r="K5202" s="1">
        <v>1.6</v>
      </c>
      <c r="L5202" s="42">
        <v>14</v>
      </c>
      <c r="M5202" s="43">
        <v>46261</v>
      </c>
      <c r="N5202" s="1" t="e">
        <f>VLOOKUP(B5202,MICRO!E:L,8,0)</f>
        <v>#N/A</v>
      </c>
    </row>
    <row r="5203" spans="1:14" ht="20.25" x14ac:dyDescent="0.25">
      <c r="A5203" s="1">
        <v>32</v>
      </c>
      <c r="B5203" s="159">
        <v>4135</v>
      </c>
      <c r="C5203" s="1" t="s">
        <v>3885</v>
      </c>
      <c r="D5203" s="1" t="s">
        <v>5452</v>
      </c>
      <c r="E5203" s="1" t="s">
        <v>2</v>
      </c>
      <c r="F5203" s="1" t="s">
        <v>5453</v>
      </c>
      <c r="G5203" s="1">
        <v>1</v>
      </c>
      <c r="H5203" s="1" t="s">
        <v>19</v>
      </c>
      <c r="I5203" s="1" t="s">
        <v>2274</v>
      </c>
      <c r="J5203" s="1">
        <v>761.8</v>
      </c>
      <c r="K5203" s="1">
        <v>761.8</v>
      </c>
      <c r="L5203" s="42">
        <v>14</v>
      </c>
      <c r="M5203" s="43">
        <v>46261</v>
      </c>
      <c r="N5203" s="1" t="str">
        <f>VLOOKUP(B5203,MICRO!E:L,8,0)</f>
        <v>P-188</v>
      </c>
    </row>
    <row r="5204" spans="1:14" ht="20.25" x14ac:dyDescent="0.25">
      <c r="A5204" s="1">
        <v>33</v>
      </c>
      <c r="B5204" s="159">
        <v>4136</v>
      </c>
      <c r="C5204" s="1" t="s">
        <v>3885</v>
      </c>
      <c r="D5204" s="1" t="s">
        <v>5452</v>
      </c>
      <c r="E5204" s="1" t="s">
        <v>43</v>
      </c>
      <c r="F5204" s="1" t="s">
        <v>3890</v>
      </c>
      <c r="G5204" s="1">
        <v>4</v>
      </c>
      <c r="H5204" s="1" t="s">
        <v>19</v>
      </c>
      <c r="I5204" s="1" t="s">
        <v>2274</v>
      </c>
      <c r="J5204" s="1">
        <v>4.5</v>
      </c>
      <c r="K5204" s="1">
        <v>18</v>
      </c>
      <c r="L5204" s="42">
        <v>14</v>
      </c>
      <c r="M5204" s="43">
        <v>46261</v>
      </c>
      <c r="N5204" s="1" t="str">
        <f>VLOOKUP(B5204,MICRO!E:L,8,0)</f>
        <v>P-188</v>
      </c>
    </row>
    <row r="5205" spans="1:14" ht="20.25" x14ac:dyDescent="0.25">
      <c r="A5205" s="1">
        <v>34</v>
      </c>
      <c r="B5205" s="159">
        <v>4137</v>
      </c>
      <c r="C5205" s="1" t="s">
        <v>3885</v>
      </c>
      <c r="D5205" s="1" t="s">
        <v>5452</v>
      </c>
      <c r="E5205" s="1" t="s">
        <v>746</v>
      </c>
      <c r="F5205" s="1" t="s">
        <v>3892</v>
      </c>
      <c r="G5205" s="1">
        <v>4</v>
      </c>
      <c r="H5205" s="1" t="s">
        <v>19</v>
      </c>
      <c r="I5205" s="1" t="s">
        <v>2274</v>
      </c>
      <c r="J5205" s="1">
        <v>5.8</v>
      </c>
      <c r="K5205" s="1">
        <v>23.2</v>
      </c>
      <c r="L5205" s="42">
        <v>14</v>
      </c>
      <c r="M5205" s="43">
        <v>46261</v>
      </c>
      <c r="N5205" s="1" t="str">
        <f>VLOOKUP(B5205,MICRO!E:L,8,0)</f>
        <v>P-188</v>
      </c>
    </row>
    <row r="5206" spans="1:14" ht="20.25" x14ac:dyDescent="0.25">
      <c r="A5206" s="1">
        <v>35</v>
      </c>
      <c r="B5206" s="159">
        <v>4138</v>
      </c>
      <c r="C5206" s="1" t="s">
        <v>3885</v>
      </c>
      <c r="D5206" s="1" t="s">
        <v>5452</v>
      </c>
      <c r="E5206" s="1" t="s">
        <v>1101</v>
      </c>
      <c r="F5206" s="1" t="s">
        <v>3894</v>
      </c>
      <c r="G5206" s="1">
        <v>8</v>
      </c>
      <c r="H5206" s="1" t="s">
        <v>19</v>
      </c>
      <c r="I5206" s="1" t="s">
        <v>2274</v>
      </c>
      <c r="J5206" s="1">
        <v>0.1</v>
      </c>
      <c r="K5206" s="1">
        <v>0.8</v>
      </c>
      <c r="L5206" s="42">
        <v>14</v>
      </c>
      <c r="M5206" s="43">
        <v>46261</v>
      </c>
      <c r="N5206" s="1" t="str">
        <f>VLOOKUP(B5206,MICRO!E:L,8,0)</f>
        <v>P-188</v>
      </c>
    </row>
    <row r="5207" spans="1:14" ht="20.25" x14ac:dyDescent="0.25">
      <c r="A5207" s="1">
        <v>36</v>
      </c>
      <c r="B5207" s="159"/>
      <c r="C5207" s="1" t="s">
        <v>3885</v>
      </c>
      <c r="D5207" s="1" t="s">
        <v>5452</v>
      </c>
      <c r="E5207" s="1" t="s">
        <v>100</v>
      </c>
      <c r="F5207" s="1" t="s">
        <v>5454</v>
      </c>
      <c r="G5207" s="1">
        <v>8</v>
      </c>
      <c r="H5207" s="1" t="s">
        <v>19</v>
      </c>
      <c r="I5207" s="1" t="s">
        <v>2274</v>
      </c>
      <c r="J5207" s="1">
        <v>1.4</v>
      </c>
      <c r="K5207" s="1">
        <v>11.2</v>
      </c>
      <c r="L5207" s="42">
        <v>14</v>
      </c>
      <c r="M5207" s="43">
        <v>46261</v>
      </c>
      <c r="N5207" s="1" t="e">
        <f>VLOOKUP(B5207,MICRO!E:L,8,0)</f>
        <v>#N/A</v>
      </c>
    </row>
    <row r="5208" spans="1:14" ht="20.25" x14ac:dyDescent="0.25">
      <c r="A5208" s="1">
        <v>37</v>
      </c>
      <c r="B5208" s="159"/>
      <c r="C5208" s="1" t="s">
        <v>3885</v>
      </c>
      <c r="D5208" s="1" t="s">
        <v>5452</v>
      </c>
      <c r="E5208" s="1" t="s">
        <v>173</v>
      </c>
      <c r="F5208" s="1" t="s">
        <v>5455</v>
      </c>
      <c r="G5208" s="1">
        <v>4</v>
      </c>
      <c r="H5208" s="1" t="s">
        <v>19</v>
      </c>
      <c r="I5208" s="1" t="s">
        <v>2274</v>
      </c>
      <c r="J5208" s="1">
        <v>1.4</v>
      </c>
      <c r="K5208" s="1">
        <v>5.6</v>
      </c>
      <c r="L5208" s="42">
        <v>14</v>
      </c>
      <c r="M5208" s="43">
        <v>46261</v>
      </c>
      <c r="N5208" s="1" t="e">
        <f>VLOOKUP(B5208,MICRO!E:L,8,0)</f>
        <v>#N/A</v>
      </c>
    </row>
    <row r="5209" spans="1:14" ht="20.25" x14ac:dyDescent="0.25">
      <c r="A5209" s="1">
        <v>38</v>
      </c>
      <c r="B5209" s="159">
        <v>4139</v>
      </c>
      <c r="C5209" s="1" t="s">
        <v>3885</v>
      </c>
      <c r="D5209" s="1" t="s">
        <v>5452</v>
      </c>
      <c r="E5209" s="1" t="s">
        <v>461</v>
      </c>
      <c r="F5209" s="1" t="s">
        <v>5456</v>
      </c>
      <c r="G5209" s="1">
        <v>4</v>
      </c>
      <c r="H5209" s="1" t="s">
        <v>19</v>
      </c>
      <c r="I5209" s="1" t="s">
        <v>2274</v>
      </c>
      <c r="J5209" s="1">
        <v>1.3</v>
      </c>
      <c r="K5209" s="1">
        <v>5.2</v>
      </c>
      <c r="L5209" s="42">
        <v>14</v>
      </c>
      <c r="M5209" s="43">
        <v>46261</v>
      </c>
      <c r="N5209" s="1" t="str">
        <f>VLOOKUP(B5209,MICRO!E:L,8,0)</f>
        <v>P-188</v>
      </c>
    </row>
    <row r="5210" spans="1:14" ht="20.25" x14ac:dyDescent="0.25">
      <c r="A5210" s="1">
        <v>39</v>
      </c>
      <c r="B5210" s="159">
        <v>4140</v>
      </c>
      <c r="C5210" s="1" t="s">
        <v>3885</v>
      </c>
      <c r="D5210" s="1" t="s">
        <v>5452</v>
      </c>
      <c r="E5210" s="1" t="s">
        <v>464</v>
      </c>
      <c r="F5210" s="1" t="s">
        <v>5457</v>
      </c>
      <c r="G5210" s="1">
        <v>2</v>
      </c>
      <c r="H5210" s="1" t="s">
        <v>19</v>
      </c>
      <c r="I5210" s="1" t="s">
        <v>2274</v>
      </c>
      <c r="J5210" s="1">
        <v>11.8</v>
      </c>
      <c r="K5210" s="1">
        <v>23.6</v>
      </c>
      <c r="L5210" s="42">
        <v>14</v>
      </c>
      <c r="M5210" s="43">
        <v>46261</v>
      </c>
      <c r="N5210" s="1" t="str">
        <f>VLOOKUP(B5210,MICRO!E:L,8,0)</f>
        <v>P-188</v>
      </c>
    </row>
    <row r="5211" spans="1:14" ht="20.25" x14ac:dyDescent="0.25">
      <c r="A5211" s="1">
        <v>40</v>
      </c>
      <c r="B5211" s="159">
        <v>4141</v>
      </c>
      <c r="C5211" s="1" t="s">
        <v>3885</v>
      </c>
      <c r="D5211" s="1" t="s">
        <v>5452</v>
      </c>
      <c r="E5211" s="1" t="s">
        <v>1103</v>
      </c>
      <c r="F5211" s="1" t="s">
        <v>5458</v>
      </c>
      <c r="G5211" s="1">
        <v>2</v>
      </c>
      <c r="H5211" s="1" t="s">
        <v>19</v>
      </c>
      <c r="I5211" s="1" t="s">
        <v>2274</v>
      </c>
      <c r="J5211" s="1">
        <v>8.6</v>
      </c>
      <c r="K5211" s="1">
        <v>17.2</v>
      </c>
      <c r="L5211" s="42">
        <v>14</v>
      </c>
      <c r="M5211" s="43">
        <v>46261</v>
      </c>
      <c r="N5211" s="1" t="str">
        <f>VLOOKUP(B5211,MICRO!E:L,8,0)</f>
        <v>P-188</v>
      </c>
    </row>
    <row r="5212" spans="1:14" ht="20.25" x14ac:dyDescent="0.25">
      <c r="A5212" s="1">
        <v>41</v>
      </c>
      <c r="B5212" s="159">
        <v>4142</v>
      </c>
      <c r="C5212" s="1" t="s">
        <v>3885</v>
      </c>
      <c r="D5212" s="1" t="s">
        <v>5452</v>
      </c>
      <c r="E5212" s="1" t="s">
        <v>2</v>
      </c>
      <c r="F5212" s="1" t="s">
        <v>5453</v>
      </c>
      <c r="G5212" s="1">
        <v>1</v>
      </c>
      <c r="H5212" s="1" t="s">
        <v>19</v>
      </c>
      <c r="I5212" s="1" t="s">
        <v>2276</v>
      </c>
      <c r="J5212" s="1">
        <v>761.8</v>
      </c>
      <c r="K5212" s="1">
        <v>761.8</v>
      </c>
      <c r="L5212" s="42">
        <v>14</v>
      </c>
      <c r="M5212" s="43">
        <v>46261</v>
      </c>
      <c r="N5212" s="1" t="str">
        <f>VLOOKUP(B5212,MICRO!E:L,8,0)</f>
        <v>P-188</v>
      </c>
    </row>
    <row r="5213" spans="1:14" ht="20.25" x14ac:dyDescent="0.25">
      <c r="A5213" s="1">
        <v>42</v>
      </c>
      <c r="B5213" s="159">
        <v>4143</v>
      </c>
      <c r="C5213" s="1" t="s">
        <v>3885</v>
      </c>
      <c r="D5213" s="1" t="s">
        <v>5452</v>
      </c>
      <c r="E5213" s="1" t="s">
        <v>43</v>
      </c>
      <c r="F5213" s="1" t="s">
        <v>3890</v>
      </c>
      <c r="G5213" s="1">
        <v>4</v>
      </c>
      <c r="H5213" s="1" t="s">
        <v>19</v>
      </c>
      <c r="I5213" s="1" t="s">
        <v>2276</v>
      </c>
      <c r="J5213" s="1">
        <v>4.5</v>
      </c>
      <c r="K5213" s="1">
        <v>18</v>
      </c>
      <c r="L5213" s="42">
        <v>14</v>
      </c>
      <c r="M5213" s="43">
        <v>46261</v>
      </c>
      <c r="N5213" s="1" t="str">
        <f>VLOOKUP(B5213,MICRO!E:L,8,0)</f>
        <v>P-188</v>
      </c>
    </row>
    <row r="5214" spans="1:14" ht="20.25" x14ac:dyDescent="0.25">
      <c r="A5214" s="1">
        <v>43</v>
      </c>
      <c r="B5214" s="159">
        <v>4144</v>
      </c>
      <c r="C5214" s="1" t="s">
        <v>3885</v>
      </c>
      <c r="D5214" s="1" t="s">
        <v>5452</v>
      </c>
      <c r="E5214" s="1" t="s">
        <v>746</v>
      </c>
      <c r="F5214" s="1" t="s">
        <v>3892</v>
      </c>
      <c r="G5214" s="1">
        <v>4</v>
      </c>
      <c r="H5214" s="1" t="s">
        <v>19</v>
      </c>
      <c r="I5214" s="1" t="s">
        <v>2276</v>
      </c>
      <c r="J5214" s="1">
        <v>5.8</v>
      </c>
      <c r="K5214" s="1">
        <v>23.2</v>
      </c>
      <c r="L5214" s="42">
        <v>14</v>
      </c>
      <c r="M5214" s="43">
        <v>46261</v>
      </c>
      <c r="N5214" s="1" t="str">
        <f>VLOOKUP(B5214,MICRO!E:L,8,0)</f>
        <v>P-188</v>
      </c>
    </row>
    <row r="5215" spans="1:14" ht="20.25" x14ac:dyDescent="0.25">
      <c r="A5215" s="1">
        <v>44</v>
      </c>
      <c r="B5215" s="159">
        <v>4145</v>
      </c>
      <c r="C5215" s="1" t="s">
        <v>3885</v>
      </c>
      <c r="D5215" s="1" t="s">
        <v>5452</v>
      </c>
      <c r="E5215" s="1" t="s">
        <v>1101</v>
      </c>
      <c r="F5215" s="1" t="s">
        <v>3894</v>
      </c>
      <c r="G5215" s="1">
        <v>8</v>
      </c>
      <c r="H5215" s="1" t="s">
        <v>19</v>
      </c>
      <c r="I5215" s="1" t="s">
        <v>2276</v>
      </c>
      <c r="J5215" s="1">
        <v>0.1</v>
      </c>
      <c r="K5215" s="1">
        <v>0.8</v>
      </c>
      <c r="L5215" s="42">
        <v>14</v>
      </c>
      <c r="M5215" s="43">
        <v>46261</v>
      </c>
      <c r="N5215" s="1" t="str">
        <f>VLOOKUP(B5215,MICRO!E:L,8,0)</f>
        <v>P-188</v>
      </c>
    </row>
    <row r="5216" spans="1:14" ht="20.25" x14ac:dyDescent="0.25">
      <c r="A5216" s="1">
        <v>45</v>
      </c>
      <c r="B5216" s="159"/>
      <c r="C5216" s="1" t="s">
        <v>3885</v>
      </c>
      <c r="D5216" s="1" t="s">
        <v>5452</v>
      </c>
      <c r="E5216" s="1" t="s">
        <v>100</v>
      </c>
      <c r="F5216" s="1" t="s">
        <v>5454</v>
      </c>
      <c r="G5216" s="1">
        <v>8</v>
      </c>
      <c r="H5216" s="1" t="s">
        <v>19</v>
      </c>
      <c r="I5216" s="1" t="s">
        <v>2276</v>
      </c>
      <c r="J5216" s="1">
        <v>1.4</v>
      </c>
      <c r="K5216" s="1">
        <v>11.2</v>
      </c>
      <c r="L5216" s="42">
        <v>14</v>
      </c>
      <c r="M5216" s="43">
        <v>46261</v>
      </c>
      <c r="N5216" s="1" t="e">
        <f>VLOOKUP(B5216,MICRO!E:L,8,0)</f>
        <v>#N/A</v>
      </c>
    </row>
    <row r="5217" spans="1:14" ht="20.25" x14ac:dyDescent="0.25">
      <c r="A5217" s="1">
        <v>46</v>
      </c>
      <c r="B5217" s="159"/>
      <c r="C5217" s="1" t="s">
        <v>3885</v>
      </c>
      <c r="D5217" s="1" t="s">
        <v>5452</v>
      </c>
      <c r="E5217" s="1" t="s">
        <v>173</v>
      </c>
      <c r="F5217" s="1" t="s">
        <v>5455</v>
      </c>
      <c r="G5217" s="1">
        <v>4</v>
      </c>
      <c r="H5217" s="1" t="s">
        <v>19</v>
      </c>
      <c r="I5217" s="1" t="s">
        <v>2276</v>
      </c>
      <c r="J5217" s="1">
        <v>1.4</v>
      </c>
      <c r="K5217" s="1">
        <v>5.6</v>
      </c>
      <c r="L5217" s="42">
        <v>14</v>
      </c>
      <c r="M5217" s="43">
        <v>46261</v>
      </c>
      <c r="N5217" s="1" t="e">
        <f>VLOOKUP(B5217,MICRO!E:L,8,0)</f>
        <v>#N/A</v>
      </c>
    </row>
    <row r="5218" spans="1:14" ht="20.25" x14ac:dyDescent="0.25">
      <c r="A5218" s="1">
        <v>47</v>
      </c>
      <c r="B5218" s="159">
        <v>4139</v>
      </c>
      <c r="C5218" s="1" t="s">
        <v>3885</v>
      </c>
      <c r="D5218" s="1" t="s">
        <v>5452</v>
      </c>
      <c r="E5218" s="1" t="s">
        <v>461</v>
      </c>
      <c r="F5218" s="1" t="s">
        <v>5456</v>
      </c>
      <c r="G5218" s="1">
        <v>4</v>
      </c>
      <c r="H5218" s="1" t="s">
        <v>19</v>
      </c>
      <c r="I5218" s="1" t="s">
        <v>2276</v>
      </c>
      <c r="J5218" s="1">
        <v>1.3</v>
      </c>
      <c r="K5218" s="1">
        <v>5.2</v>
      </c>
      <c r="L5218" s="42">
        <v>14</v>
      </c>
      <c r="M5218" s="43">
        <v>46261</v>
      </c>
      <c r="N5218" s="1" t="str">
        <f>VLOOKUP(B5218,MICRO!E:L,8,0)</f>
        <v>P-188</v>
      </c>
    </row>
    <row r="5219" spans="1:14" ht="20.25" x14ac:dyDescent="0.25">
      <c r="A5219" s="1">
        <v>48</v>
      </c>
      <c r="B5219" s="159">
        <v>4140</v>
      </c>
      <c r="C5219" s="1" t="s">
        <v>3885</v>
      </c>
      <c r="D5219" s="1" t="s">
        <v>5452</v>
      </c>
      <c r="E5219" s="1" t="s">
        <v>464</v>
      </c>
      <c r="F5219" s="1" t="s">
        <v>5457</v>
      </c>
      <c r="G5219" s="1">
        <v>2</v>
      </c>
      <c r="H5219" s="1" t="s">
        <v>19</v>
      </c>
      <c r="I5219" s="1" t="s">
        <v>2276</v>
      </c>
      <c r="J5219" s="1">
        <v>11.8</v>
      </c>
      <c r="K5219" s="1">
        <v>23.6</v>
      </c>
      <c r="L5219" s="42">
        <v>14</v>
      </c>
      <c r="M5219" s="43">
        <v>46261</v>
      </c>
      <c r="N5219" s="1" t="str">
        <f>VLOOKUP(B5219,MICRO!E:L,8,0)</f>
        <v>P-188</v>
      </c>
    </row>
    <row r="5220" spans="1:14" ht="20.25" x14ac:dyDescent="0.25">
      <c r="A5220" s="1">
        <v>49</v>
      </c>
      <c r="B5220" s="159">
        <v>4141</v>
      </c>
      <c r="C5220" s="1" t="s">
        <v>3885</v>
      </c>
      <c r="D5220" s="1" t="s">
        <v>5452</v>
      </c>
      <c r="E5220" s="1" t="s">
        <v>1103</v>
      </c>
      <c r="F5220" s="1" t="s">
        <v>5458</v>
      </c>
      <c r="G5220" s="1">
        <v>2</v>
      </c>
      <c r="H5220" s="1" t="s">
        <v>19</v>
      </c>
      <c r="I5220" s="1" t="s">
        <v>2274</v>
      </c>
      <c r="J5220" s="1">
        <v>8.6</v>
      </c>
      <c r="K5220" s="1">
        <v>17.2</v>
      </c>
      <c r="L5220" s="42">
        <v>14</v>
      </c>
      <c r="M5220" s="43">
        <v>46261</v>
      </c>
      <c r="N5220" s="1" t="str">
        <f>VLOOKUP(B5220,MICRO!E:L,8,0)</f>
        <v>P-188</v>
      </c>
    </row>
    <row r="5221" spans="1:14" ht="20.25" x14ac:dyDescent="0.25">
      <c r="A5221" s="1">
        <v>50</v>
      </c>
      <c r="B5221" s="159">
        <v>4290</v>
      </c>
      <c r="C5221" s="1" t="s">
        <v>3827</v>
      </c>
      <c r="D5221" s="1"/>
      <c r="E5221" s="1" t="s">
        <v>746</v>
      </c>
      <c r="F5221" s="1" t="s">
        <v>4047</v>
      </c>
      <c r="G5221" s="1">
        <v>4</v>
      </c>
      <c r="H5221" s="1" t="s">
        <v>19</v>
      </c>
      <c r="I5221" s="1" t="s">
        <v>3789</v>
      </c>
      <c r="J5221" s="1">
        <v>50</v>
      </c>
      <c r="K5221" s="1">
        <v>200</v>
      </c>
      <c r="L5221" s="42">
        <v>14</v>
      </c>
      <c r="M5221" s="43">
        <v>46261</v>
      </c>
      <c r="N5221" s="1" t="str">
        <f>VLOOKUP(B5221,MICRO!E:L,8,0)</f>
        <v>P-188</v>
      </c>
    </row>
    <row r="5222" spans="1:14" ht="20.25" x14ac:dyDescent="0.25">
      <c r="A5222" s="1">
        <v>51</v>
      </c>
      <c r="B5222" s="159">
        <v>4289</v>
      </c>
      <c r="C5222" s="1" t="s">
        <v>3811</v>
      </c>
      <c r="D5222" s="1"/>
      <c r="E5222" s="1" t="s">
        <v>1101</v>
      </c>
      <c r="F5222" s="1" t="s">
        <v>4045</v>
      </c>
      <c r="G5222" s="1">
        <v>4</v>
      </c>
      <c r="H5222" s="1" t="s">
        <v>19</v>
      </c>
      <c r="I5222" s="1" t="s">
        <v>3789</v>
      </c>
      <c r="J5222" s="1">
        <v>49.87</v>
      </c>
      <c r="K5222" s="1">
        <v>199.48</v>
      </c>
      <c r="L5222" s="42">
        <v>14</v>
      </c>
      <c r="M5222" s="43">
        <v>46261</v>
      </c>
      <c r="N5222" s="1" t="str">
        <f>VLOOKUP(B5222,MICRO!E:L,8,0)</f>
        <v>P-188</v>
      </c>
    </row>
    <row r="5223" spans="1:14" ht="20.25" x14ac:dyDescent="0.25">
      <c r="A5223" s="1">
        <v>52</v>
      </c>
      <c r="B5223" s="159"/>
      <c r="C5223" s="1"/>
      <c r="D5223" s="1" t="s">
        <v>5459</v>
      </c>
      <c r="E5223" s="1"/>
      <c r="F5223" s="1" t="s">
        <v>5460</v>
      </c>
      <c r="G5223" s="1">
        <v>1</v>
      </c>
      <c r="H5223" s="1" t="s">
        <v>19</v>
      </c>
      <c r="I5223" s="1" t="s">
        <v>4575</v>
      </c>
      <c r="J5223" s="1">
        <v>21.5</v>
      </c>
      <c r="K5223" s="1">
        <v>21.5</v>
      </c>
      <c r="L5223" s="42">
        <v>14</v>
      </c>
      <c r="M5223" s="43">
        <v>46261</v>
      </c>
      <c r="N5223" s="1" t="e">
        <f>VLOOKUP(B5223,MICRO!E:L,8,0)</f>
        <v>#N/A</v>
      </c>
    </row>
    <row r="5224" spans="1:14" ht="20.25" x14ac:dyDescent="0.25">
      <c r="A5224" s="1">
        <v>53</v>
      </c>
      <c r="B5224" s="159"/>
      <c r="C5224" s="1"/>
      <c r="D5224" s="1" t="s">
        <v>5461</v>
      </c>
      <c r="E5224" s="1"/>
      <c r="F5224" s="1" t="s">
        <v>5462</v>
      </c>
      <c r="G5224" s="1">
        <v>1</v>
      </c>
      <c r="H5224" s="1" t="s">
        <v>19</v>
      </c>
      <c r="I5224" s="1" t="s">
        <v>4553</v>
      </c>
      <c r="J5224" s="1">
        <v>21.5</v>
      </c>
      <c r="K5224" s="1">
        <v>21.5</v>
      </c>
      <c r="L5224" s="42">
        <v>14</v>
      </c>
      <c r="M5224" s="43">
        <v>46261</v>
      </c>
      <c r="N5224" s="1" t="e">
        <f>VLOOKUP(B5224,MICRO!E:L,8,0)</f>
        <v>#N/A</v>
      </c>
    </row>
    <row r="5225" spans="1:14" ht="20.25" x14ac:dyDescent="0.25">
      <c r="A5225" s="1">
        <v>54</v>
      </c>
      <c r="B5225" s="159"/>
      <c r="C5225" s="1"/>
      <c r="D5225" s="1" t="s">
        <v>5459</v>
      </c>
      <c r="E5225" s="1"/>
      <c r="F5225" s="1" t="s">
        <v>5463</v>
      </c>
      <c r="G5225" s="1">
        <v>1</v>
      </c>
      <c r="H5225" s="1" t="s">
        <v>19</v>
      </c>
      <c r="I5225" s="1" t="s">
        <v>4575</v>
      </c>
      <c r="J5225" s="1">
        <v>0.5</v>
      </c>
      <c r="K5225" s="1">
        <v>0.5</v>
      </c>
      <c r="L5225" s="42">
        <v>14</v>
      </c>
      <c r="M5225" s="43">
        <v>46261</v>
      </c>
      <c r="N5225" s="1" t="e">
        <f>VLOOKUP(B5225,MICRO!E:L,8,0)</f>
        <v>#N/A</v>
      </c>
    </row>
    <row r="5226" spans="1:14" ht="20.25" x14ac:dyDescent="0.25">
      <c r="A5226" s="1">
        <v>55</v>
      </c>
      <c r="B5226" s="159"/>
      <c r="C5226" s="1"/>
      <c r="D5226" s="1" t="s">
        <v>5459</v>
      </c>
      <c r="E5226" s="1"/>
      <c r="F5226" s="1" t="s">
        <v>5464</v>
      </c>
      <c r="G5226" s="1">
        <v>1</v>
      </c>
      <c r="H5226" s="1" t="s">
        <v>19</v>
      </c>
      <c r="I5226" s="1" t="s">
        <v>4553</v>
      </c>
      <c r="J5226" s="1">
        <v>0.5</v>
      </c>
      <c r="K5226" s="1">
        <v>0.5</v>
      </c>
      <c r="L5226" s="42">
        <v>14</v>
      </c>
      <c r="M5226" s="43">
        <v>46261</v>
      </c>
      <c r="N5226" s="1" t="e">
        <f>VLOOKUP(B5226,MICRO!E:L,8,0)</f>
        <v>#N/A</v>
      </c>
    </row>
    <row r="5227" spans="1:14" ht="20.25" x14ac:dyDescent="0.25">
      <c r="A5227" s="1">
        <v>56</v>
      </c>
      <c r="B5227" s="159"/>
      <c r="C5227" s="1" t="s">
        <v>5465</v>
      </c>
      <c r="D5227" s="1"/>
      <c r="E5227" s="1"/>
      <c r="F5227" s="1" t="s">
        <v>5466</v>
      </c>
      <c r="G5227" s="1">
        <v>1</v>
      </c>
      <c r="H5227" s="1" t="s">
        <v>19</v>
      </c>
      <c r="I5227" s="1" t="s">
        <v>4687</v>
      </c>
      <c r="J5227" s="1">
        <v>350</v>
      </c>
      <c r="K5227" s="1">
        <v>350</v>
      </c>
      <c r="L5227" s="42">
        <v>14</v>
      </c>
      <c r="M5227" s="43">
        <v>46261</v>
      </c>
      <c r="N5227" s="1" t="e">
        <f>VLOOKUP(B5227,MICRO!E:L,8,0)</f>
        <v>#N/A</v>
      </c>
    </row>
    <row r="5228" spans="1:14" ht="20.25" x14ac:dyDescent="0.25">
      <c r="A5228" s="1">
        <v>57</v>
      </c>
      <c r="B5228" s="159"/>
      <c r="C5228" s="1" t="s">
        <v>5467</v>
      </c>
      <c r="D5228" s="1"/>
      <c r="E5228" s="1"/>
      <c r="F5228" s="1" t="s">
        <v>5468</v>
      </c>
      <c r="G5228" s="1">
        <v>1</v>
      </c>
      <c r="H5228" s="1" t="s">
        <v>19</v>
      </c>
      <c r="I5228" s="1" t="s">
        <v>4688</v>
      </c>
      <c r="J5228" s="1">
        <v>350</v>
      </c>
      <c r="K5228" s="1">
        <v>350</v>
      </c>
      <c r="L5228" s="42">
        <v>14</v>
      </c>
      <c r="M5228" s="43">
        <v>46261</v>
      </c>
      <c r="N5228" s="1" t="e">
        <f>VLOOKUP(B5228,MICRO!E:L,8,0)</f>
        <v>#N/A</v>
      </c>
    </row>
    <row r="5229" spans="1:14" ht="20.25" x14ac:dyDescent="0.25">
      <c r="A5229" s="1">
        <v>58</v>
      </c>
      <c r="B5229" s="159"/>
      <c r="C5229" s="1" t="s">
        <v>5469</v>
      </c>
      <c r="D5229" s="1"/>
      <c r="E5229" s="1" t="s">
        <v>2</v>
      </c>
      <c r="F5229" s="1" t="s">
        <v>5470</v>
      </c>
      <c r="G5229" s="1">
        <v>4</v>
      </c>
      <c r="H5229" s="1" t="s">
        <v>19</v>
      </c>
      <c r="I5229" s="1" t="s">
        <v>4687</v>
      </c>
      <c r="J5229" s="1">
        <v>106.4</v>
      </c>
      <c r="K5229" s="1">
        <v>425.6</v>
      </c>
      <c r="L5229" s="42">
        <v>14</v>
      </c>
      <c r="M5229" s="43">
        <v>46261</v>
      </c>
      <c r="N5229" s="1" t="e">
        <f>VLOOKUP(B5229,MICRO!E:L,8,0)</f>
        <v>#N/A</v>
      </c>
    </row>
    <row r="5230" spans="1:14" ht="20.25" x14ac:dyDescent="0.25">
      <c r="A5230" s="1">
        <v>59</v>
      </c>
      <c r="B5230" s="159"/>
      <c r="C5230" s="1" t="s">
        <v>5469</v>
      </c>
      <c r="D5230" s="1"/>
      <c r="E5230" s="1" t="s">
        <v>2</v>
      </c>
      <c r="F5230" s="1" t="s">
        <v>5470</v>
      </c>
      <c r="G5230" s="1">
        <v>4</v>
      </c>
      <c r="H5230" s="1" t="s">
        <v>19</v>
      </c>
      <c r="I5230" s="1" t="s">
        <v>4688</v>
      </c>
      <c r="J5230" s="1">
        <v>106.4</v>
      </c>
      <c r="K5230" s="1">
        <v>425.6</v>
      </c>
      <c r="L5230" s="42">
        <v>14</v>
      </c>
      <c r="M5230" s="43">
        <v>46261</v>
      </c>
      <c r="N5230" s="1" t="e">
        <f>VLOOKUP(B5230,MICRO!E:L,8,0)</f>
        <v>#N/A</v>
      </c>
    </row>
    <row r="5231" spans="1:14" ht="20.25" x14ac:dyDescent="0.25">
      <c r="A5231" s="1">
        <v>60</v>
      </c>
      <c r="B5231" s="159"/>
      <c r="C5231" s="1" t="s">
        <v>4269</v>
      </c>
      <c r="D5231" s="1"/>
      <c r="E5231" s="1" t="s">
        <v>2</v>
      </c>
      <c r="F5231" s="1" t="s">
        <v>5471</v>
      </c>
      <c r="G5231" s="1">
        <v>2</v>
      </c>
      <c r="H5231" s="1" t="s">
        <v>19</v>
      </c>
      <c r="I5231" s="1" t="s">
        <v>4687</v>
      </c>
      <c r="J5231" s="1">
        <v>47.7</v>
      </c>
      <c r="K5231" s="1">
        <v>95.4</v>
      </c>
      <c r="L5231" s="42">
        <v>14</v>
      </c>
      <c r="M5231" s="43">
        <v>46261</v>
      </c>
      <c r="N5231" s="1" t="e">
        <f>VLOOKUP(B5231,MICRO!E:L,8,0)</f>
        <v>#N/A</v>
      </c>
    </row>
    <row r="5232" spans="1:14" ht="20.25" x14ac:dyDescent="0.25">
      <c r="A5232" s="1">
        <v>61</v>
      </c>
      <c r="B5232" s="159"/>
      <c r="C5232" s="1" t="s">
        <v>4269</v>
      </c>
      <c r="D5232" s="1"/>
      <c r="E5232" s="1" t="s">
        <v>2</v>
      </c>
      <c r="F5232" s="1" t="s">
        <v>5471</v>
      </c>
      <c r="G5232" s="1">
        <v>2</v>
      </c>
      <c r="H5232" s="1" t="s">
        <v>19</v>
      </c>
      <c r="I5232" s="1" t="s">
        <v>4688</v>
      </c>
      <c r="J5232" s="1">
        <v>47.7</v>
      </c>
      <c r="K5232" s="1">
        <v>95.4</v>
      </c>
      <c r="L5232" s="42">
        <v>14</v>
      </c>
      <c r="M5232" s="43">
        <v>46261</v>
      </c>
      <c r="N5232" s="1" t="e">
        <f>VLOOKUP(B5232,MICRO!E:L,8,0)</f>
        <v>#N/A</v>
      </c>
    </row>
    <row r="5233" spans="1:14" ht="20.25" x14ac:dyDescent="0.25">
      <c r="A5233" s="1">
        <v>62</v>
      </c>
      <c r="B5233" s="159"/>
      <c r="C5233" s="1" t="s">
        <v>4257</v>
      </c>
      <c r="D5233" s="1" t="s">
        <v>4012</v>
      </c>
      <c r="E5233" s="1" t="s">
        <v>173</v>
      </c>
      <c r="F5233" s="1" t="s">
        <v>4013</v>
      </c>
      <c r="G5233" s="1">
        <v>1</v>
      </c>
      <c r="H5233" s="1" t="s">
        <v>19</v>
      </c>
      <c r="I5233" s="1" t="s">
        <v>4687</v>
      </c>
      <c r="J5233" s="1">
        <v>3</v>
      </c>
      <c r="K5233" s="1">
        <v>3</v>
      </c>
      <c r="L5233" s="42">
        <v>14</v>
      </c>
      <c r="M5233" s="43">
        <v>46261</v>
      </c>
      <c r="N5233" s="1" t="e">
        <f>VLOOKUP(B5233,MICRO!E:L,8,0)</f>
        <v>#N/A</v>
      </c>
    </row>
    <row r="5234" spans="1:14" ht="20.25" x14ac:dyDescent="0.25">
      <c r="A5234" s="1">
        <v>63</v>
      </c>
      <c r="B5234" s="159"/>
      <c r="C5234" s="1" t="s">
        <v>4257</v>
      </c>
      <c r="D5234" s="1" t="s">
        <v>4012</v>
      </c>
      <c r="E5234" s="1" t="s">
        <v>173</v>
      </c>
      <c r="F5234" s="1" t="s">
        <v>4013</v>
      </c>
      <c r="G5234" s="1">
        <v>1</v>
      </c>
      <c r="H5234" s="1" t="s">
        <v>19</v>
      </c>
      <c r="I5234" s="1" t="s">
        <v>4688</v>
      </c>
      <c r="J5234" s="1">
        <v>3</v>
      </c>
      <c r="K5234" s="1">
        <v>3</v>
      </c>
      <c r="L5234" s="42">
        <v>14</v>
      </c>
      <c r="M5234" s="43">
        <v>46261</v>
      </c>
      <c r="N5234" s="1" t="e">
        <f>VLOOKUP(B5234,MICRO!E:L,8,0)</f>
        <v>#N/A</v>
      </c>
    </row>
    <row r="5235" spans="1:14" ht="20.25" x14ac:dyDescent="0.25">
      <c r="A5235" s="1">
        <v>64</v>
      </c>
      <c r="B5235" s="159"/>
      <c r="C5235" s="1" t="s">
        <v>3800</v>
      </c>
      <c r="D5235" s="1"/>
      <c r="E5235" s="1" t="s">
        <v>3796</v>
      </c>
      <c r="F5235" s="1" t="s">
        <v>3794</v>
      </c>
      <c r="G5235" s="1">
        <v>6</v>
      </c>
      <c r="H5235" s="1" t="s">
        <v>19</v>
      </c>
      <c r="I5235" s="1" t="s">
        <v>4687</v>
      </c>
      <c r="J5235" s="1">
        <v>0.05</v>
      </c>
      <c r="K5235" s="1">
        <v>0.30000000000000004</v>
      </c>
      <c r="L5235" s="42">
        <v>14</v>
      </c>
      <c r="M5235" s="43">
        <v>46261</v>
      </c>
      <c r="N5235" s="1" t="e">
        <f>VLOOKUP(B5235,MICRO!E:L,8,0)</f>
        <v>#N/A</v>
      </c>
    </row>
    <row r="5236" spans="1:14" ht="20.25" x14ac:dyDescent="0.25">
      <c r="A5236" s="1">
        <v>65</v>
      </c>
      <c r="B5236" s="159"/>
      <c r="C5236" s="1" t="s">
        <v>3800</v>
      </c>
      <c r="D5236" s="1"/>
      <c r="E5236" s="1" t="s">
        <v>3796</v>
      </c>
      <c r="F5236" s="1" t="s">
        <v>3794</v>
      </c>
      <c r="G5236" s="1">
        <v>6</v>
      </c>
      <c r="H5236" s="1" t="s">
        <v>19</v>
      </c>
      <c r="I5236" s="1" t="s">
        <v>4688</v>
      </c>
      <c r="J5236" s="1">
        <v>0.05</v>
      </c>
      <c r="K5236" s="1">
        <v>0.30000000000000004</v>
      </c>
      <c r="L5236" s="42">
        <v>14</v>
      </c>
      <c r="M5236" s="43">
        <v>46261</v>
      </c>
      <c r="N5236" s="1" t="e">
        <f>VLOOKUP(B5236,MICRO!E:L,8,0)</f>
        <v>#N/A</v>
      </c>
    </row>
    <row r="5237" spans="1:14" ht="20.25" x14ac:dyDescent="0.25">
      <c r="A5237" s="1">
        <v>66</v>
      </c>
      <c r="B5237" s="159"/>
      <c r="C5237" s="1" t="s">
        <v>5472</v>
      </c>
      <c r="D5237" s="1"/>
      <c r="E5237" s="1" t="s">
        <v>2193</v>
      </c>
      <c r="F5237" s="1" t="s">
        <v>5473</v>
      </c>
      <c r="G5237" s="1">
        <v>6</v>
      </c>
      <c r="H5237" s="1" t="s">
        <v>19</v>
      </c>
      <c r="I5237" s="1" t="s">
        <v>4687</v>
      </c>
      <c r="J5237" s="1">
        <v>1</v>
      </c>
      <c r="K5237" s="1">
        <v>6</v>
      </c>
      <c r="L5237" s="42">
        <v>14</v>
      </c>
      <c r="M5237" s="43">
        <v>46261</v>
      </c>
      <c r="N5237" s="1" t="e">
        <f>VLOOKUP(B5237,MICRO!E:L,8,0)</f>
        <v>#N/A</v>
      </c>
    </row>
    <row r="5238" spans="1:14" ht="20.25" x14ac:dyDescent="0.25">
      <c r="A5238" s="1">
        <v>67</v>
      </c>
      <c r="B5238" s="159"/>
      <c r="C5238" s="1" t="s">
        <v>5472</v>
      </c>
      <c r="D5238" s="1"/>
      <c r="E5238" s="1" t="s">
        <v>2193</v>
      </c>
      <c r="F5238" s="1" t="s">
        <v>5473</v>
      </c>
      <c r="G5238" s="1">
        <v>6</v>
      </c>
      <c r="H5238" s="1" t="s">
        <v>19</v>
      </c>
      <c r="I5238" s="1" t="s">
        <v>4688</v>
      </c>
      <c r="J5238" s="1">
        <v>1</v>
      </c>
      <c r="K5238" s="1">
        <v>6</v>
      </c>
      <c r="L5238" s="42">
        <v>14</v>
      </c>
      <c r="M5238" s="43">
        <v>46261</v>
      </c>
      <c r="N5238" s="1" t="e">
        <f>VLOOKUP(B5238,MICRO!E:L,8,0)</f>
        <v>#N/A</v>
      </c>
    </row>
    <row r="5239" spans="1:14" ht="20.25" x14ac:dyDescent="0.25">
      <c r="A5239" s="1">
        <v>68</v>
      </c>
      <c r="B5239" s="159"/>
      <c r="C5239" s="1" t="s">
        <v>5474</v>
      </c>
      <c r="D5239" s="1"/>
      <c r="E5239" s="1" t="s">
        <v>5475</v>
      </c>
      <c r="F5239" s="1" t="s">
        <v>5473</v>
      </c>
      <c r="G5239" s="1">
        <v>2</v>
      </c>
      <c r="H5239" s="1" t="s">
        <v>19</v>
      </c>
      <c r="I5239" s="1" t="s">
        <v>4687</v>
      </c>
      <c r="J5239" s="1">
        <v>1</v>
      </c>
      <c r="K5239" s="1">
        <v>2</v>
      </c>
      <c r="L5239" s="42">
        <v>14</v>
      </c>
      <c r="M5239" s="43">
        <v>46261</v>
      </c>
      <c r="N5239" s="1" t="e">
        <f>VLOOKUP(B5239,MICRO!E:L,8,0)</f>
        <v>#N/A</v>
      </c>
    </row>
    <row r="5240" spans="1:14" ht="20.25" x14ac:dyDescent="0.25">
      <c r="A5240" s="1">
        <v>69</v>
      </c>
      <c r="B5240" s="159"/>
      <c r="C5240" s="1" t="s">
        <v>5474</v>
      </c>
      <c r="D5240" s="1"/>
      <c r="E5240" s="1" t="s">
        <v>5475</v>
      </c>
      <c r="F5240" s="1" t="s">
        <v>5473</v>
      </c>
      <c r="G5240" s="1">
        <v>2</v>
      </c>
      <c r="H5240" s="1" t="s">
        <v>19</v>
      </c>
      <c r="I5240" s="1" t="s">
        <v>4688</v>
      </c>
      <c r="J5240" s="1">
        <v>1</v>
      </c>
      <c r="K5240" s="1">
        <v>2</v>
      </c>
      <c r="L5240" s="42">
        <v>14</v>
      </c>
      <c r="M5240" s="43">
        <v>46261</v>
      </c>
      <c r="N5240" s="1" t="e">
        <f>VLOOKUP(B5240,MICRO!E:L,8,0)</f>
        <v>#N/A</v>
      </c>
    </row>
    <row r="5241" spans="1:14" ht="20.25" x14ac:dyDescent="0.25">
      <c r="A5241" s="1">
        <v>70</v>
      </c>
      <c r="B5241" s="159"/>
      <c r="C5241" s="1" t="s">
        <v>5476</v>
      </c>
      <c r="D5241" s="1"/>
      <c r="E5241" s="1" t="s">
        <v>5475</v>
      </c>
      <c r="F5241" s="1" t="s">
        <v>5473</v>
      </c>
      <c r="G5241" s="1">
        <v>2</v>
      </c>
      <c r="H5241" s="1" t="s">
        <v>19</v>
      </c>
      <c r="I5241" s="1" t="s">
        <v>4687</v>
      </c>
      <c r="J5241" s="1">
        <v>1</v>
      </c>
      <c r="K5241" s="1">
        <v>2</v>
      </c>
      <c r="L5241" s="42">
        <v>14</v>
      </c>
      <c r="M5241" s="43">
        <v>46261</v>
      </c>
      <c r="N5241" s="1" t="e">
        <f>VLOOKUP(B5241,MICRO!E:L,8,0)</f>
        <v>#N/A</v>
      </c>
    </row>
    <row r="5242" spans="1:14" ht="20.25" x14ac:dyDescent="0.25">
      <c r="A5242" s="1">
        <v>71</v>
      </c>
      <c r="B5242" s="159"/>
      <c r="C5242" s="1" t="s">
        <v>5476</v>
      </c>
      <c r="D5242" s="1"/>
      <c r="E5242" s="1" t="s">
        <v>5475</v>
      </c>
      <c r="F5242" s="1" t="s">
        <v>5473</v>
      </c>
      <c r="G5242" s="1">
        <v>2</v>
      </c>
      <c r="H5242" s="1" t="s">
        <v>19</v>
      </c>
      <c r="I5242" s="1" t="s">
        <v>4688</v>
      </c>
      <c r="J5242" s="1">
        <v>1</v>
      </c>
      <c r="K5242" s="1">
        <v>2</v>
      </c>
      <c r="L5242" s="42">
        <v>14</v>
      </c>
      <c r="M5242" s="43">
        <v>46261</v>
      </c>
      <c r="N5242" s="1" t="e">
        <f>VLOOKUP(B5242,MICRO!E:L,8,0)</f>
        <v>#N/A</v>
      </c>
    </row>
    <row r="5243" spans="1:14" ht="20.25" x14ac:dyDescent="0.25">
      <c r="A5243" s="1">
        <v>72</v>
      </c>
      <c r="B5243" s="159"/>
      <c r="C5243" s="1" t="s">
        <v>5477</v>
      </c>
      <c r="D5243" s="1"/>
      <c r="E5243" s="1" t="s">
        <v>5478</v>
      </c>
      <c r="F5243" s="1" t="s">
        <v>5479</v>
      </c>
      <c r="G5243" s="1">
        <v>2</v>
      </c>
      <c r="H5243" s="1" t="s">
        <v>19</v>
      </c>
      <c r="I5243" s="1" t="s">
        <v>4687</v>
      </c>
      <c r="J5243" s="1">
        <v>0.7</v>
      </c>
      <c r="K5243" s="1">
        <v>1.4</v>
      </c>
      <c r="L5243" s="42">
        <v>14</v>
      </c>
      <c r="M5243" s="43">
        <v>46261</v>
      </c>
      <c r="N5243" s="1" t="e">
        <f>VLOOKUP(B5243,MICRO!E:L,8,0)</f>
        <v>#N/A</v>
      </c>
    </row>
    <row r="5244" spans="1:14" ht="20.25" x14ac:dyDescent="0.25">
      <c r="A5244" s="1">
        <v>73</v>
      </c>
      <c r="B5244" s="159"/>
      <c r="C5244" s="1" t="s">
        <v>5477</v>
      </c>
      <c r="D5244" s="1"/>
      <c r="E5244" s="1" t="s">
        <v>5478</v>
      </c>
      <c r="F5244" s="1" t="s">
        <v>5479</v>
      </c>
      <c r="G5244" s="1">
        <v>2</v>
      </c>
      <c r="H5244" s="1" t="s">
        <v>19</v>
      </c>
      <c r="I5244" s="1" t="s">
        <v>4688</v>
      </c>
      <c r="J5244" s="1">
        <v>0.7</v>
      </c>
      <c r="K5244" s="1">
        <v>1.4</v>
      </c>
      <c r="L5244" s="42">
        <v>14</v>
      </c>
      <c r="M5244" s="43">
        <v>46261</v>
      </c>
      <c r="N5244" s="1" t="e">
        <f>VLOOKUP(B5244,MICRO!E:L,8,0)</f>
        <v>#N/A</v>
      </c>
    </row>
    <row r="5245" spans="1:14" ht="20.25" x14ac:dyDescent="0.25">
      <c r="A5245" s="1">
        <v>74</v>
      </c>
      <c r="B5245" s="159">
        <v>3398</v>
      </c>
      <c r="C5245" s="1" t="s">
        <v>2280</v>
      </c>
      <c r="D5245" s="1"/>
      <c r="E5245" s="1" t="s">
        <v>2</v>
      </c>
      <c r="F5245" s="1" t="s">
        <v>2281</v>
      </c>
      <c r="G5245" s="1">
        <v>1</v>
      </c>
      <c r="H5245" s="1" t="s">
        <v>19</v>
      </c>
      <c r="I5245" s="1" t="s">
        <v>2274</v>
      </c>
      <c r="J5245" s="1">
        <v>67</v>
      </c>
      <c r="K5245" s="1">
        <v>67</v>
      </c>
      <c r="L5245" s="42">
        <v>14</v>
      </c>
      <c r="M5245" s="43">
        <v>46261</v>
      </c>
      <c r="N5245" s="1" t="str">
        <f>VLOOKUP(B5245,MICRO!E:L,8,0)</f>
        <v>P-188</v>
      </c>
    </row>
    <row r="5246" spans="1:14" ht="20.25" x14ac:dyDescent="0.25">
      <c r="A5246" s="1">
        <v>75</v>
      </c>
      <c r="B5246" s="159">
        <v>3399</v>
      </c>
      <c r="C5246" s="1" t="s">
        <v>2280</v>
      </c>
      <c r="D5246" s="1"/>
      <c r="E5246" s="1" t="s">
        <v>2</v>
      </c>
      <c r="F5246" s="1" t="s">
        <v>2281</v>
      </c>
      <c r="G5246" s="1">
        <v>1</v>
      </c>
      <c r="H5246" s="1" t="s">
        <v>19</v>
      </c>
      <c r="I5246" s="1" t="s">
        <v>2276</v>
      </c>
      <c r="J5246" s="1">
        <v>67</v>
      </c>
      <c r="K5246" s="1">
        <v>67</v>
      </c>
      <c r="L5246" s="42">
        <v>14</v>
      </c>
      <c r="M5246" s="43">
        <v>46261</v>
      </c>
      <c r="N5246" s="1" t="str">
        <f>VLOOKUP(B5246,MICRO!E:L,8,0)</f>
        <v>P-188</v>
      </c>
    </row>
    <row r="5247" spans="1:14" ht="20.25" x14ac:dyDescent="0.25">
      <c r="A5247" s="1">
        <v>76</v>
      </c>
      <c r="B5247" s="159"/>
      <c r="C5247" s="1" t="s">
        <v>3820</v>
      </c>
      <c r="D5247" s="1"/>
      <c r="E5247" s="1" t="s">
        <v>3821</v>
      </c>
      <c r="F5247" s="1" t="s">
        <v>3803</v>
      </c>
      <c r="G5247" s="1">
        <v>1</v>
      </c>
      <c r="H5247" s="1" t="s">
        <v>19</v>
      </c>
      <c r="I5247" s="1" t="s">
        <v>3789</v>
      </c>
      <c r="J5247" s="1">
        <v>159.30000000000001</v>
      </c>
      <c r="K5247" s="1">
        <v>159.30000000000001</v>
      </c>
      <c r="L5247" s="42">
        <v>14</v>
      </c>
      <c r="M5247" s="43">
        <v>46261</v>
      </c>
      <c r="N5247" s="1" t="e">
        <f>VLOOKUP(B5247,MICRO!E:L,8,0)</f>
        <v>#N/A</v>
      </c>
    </row>
    <row r="5248" spans="1:14" ht="20.25" x14ac:dyDescent="0.25">
      <c r="A5248" s="1">
        <v>1</v>
      </c>
      <c r="B5248" s="159">
        <v>3812</v>
      </c>
      <c r="C5248" s="1" t="s">
        <v>149</v>
      </c>
      <c r="D5248" s="1"/>
      <c r="E5248" s="1"/>
      <c r="F5248" s="1" t="s">
        <v>3171</v>
      </c>
      <c r="G5248" s="1">
        <v>3</v>
      </c>
      <c r="H5248" s="1" t="s">
        <v>19</v>
      </c>
      <c r="I5248" s="1" t="s">
        <v>5480</v>
      </c>
      <c r="J5248" s="1">
        <v>32.4</v>
      </c>
      <c r="K5248" s="1">
        <v>97.199999999999989</v>
      </c>
      <c r="L5248" s="42">
        <v>1</v>
      </c>
      <c r="M5248" s="43">
        <v>46261</v>
      </c>
      <c r="N5248" s="1" t="str">
        <f>VLOOKUP(B5248,MICRO!E:L,8,0)</f>
        <v>P-205</v>
      </c>
    </row>
    <row r="5249" spans="1:14" ht="20.25" x14ac:dyDescent="0.25">
      <c r="A5249" s="1">
        <v>1</v>
      </c>
      <c r="B5249" s="159">
        <v>3791</v>
      </c>
      <c r="C5249" s="1" t="s">
        <v>3127</v>
      </c>
      <c r="D5249" s="1" t="s">
        <v>3128</v>
      </c>
      <c r="E5249" s="1" t="s">
        <v>100</v>
      </c>
      <c r="F5249" s="1" t="s">
        <v>3133</v>
      </c>
      <c r="G5249" s="1">
        <v>28</v>
      </c>
      <c r="H5249" s="1" t="s">
        <v>19</v>
      </c>
      <c r="I5249" s="1" t="s">
        <v>3034</v>
      </c>
      <c r="J5249" s="1">
        <v>4.8</v>
      </c>
      <c r="K5249" s="1">
        <v>134.4</v>
      </c>
      <c r="L5249" s="42">
        <v>6</v>
      </c>
      <c r="M5249" s="237">
        <v>46273</v>
      </c>
      <c r="N5249" s="1" t="str">
        <f>VLOOKUP(B5249,MICRO!E:L,8,0)</f>
        <v>P-198</v>
      </c>
    </row>
    <row r="5250" spans="1:14" ht="20.25" x14ac:dyDescent="0.25">
      <c r="A5250" s="1">
        <v>2</v>
      </c>
      <c r="B5250" s="159">
        <v>3795</v>
      </c>
      <c r="C5250" s="1" t="s">
        <v>3127</v>
      </c>
      <c r="D5250" s="1" t="s">
        <v>3128</v>
      </c>
      <c r="E5250" s="1" t="s">
        <v>1102</v>
      </c>
      <c r="F5250" s="1" t="s">
        <v>3137</v>
      </c>
      <c r="G5250" s="1">
        <v>1</v>
      </c>
      <c r="H5250" s="1" t="s">
        <v>19</v>
      </c>
      <c r="I5250" s="1" t="s">
        <v>3034</v>
      </c>
      <c r="J5250" s="1">
        <v>2.4</v>
      </c>
      <c r="K5250" s="1">
        <v>2.4</v>
      </c>
      <c r="L5250" s="42">
        <v>6</v>
      </c>
      <c r="M5250" s="237">
        <v>46273</v>
      </c>
      <c r="N5250" s="1" t="str">
        <f>VLOOKUP(B5250,MICRO!E:L,8,0)</f>
        <v>P-198</v>
      </c>
    </row>
    <row r="5251" spans="1:14" ht="20.25" x14ac:dyDescent="0.25">
      <c r="A5251" s="1">
        <v>3</v>
      </c>
      <c r="B5251" s="159">
        <v>4328</v>
      </c>
      <c r="C5251" s="1" t="s">
        <v>4310</v>
      </c>
      <c r="D5251" s="1" t="s">
        <v>4311</v>
      </c>
      <c r="E5251" s="1" t="s">
        <v>2</v>
      </c>
      <c r="F5251" s="1" t="s">
        <v>4313</v>
      </c>
      <c r="G5251" s="1">
        <v>8</v>
      </c>
      <c r="H5251" s="1" t="s">
        <v>19</v>
      </c>
      <c r="I5251" s="1" t="s">
        <v>3045</v>
      </c>
      <c r="J5251" s="1">
        <v>1.2</v>
      </c>
      <c r="K5251" s="1">
        <v>9.6</v>
      </c>
      <c r="L5251" s="42">
        <v>6</v>
      </c>
      <c r="M5251" s="237">
        <v>46273</v>
      </c>
      <c r="N5251" s="1" t="str">
        <f>VLOOKUP(B5251,MICRO!E:L,8,0)</f>
        <v>P-198</v>
      </c>
    </row>
    <row r="5252" spans="1:14" ht="20.25" x14ac:dyDescent="0.25">
      <c r="A5252" s="1">
        <v>4</v>
      </c>
      <c r="B5252" s="159">
        <v>4331</v>
      </c>
      <c r="C5252" s="1" t="s">
        <v>4310</v>
      </c>
      <c r="D5252" s="1" t="s">
        <v>4311</v>
      </c>
      <c r="E5252" s="1" t="s">
        <v>1101</v>
      </c>
      <c r="F5252" s="1" t="s">
        <v>4315</v>
      </c>
      <c r="G5252" s="1">
        <v>8</v>
      </c>
      <c r="H5252" s="1" t="s">
        <v>19</v>
      </c>
      <c r="I5252" s="1" t="s">
        <v>3045</v>
      </c>
      <c r="J5252" s="1">
        <v>4.8</v>
      </c>
      <c r="K5252" s="1">
        <v>38.4</v>
      </c>
      <c r="L5252" s="42">
        <v>6</v>
      </c>
      <c r="M5252" s="237">
        <v>46273</v>
      </c>
      <c r="N5252" s="1" t="str">
        <f>VLOOKUP(B5252,MICRO!E:L,8,0)</f>
        <v>P-198</v>
      </c>
    </row>
    <row r="5253" spans="1:14" ht="20.25" x14ac:dyDescent="0.25">
      <c r="A5253" s="1">
        <v>5</v>
      </c>
      <c r="B5253" s="159">
        <v>4335</v>
      </c>
      <c r="C5253" s="1" t="s">
        <v>4310</v>
      </c>
      <c r="D5253" s="1" t="s">
        <v>4311</v>
      </c>
      <c r="E5253" s="1" t="s">
        <v>464</v>
      </c>
      <c r="F5253" s="1" t="s">
        <v>4318</v>
      </c>
      <c r="G5253" s="1">
        <v>1</v>
      </c>
      <c r="H5253" s="1" t="s">
        <v>19</v>
      </c>
      <c r="I5253" s="1" t="s">
        <v>3045</v>
      </c>
      <c r="J5253" s="1">
        <v>2.6</v>
      </c>
      <c r="K5253" s="1">
        <v>2.6</v>
      </c>
      <c r="L5253" s="42">
        <v>6</v>
      </c>
      <c r="M5253" s="237">
        <v>46273</v>
      </c>
      <c r="N5253" s="1" t="str">
        <f>VLOOKUP(B5253,MICRO!E:L,8,0)</f>
        <v>P-198</v>
      </c>
    </row>
    <row r="5254" spans="1:14" ht="20.25" x14ac:dyDescent="0.25">
      <c r="A5254" s="1">
        <v>6</v>
      </c>
      <c r="B5254" s="159">
        <v>4396</v>
      </c>
      <c r="C5254" s="1" t="s">
        <v>4513</v>
      </c>
      <c r="D5254" s="1" t="s">
        <v>4514</v>
      </c>
      <c r="E5254" s="1" t="s">
        <v>2</v>
      </c>
      <c r="F5254" s="1" t="s">
        <v>4515</v>
      </c>
      <c r="G5254" s="1">
        <v>1</v>
      </c>
      <c r="H5254" s="1" t="s">
        <v>19</v>
      </c>
      <c r="I5254" s="1" t="s">
        <v>3140</v>
      </c>
      <c r="J5254" s="1">
        <v>1282.0999999999999</v>
      </c>
      <c r="K5254" s="1">
        <v>1282.0999999999999</v>
      </c>
      <c r="L5254" s="42">
        <v>6</v>
      </c>
      <c r="M5254" s="237">
        <v>46273</v>
      </c>
      <c r="N5254" s="1" t="str">
        <f>VLOOKUP(B5254,MICRO!E:L,8,0)</f>
        <v>P-198</v>
      </c>
    </row>
    <row r="5255" spans="1:14" ht="20.25" x14ac:dyDescent="0.25">
      <c r="A5255" s="1">
        <v>7</v>
      </c>
      <c r="B5255" s="159">
        <v>4397</v>
      </c>
      <c r="C5255" s="1" t="s">
        <v>4516</v>
      </c>
      <c r="D5255" s="1" t="s">
        <v>4517</v>
      </c>
      <c r="E5255" s="1" t="s">
        <v>2</v>
      </c>
      <c r="F5255" s="1" t="s">
        <v>4518</v>
      </c>
      <c r="G5255" s="1">
        <v>1</v>
      </c>
      <c r="H5255" s="1" t="s">
        <v>19</v>
      </c>
      <c r="I5255" s="1" t="s">
        <v>3140</v>
      </c>
      <c r="J5255" s="1">
        <v>395.4</v>
      </c>
      <c r="K5255" s="1">
        <v>395.4</v>
      </c>
      <c r="L5255" s="42">
        <v>6</v>
      </c>
      <c r="M5255" s="237">
        <v>46273</v>
      </c>
      <c r="N5255" s="1" t="str">
        <f>VLOOKUP(B5255,MICRO!E:L,8,0)</f>
        <v>P-198</v>
      </c>
    </row>
    <row r="5256" spans="1:14" ht="20.25" x14ac:dyDescent="0.25">
      <c r="A5256" s="1">
        <v>8</v>
      </c>
      <c r="B5256" s="159">
        <v>4407</v>
      </c>
      <c r="C5256" s="1" t="s">
        <v>4535</v>
      </c>
      <c r="D5256" s="1" t="s">
        <v>4536</v>
      </c>
      <c r="E5256" s="1" t="s">
        <v>2</v>
      </c>
      <c r="F5256" s="1" t="s">
        <v>4537</v>
      </c>
      <c r="G5256" s="1">
        <v>1</v>
      </c>
      <c r="H5256" s="1" t="s">
        <v>19</v>
      </c>
      <c r="I5256" s="1" t="s">
        <v>3140</v>
      </c>
      <c r="J5256" s="1">
        <v>753.9</v>
      </c>
      <c r="K5256" s="1">
        <v>753.9</v>
      </c>
      <c r="L5256" s="42">
        <v>6</v>
      </c>
      <c r="M5256" s="237">
        <v>46273</v>
      </c>
      <c r="N5256" s="1" t="str">
        <f>VLOOKUP(B5256,MICRO!E:L,8,0)</f>
        <v>P-198</v>
      </c>
    </row>
    <row r="5257" spans="1:14" ht="20.25" x14ac:dyDescent="0.25">
      <c r="A5257" s="1">
        <v>9</v>
      </c>
      <c r="B5257" s="159">
        <v>4408</v>
      </c>
      <c r="C5257" s="1" t="s">
        <v>4535</v>
      </c>
      <c r="D5257" s="1" t="s">
        <v>4536</v>
      </c>
      <c r="E5257" s="1" t="s">
        <v>43</v>
      </c>
      <c r="F5257" s="1" t="s">
        <v>4538</v>
      </c>
      <c r="G5257" s="1">
        <v>2</v>
      </c>
      <c r="H5257" s="1" t="s">
        <v>19</v>
      </c>
      <c r="I5257" s="1" t="s">
        <v>3140</v>
      </c>
      <c r="J5257" s="1">
        <v>81.099999999999994</v>
      </c>
      <c r="K5257" s="1">
        <v>162.19999999999999</v>
      </c>
      <c r="L5257" s="42">
        <v>6</v>
      </c>
      <c r="M5257" s="237">
        <v>46273</v>
      </c>
      <c r="N5257" s="1" t="str">
        <f>VLOOKUP(B5257,MICRO!E:L,8,0)</f>
        <v>P-198</v>
      </c>
    </row>
    <row r="5258" spans="1:14" ht="20.25" x14ac:dyDescent="0.25">
      <c r="A5258" s="1">
        <v>10</v>
      </c>
      <c r="B5258" s="159">
        <v>4436</v>
      </c>
      <c r="C5258" s="1" t="s">
        <v>4869</v>
      </c>
      <c r="D5258" s="1" t="s">
        <v>4870</v>
      </c>
      <c r="E5258" s="1" t="s">
        <v>2</v>
      </c>
      <c r="F5258" s="1" t="s">
        <v>4877</v>
      </c>
      <c r="G5258" s="1">
        <v>2</v>
      </c>
      <c r="H5258" s="1" t="s">
        <v>19</v>
      </c>
      <c r="I5258" s="1" t="s">
        <v>3093</v>
      </c>
      <c r="J5258" s="1">
        <v>72.8</v>
      </c>
      <c r="K5258" s="1">
        <v>145.6</v>
      </c>
      <c r="L5258" s="42">
        <v>6</v>
      </c>
      <c r="M5258" s="237">
        <v>46273</v>
      </c>
      <c r="N5258" s="1" t="str">
        <f>VLOOKUP(B5258,MICRO!E:L,8,0)</f>
        <v>P-198</v>
      </c>
    </row>
    <row r="5259" spans="1:14" ht="20.25" x14ac:dyDescent="0.25">
      <c r="A5259" s="1">
        <v>11</v>
      </c>
      <c r="B5259" s="159">
        <v>4437</v>
      </c>
      <c r="C5259" s="1" t="s">
        <v>4869</v>
      </c>
      <c r="D5259" s="1" t="s">
        <v>4870</v>
      </c>
      <c r="E5259" s="1" t="s">
        <v>43</v>
      </c>
      <c r="F5259" s="1" t="s">
        <v>4891</v>
      </c>
      <c r="G5259" s="1">
        <v>2</v>
      </c>
      <c r="H5259" s="1" t="s">
        <v>19</v>
      </c>
      <c r="I5259" s="1" t="s">
        <v>3093</v>
      </c>
      <c r="J5259" s="1">
        <v>8.1</v>
      </c>
      <c r="K5259" s="1">
        <v>16.2</v>
      </c>
      <c r="L5259" s="42">
        <v>6</v>
      </c>
      <c r="M5259" s="237">
        <v>46273</v>
      </c>
      <c r="N5259" s="1" t="str">
        <f>VLOOKUP(B5259,MICRO!E:L,8,0)</f>
        <v>P-198</v>
      </c>
    </row>
    <row r="5260" spans="1:14" ht="20.25" x14ac:dyDescent="0.25">
      <c r="A5260" s="1">
        <v>12</v>
      </c>
      <c r="B5260" s="159">
        <v>4438</v>
      </c>
      <c r="C5260" s="1" t="s">
        <v>4869</v>
      </c>
      <c r="D5260" s="1" t="s">
        <v>4870</v>
      </c>
      <c r="E5260" s="1" t="s">
        <v>746</v>
      </c>
      <c r="F5260" s="1" t="s">
        <v>4890</v>
      </c>
      <c r="G5260" s="1">
        <v>4</v>
      </c>
      <c r="H5260" s="1" t="s">
        <v>19</v>
      </c>
      <c r="I5260" s="1" t="s">
        <v>3093</v>
      </c>
      <c r="J5260" s="1">
        <v>0.6</v>
      </c>
      <c r="K5260" s="1">
        <v>2.4</v>
      </c>
      <c r="L5260" s="42">
        <v>6</v>
      </c>
      <c r="M5260" s="237">
        <v>46273</v>
      </c>
      <c r="N5260" s="1" t="str">
        <f>VLOOKUP(B5260,MICRO!E:L,8,0)</f>
        <v>P-198</v>
      </c>
    </row>
    <row r="5261" spans="1:14" ht="20.25" x14ac:dyDescent="0.25">
      <c r="A5261" s="1">
        <v>13</v>
      </c>
      <c r="B5261" s="159">
        <v>4448</v>
      </c>
      <c r="C5261" s="1" t="s">
        <v>4878</v>
      </c>
      <c r="D5261" s="1" t="s">
        <v>4879</v>
      </c>
      <c r="E5261" s="1" t="s">
        <v>2</v>
      </c>
      <c r="F5261" s="1" t="s">
        <v>4880</v>
      </c>
      <c r="G5261" s="1">
        <v>2</v>
      </c>
      <c r="H5261" s="1" t="s">
        <v>19</v>
      </c>
      <c r="I5261" s="1" t="s">
        <v>3093</v>
      </c>
      <c r="J5261" s="1">
        <v>71.099999999999994</v>
      </c>
      <c r="K5261" s="1">
        <v>142.19999999999999</v>
      </c>
      <c r="L5261" s="42">
        <v>6</v>
      </c>
      <c r="M5261" s="237">
        <v>46273</v>
      </c>
      <c r="N5261" s="1" t="str">
        <f>VLOOKUP(B5261,MICRO!E:L,8,0)</f>
        <v>P-198</v>
      </c>
    </row>
    <row r="5262" spans="1:14" ht="20.25" x14ac:dyDescent="0.25">
      <c r="A5262" s="1">
        <v>14</v>
      </c>
      <c r="B5262" s="159">
        <v>4449</v>
      </c>
      <c r="C5262" s="1" t="s">
        <v>4878</v>
      </c>
      <c r="D5262" s="1" t="s">
        <v>4879</v>
      </c>
      <c r="E5262" s="1" t="s">
        <v>43</v>
      </c>
      <c r="F5262" s="1" t="s">
        <v>4892</v>
      </c>
      <c r="G5262" s="1">
        <v>2</v>
      </c>
      <c r="H5262" s="1" t="s">
        <v>19</v>
      </c>
      <c r="I5262" s="1" t="s">
        <v>3093</v>
      </c>
      <c r="J5262" s="1">
        <v>8.1</v>
      </c>
      <c r="K5262" s="1">
        <v>16.2</v>
      </c>
      <c r="L5262" s="42">
        <v>6</v>
      </c>
      <c r="M5262" s="237">
        <v>46273</v>
      </c>
      <c r="N5262" s="1" t="str">
        <f>VLOOKUP(B5262,MICRO!E:L,8,0)</f>
        <v>P-198</v>
      </c>
    </row>
    <row r="5263" spans="1:14" ht="20.25" x14ac:dyDescent="0.25">
      <c r="A5263" s="1">
        <v>15</v>
      </c>
      <c r="B5263" s="159">
        <v>4450</v>
      </c>
      <c r="C5263" s="1" t="s">
        <v>4878</v>
      </c>
      <c r="D5263" s="1" t="s">
        <v>4879</v>
      </c>
      <c r="E5263" s="1" t="s">
        <v>746</v>
      </c>
      <c r="F5263" s="1" t="s">
        <v>4893</v>
      </c>
      <c r="G5263" s="1">
        <v>4</v>
      </c>
      <c r="H5263" s="1" t="s">
        <v>19</v>
      </c>
      <c r="I5263" s="1" t="s">
        <v>3093</v>
      </c>
      <c r="J5263" s="1">
        <v>0.6</v>
      </c>
      <c r="K5263" s="1">
        <v>2.4</v>
      </c>
      <c r="L5263" s="42">
        <v>6</v>
      </c>
      <c r="M5263" s="237">
        <v>46273</v>
      </c>
      <c r="N5263" s="1" t="str">
        <f>VLOOKUP(B5263,MICRO!E:L,8,0)</f>
        <v>P-198</v>
      </c>
    </row>
    <row r="5264" spans="1:14" ht="20.25" x14ac:dyDescent="0.25">
      <c r="A5264" s="1">
        <v>16</v>
      </c>
      <c r="B5264" s="159">
        <v>4461</v>
      </c>
      <c r="C5264" s="1" t="s">
        <v>4903</v>
      </c>
      <c r="D5264" s="1" t="s">
        <v>4904</v>
      </c>
      <c r="E5264" s="1" t="s">
        <v>43</v>
      </c>
      <c r="F5264" s="1" t="s">
        <v>4906</v>
      </c>
      <c r="G5264" s="1">
        <v>16</v>
      </c>
      <c r="H5264" s="1" t="s">
        <v>19</v>
      </c>
      <c r="I5264" s="1" t="s">
        <v>3093</v>
      </c>
      <c r="J5264" s="1">
        <v>8.1</v>
      </c>
      <c r="K5264" s="1">
        <v>129.6</v>
      </c>
      <c r="L5264" s="42">
        <v>6</v>
      </c>
      <c r="M5264" s="237">
        <v>46273</v>
      </c>
      <c r="N5264" s="1" t="str">
        <f>VLOOKUP(B5264,MICRO!E:L,8,0)</f>
        <v>P-198</v>
      </c>
    </row>
    <row r="5265" spans="1:14" ht="20.25" x14ac:dyDescent="0.25">
      <c r="A5265" s="1">
        <v>17</v>
      </c>
      <c r="B5265" s="159">
        <v>4462</v>
      </c>
      <c r="C5265" s="1" t="s">
        <v>4903</v>
      </c>
      <c r="D5265" s="1" t="s">
        <v>4904</v>
      </c>
      <c r="E5265" s="1" t="s">
        <v>746</v>
      </c>
      <c r="F5265" s="1" t="s">
        <v>4907</v>
      </c>
      <c r="G5265" s="1">
        <v>16</v>
      </c>
      <c r="H5265" s="1" t="s">
        <v>19</v>
      </c>
      <c r="I5265" s="1" t="s">
        <v>3093</v>
      </c>
      <c r="J5265" s="1">
        <v>0.6</v>
      </c>
      <c r="K5265" s="1">
        <v>9.6</v>
      </c>
      <c r="L5265" s="42">
        <v>6</v>
      </c>
      <c r="M5265" s="237">
        <v>46273</v>
      </c>
      <c r="N5265" s="1" t="str">
        <f>VLOOKUP(B5265,MICRO!E:L,8,0)</f>
        <v>P-198</v>
      </c>
    </row>
    <row r="5266" spans="1:14" ht="20.25" x14ac:dyDescent="0.25">
      <c r="A5266" s="1">
        <v>18</v>
      </c>
      <c r="B5266" s="159">
        <v>4463</v>
      </c>
      <c r="C5266" s="1" t="s">
        <v>4903</v>
      </c>
      <c r="D5266" s="1" t="s">
        <v>4904</v>
      </c>
      <c r="E5266" s="1" t="s">
        <v>1101</v>
      </c>
      <c r="F5266" s="1" t="s">
        <v>4908</v>
      </c>
      <c r="G5266" s="1">
        <v>8</v>
      </c>
      <c r="H5266" s="1" t="s">
        <v>19</v>
      </c>
      <c r="I5266" s="1" t="s">
        <v>3093</v>
      </c>
      <c r="J5266" s="1">
        <v>14.7</v>
      </c>
      <c r="K5266" s="1">
        <v>117.6</v>
      </c>
      <c r="L5266" s="42">
        <v>6</v>
      </c>
      <c r="M5266" s="237">
        <v>46273</v>
      </c>
      <c r="N5266" s="1" t="str">
        <f>VLOOKUP(B5266,MICRO!E:L,8,0)</f>
        <v>P-198</v>
      </c>
    </row>
    <row r="5267" spans="1:14" ht="20.25" x14ac:dyDescent="0.25">
      <c r="A5267" s="1">
        <v>19</v>
      </c>
      <c r="B5267" s="159">
        <v>4466</v>
      </c>
      <c r="C5267" s="1" t="s">
        <v>4911</v>
      </c>
      <c r="D5267" s="1" t="s">
        <v>4912</v>
      </c>
      <c r="E5267" s="1" t="s">
        <v>2</v>
      </c>
      <c r="F5267" s="1" t="s">
        <v>4913</v>
      </c>
      <c r="G5267" s="1">
        <v>2</v>
      </c>
      <c r="H5267" s="1" t="s">
        <v>19</v>
      </c>
      <c r="I5267" s="1" t="s">
        <v>3093</v>
      </c>
      <c r="J5267" s="1">
        <v>90.5</v>
      </c>
      <c r="K5267" s="1">
        <v>181</v>
      </c>
      <c r="L5267" s="42">
        <v>6</v>
      </c>
      <c r="M5267" s="237">
        <v>46273</v>
      </c>
      <c r="N5267" s="1" t="str">
        <f>VLOOKUP(B5267,MICRO!E:L,8,0)</f>
        <v>P-198</v>
      </c>
    </row>
    <row r="5268" spans="1:14" ht="20.25" x14ac:dyDescent="0.25">
      <c r="A5268" s="1">
        <v>20</v>
      </c>
      <c r="B5268" s="159">
        <v>4467</v>
      </c>
      <c r="C5268" s="1" t="s">
        <v>4911</v>
      </c>
      <c r="D5268" s="1" t="s">
        <v>4912</v>
      </c>
      <c r="E5268" s="1" t="s">
        <v>43</v>
      </c>
      <c r="F5268" s="1" t="s">
        <v>4914</v>
      </c>
      <c r="G5268" s="1">
        <v>2</v>
      </c>
      <c r="H5268" s="1" t="s">
        <v>19</v>
      </c>
      <c r="I5268" s="1" t="s">
        <v>3093</v>
      </c>
      <c r="J5268" s="1">
        <v>8.1</v>
      </c>
      <c r="K5268" s="1">
        <v>16.2</v>
      </c>
      <c r="L5268" s="42">
        <v>6</v>
      </c>
      <c r="M5268" s="237">
        <v>46273</v>
      </c>
      <c r="N5268" s="1" t="str">
        <f>VLOOKUP(B5268,MICRO!E:L,8,0)</f>
        <v>P-198</v>
      </c>
    </row>
    <row r="5269" spans="1:14" ht="20.25" x14ac:dyDescent="0.25">
      <c r="A5269" s="1">
        <v>21</v>
      </c>
      <c r="B5269" s="159">
        <v>4468</v>
      </c>
      <c r="C5269" s="1" t="s">
        <v>4911</v>
      </c>
      <c r="D5269" s="1" t="s">
        <v>4912</v>
      </c>
      <c r="E5269" s="1" t="s">
        <v>746</v>
      </c>
      <c r="F5269" s="1" t="s">
        <v>4915</v>
      </c>
      <c r="G5269" s="1">
        <v>4</v>
      </c>
      <c r="H5269" s="1" t="s">
        <v>19</v>
      </c>
      <c r="I5269" s="1" t="s">
        <v>3093</v>
      </c>
      <c r="J5269" s="1">
        <v>0.6</v>
      </c>
      <c r="K5269" s="1">
        <v>2.4</v>
      </c>
      <c r="L5269" s="42">
        <v>6</v>
      </c>
      <c r="M5269" s="237">
        <v>46273</v>
      </c>
      <c r="N5269" s="1" t="str">
        <f>VLOOKUP(B5269,MICRO!E:L,8,0)</f>
        <v>P-198</v>
      </c>
    </row>
    <row r="5270" spans="1:14" ht="20.25" x14ac:dyDescent="0.25">
      <c r="A5270" s="1">
        <v>22</v>
      </c>
      <c r="B5270" s="159">
        <v>4469</v>
      </c>
      <c r="C5270" s="1" t="s">
        <v>4911</v>
      </c>
      <c r="D5270" s="1" t="s">
        <v>4912</v>
      </c>
      <c r="E5270" s="1" t="s">
        <v>1101</v>
      </c>
      <c r="F5270" s="1" t="s">
        <v>4916</v>
      </c>
      <c r="G5270" s="1">
        <v>2</v>
      </c>
      <c r="H5270" s="1" t="s">
        <v>19</v>
      </c>
      <c r="I5270" s="1" t="s">
        <v>3093</v>
      </c>
      <c r="J5270" s="1">
        <v>14.7</v>
      </c>
      <c r="K5270" s="1">
        <v>29.4</v>
      </c>
      <c r="L5270" s="42">
        <v>6</v>
      </c>
      <c r="M5270" s="237">
        <v>46273</v>
      </c>
      <c r="N5270" s="1" t="str">
        <f>VLOOKUP(B5270,MICRO!E:L,8,0)</f>
        <v>P-198</v>
      </c>
    </row>
    <row r="5271" spans="1:14" ht="20.25" x14ac:dyDescent="0.25">
      <c r="A5271" s="1">
        <v>23</v>
      </c>
      <c r="B5271" s="159">
        <v>4476</v>
      </c>
      <c r="C5271" s="1" t="s">
        <v>4927</v>
      </c>
      <c r="D5271" s="1" t="s">
        <v>4928</v>
      </c>
      <c r="E5271" s="1" t="s">
        <v>2</v>
      </c>
      <c r="F5271" s="1" t="s">
        <v>4935</v>
      </c>
      <c r="G5271" s="1">
        <v>1</v>
      </c>
      <c r="H5271" s="1" t="s">
        <v>19</v>
      </c>
      <c r="I5271" s="1" t="s">
        <v>3140</v>
      </c>
      <c r="J5271" s="1">
        <v>1146.0999999999999</v>
      </c>
      <c r="K5271" s="1">
        <v>1146.0999999999999</v>
      </c>
      <c r="L5271" s="42">
        <v>6</v>
      </c>
      <c r="M5271" s="237">
        <v>46273</v>
      </c>
      <c r="N5271" s="1" t="str">
        <f>VLOOKUP(B5271,MICRO!E:L,8,0)</f>
        <v>P-198</v>
      </c>
    </row>
    <row r="5272" spans="1:14" ht="20.25" x14ac:dyDescent="0.25">
      <c r="A5272" s="1">
        <v>24</v>
      </c>
      <c r="B5272" s="159">
        <v>4492</v>
      </c>
      <c r="C5272" s="1" t="s">
        <v>4963</v>
      </c>
      <c r="D5272" s="1" t="s">
        <v>4962</v>
      </c>
      <c r="E5272" s="1" t="s">
        <v>2</v>
      </c>
      <c r="F5272" s="1" t="s">
        <v>4965</v>
      </c>
      <c r="G5272" s="1">
        <v>1</v>
      </c>
      <c r="H5272" s="1" t="s">
        <v>19</v>
      </c>
      <c r="I5272" s="1" t="s">
        <v>3045</v>
      </c>
      <c r="J5272" s="1">
        <v>670.6</v>
      </c>
      <c r="K5272" s="1">
        <v>670.6</v>
      </c>
      <c r="L5272" s="42">
        <v>6</v>
      </c>
      <c r="M5272" s="237">
        <v>46273</v>
      </c>
      <c r="N5272" s="1" t="str">
        <f>VLOOKUP(B5272,MICRO!E:L,8,0)</f>
        <v>P-198</v>
      </c>
    </row>
    <row r="5273" spans="1:14" ht="20.25" x14ac:dyDescent="0.25">
      <c r="A5273" s="1">
        <v>1</v>
      </c>
      <c r="B5273" s="159">
        <v>4340</v>
      </c>
      <c r="C5273" s="1" t="s">
        <v>101</v>
      </c>
      <c r="D5273" s="1"/>
      <c r="E5273" s="1"/>
      <c r="F5273" s="1" t="s">
        <v>146</v>
      </c>
      <c r="G5273" s="1">
        <v>18</v>
      </c>
      <c r="H5273" s="1" t="s">
        <v>19</v>
      </c>
      <c r="I5273" s="1" t="s">
        <v>5628</v>
      </c>
      <c r="J5273" s="1">
        <v>1</v>
      </c>
      <c r="K5273" s="1">
        <v>18</v>
      </c>
      <c r="L5273" s="42">
        <v>1</v>
      </c>
      <c r="M5273" s="237">
        <v>46273</v>
      </c>
      <c r="N5273" s="1" t="str">
        <f>VLOOKUP(B5273,MICRO!E:L,8,0)</f>
        <v>P-898</v>
      </c>
    </row>
    <row r="5274" spans="1:14" ht="20.25" x14ac:dyDescent="0.25">
      <c r="A5274" s="1">
        <v>2</v>
      </c>
      <c r="B5274" s="159">
        <v>4341</v>
      </c>
      <c r="C5274" s="1" t="s">
        <v>814</v>
      </c>
      <c r="D5274" s="1"/>
      <c r="E5274" s="1"/>
      <c r="F5274" s="1" t="s">
        <v>4425</v>
      </c>
      <c r="G5274" s="1">
        <v>53</v>
      </c>
      <c r="H5274" s="1" t="s">
        <v>19</v>
      </c>
      <c r="I5274" s="1" t="s">
        <v>5628</v>
      </c>
      <c r="J5274" s="1">
        <v>5.2</v>
      </c>
      <c r="K5274" s="1">
        <v>275.60000000000002</v>
      </c>
      <c r="L5274" s="42">
        <v>1</v>
      </c>
      <c r="M5274" s="237">
        <v>46273</v>
      </c>
      <c r="N5274" s="1" t="str">
        <f>VLOOKUP(B5274,MICRO!E:L,8,0)</f>
        <v>P-898</v>
      </c>
    </row>
    <row r="5275" spans="1:14" ht="20.25" x14ac:dyDescent="0.25">
      <c r="A5275" s="1">
        <v>3</v>
      </c>
      <c r="B5275" s="159">
        <v>4342</v>
      </c>
      <c r="C5275" s="1" t="s">
        <v>4426</v>
      </c>
      <c r="D5275" s="1" t="s">
        <v>4427</v>
      </c>
      <c r="E5275" s="1"/>
      <c r="F5275" s="1" t="s">
        <v>4428</v>
      </c>
      <c r="G5275" s="1">
        <v>7</v>
      </c>
      <c r="H5275" s="1" t="s">
        <v>19</v>
      </c>
      <c r="I5275" s="1" t="s">
        <v>5628</v>
      </c>
      <c r="J5275" s="1">
        <v>19.100000000000001</v>
      </c>
      <c r="K5275" s="1">
        <v>133.70000000000002</v>
      </c>
      <c r="L5275" s="42">
        <v>1</v>
      </c>
      <c r="M5275" s="237">
        <v>46273</v>
      </c>
      <c r="N5275" s="1" t="str">
        <f>VLOOKUP(B5275,MICRO!E:L,8,0)</f>
        <v>P-898</v>
      </c>
    </row>
    <row r="5276" spans="1:14" ht="20.25" x14ac:dyDescent="0.25">
      <c r="A5276" s="1">
        <v>4</v>
      </c>
      <c r="B5276" s="159">
        <v>4343</v>
      </c>
      <c r="C5276" s="1" t="s">
        <v>4429</v>
      </c>
      <c r="D5276" s="1" t="s">
        <v>4430</v>
      </c>
      <c r="E5276" s="1"/>
      <c r="F5276" s="1" t="s">
        <v>4431</v>
      </c>
      <c r="G5276" s="1">
        <v>6</v>
      </c>
      <c r="H5276" s="1" t="s">
        <v>19</v>
      </c>
      <c r="I5276" s="1" t="s">
        <v>5628</v>
      </c>
      <c r="J5276" s="1">
        <v>18.2</v>
      </c>
      <c r="K5276" s="1">
        <v>109.19999999999999</v>
      </c>
      <c r="L5276" s="42">
        <v>1</v>
      </c>
      <c r="M5276" s="237">
        <v>46273</v>
      </c>
      <c r="N5276" s="1" t="str">
        <f>VLOOKUP(B5276,MICRO!E:L,8,0)</f>
        <v>P-898</v>
      </c>
    </row>
    <row r="5277" spans="1:14" ht="20.25" x14ac:dyDescent="0.25">
      <c r="A5277" s="1">
        <v>5</v>
      </c>
      <c r="B5277" s="159">
        <v>4344</v>
      </c>
      <c r="C5277" s="1" t="s">
        <v>4432</v>
      </c>
      <c r="D5277" s="1" t="s">
        <v>4433</v>
      </c>
      <c r="E5277" s="1"/>
      <c r="F5277" s="1" t="s">
        <v>4437</v>
      </c>
      <c r="G5277" s="1">
        <v>8</v>
      </c>
      <c r="H5277" s="1" t="s">
        <v>19</v>
      </c>
      <c r="I5277" s="1" t="s">
        <v>5628</v>
      </c>
      <c r="J5277" s="1">
        <v>6</v>
      </c>
      <c r="K5277" s="1">
        <v>48</v>
      </c>
      <c r="L5277" s="42">
        <v>1</v>
      </c>
      <c r="M5277" s="237">
        <v>46273</v>
      </c>
      <c r="N5277" s="1" t="str">
        <f>VLOOKUP(B5277,MICRO!E:L,8,0)</f>
        <v>P-898</v>
      </c>
    </row>
    <row r="5278" spans="1:14" ht="20.25" x14ac:dyDescent="0.25">
      <c r="A5278" s="1">
        <v>6</v>
      </c>
      <c r="B5278" s="159">
        <v>4345</v>
      </c>
      <c r="C5278" s="1" t="s">
        <v>4434</v>
      </c>
      <c r="D5278" s="1" t="s">
        <v>4435</v>
      </c>
      <c r="E5278" s="1"/>
      <c r="F5278" s="1" t="s">
        <v>4436</v>
      </c>
      <c r="G5278" s="1">
        <v>14</v>
      </c>
      <c r="H5278" s="1" t="s">
        <v>19</v>
      </c>
      <c r="I5278" s="1" t="s">
        <v>5628</v>
      </c>
      <c r="J5278" s="1">
        <v>5</v>
      </c>
      <c r="K5278" s="1">
        <v>70</v>
      </c>
      <c r="L5278" s="42">
        <v>1</v>
      </c>
      <c r="M5278" s="237">
        <v>46273</v>
      </c>
      <c r="N5278" s="1" t="str">
        <f>VLOOKUP(B5278,MICRO!E:L,8,0)</f>
        <v>P-898</v>
      </c>
    </row>
    <row r="5279" spans="1:14" ht="20.25" x14ac:dyDescent="0.25">
      <c r="A5279" s="1">
        <v>7</v>
      </c>
      <c r="B5279" s="159">
        <v>4346</v>
      </c>
      <c r="C5279" s="1" t="s">
        <v>4438</v>
      </c>
      <c r="D5279" s="1" t="s">
        <v>4439</v>
      </c>
      <c r="E5279" s="1"/>
      <c r="F5279" s="1" t="s">
        <v>4440</v>
      </c>
      <c r="G5279" s="1">
        <v>23</v>
      </c>
      <c r="H5279" s="1" t="s">
        <v>19</v>
      </c>
      <c r="I5279" s="1" t="s">
        <v>5628</v>
      </c>
      <c r="J5279" s="1">
        <v>6</v>
      </c>
      <c r="K5279" s="1">
        <v>138</v>
      </c>
      <c r="L5279" s="42">
        <v>1</v>
      </c>
      <c r="M5279" s="237">
        <v>46273</v>
      </c>
      <c r="N5279" s="1" t="str">
        <f>VLOOKUP(B5279,MICRO!E:L,8,0)</f>
        <v>P-898</v>
      </c>
    </row>
    <row r="5280" spans="1:14" ht="20.25" x14ac:dyDescent="0.25">
      <c r="A5280" s="1">
        <v>1</v>
      </c>
      <c r="B5280" s="159">
        <v>4514</v>
      </c>
      <c r="C5280" s="1" t="s">
        <v>814</v>
      </c>
      <c r="D5280" s="1"/>
      <c r="E5280" s="1"/>
      <c r="F5280" s="1" t="s">
        <v>5010</v>
      </c>
      <c r="G5280" s="1">
        <v>2</v>
      </c>
      <c r="H5280" s="1" t="s">
        <v>19</v>
      </c>
      <c r="I5280" s="1" t="s">
        <v>5629</v>
      </c>
      <c r="J5280" s="1">
        <v>5.2</v>
      </c>
      <c r="K5280" s="1">
        <v>10.4</v>
      </c>
      <c r="L5280" s="42">
        <v>1</v>
      </c>
      <c r="M5280" s="237">
        <v>46273</v>
      </c>
      <c r="N5280" s="1" t="str">
        <f>VLOOKUP(B5280,MICRO!E:L,8,0)</f>
        <v>P-899</v>
      </c>
    </row>
    <row r="5281" spans="1:14" ht="20.25" x14ac:dyDescent="0.25">
      <c r="A5281" s="1">
        <v>1</v>
      </c>
      <c r="B5281" s="159">
        <v>4526</v>
      </c>
      <c r="C5281" s="1" t="s">
        <v>414</v>
      </c>
      <c r="D5281" s="1"/>
      <c r="E5281" s="1"/>
      <c r="F5281" s="1" t="s">
        <v>5035</v>
      </c>
      <c r="G5281" s="1">
        <v>10</v>
      </c>
      <c r="H5281" s="1" t="s">
        <v>19</v>
      </c>
      <c r="I5281" s="1" t="s">
        <v>5630</v>
      </c>
      <c r="J5281" s="1">
        <v>5</v>
      </c>
      <c r="K5281" s="1">
        <v>50</v>
      </c>
      <c r="L5281" s="42">
        <v>1</v>
      </c>
      <c r="M5281" s="237">
        <v>46273</v>
      </c>
      <c r="N5281" s="1" t="str">
        <f>VLOOKUP(B5281,MICRO!E:L,8,0)</f>
        <v>P-900</v>
      </c>
    </row>
    <row r="5282" spans="1:14" ht="20.25" x14ac:dyDescent="0.25">
      <c r="A5282" s="1">
        <v>1</v>
      </c>
      <c r="B5282" s="159">
        <v>4326</v>
      </c>
      <c r="C5282" s="1" t="s">
        <v>80</v>
      </c>
      <c r="D5282" s="1" t="s">
        <v>5666</v>
      </c>
      <c r="E5282" s="1"/>
      <c r="F5282" s="1" t="s">
        <v>4300</v>
      </c>
      <c r="G5282" s="1">
        <v>6</v>
      </c>
      <c r="H5282" s="1" t="s">
        <v>19</v>
      </c>
      <c r="I5282" s="1" t="s">
        <v>5667</v>
      </c>
      <c r="J5282" s="1">
        <v>12.5</v>
      </c>
      <c r="K5282" s="1">
        <v>75</v>
      </c>
      <c r="L5282" s="42">
        <v>1</v>
      </c>
      <c r="M5282" s="237">
        <v>46262</v>
      </c>
      <c r="N5282" s="1" t="str">
        <f>VLOOKUP(B5282,MICRO!E:L,8,0)</f>
        <v>P-208</v>
      </c>
    </row>
    <row r="5283" spans="1:14" ht="20.25" x14ac:dyDescent="0.25">
      <c r="A5283" s="1">
        <v>2</v>
      </c>
      <c r="B5283" s="159">
        <v>4325</v>
      </c>
      <c r="C5283" s="1" t="s">
        <v>79</v>
      </c>
      <c r="D5283" s="1" t="s">
        <v>5668</v>
      </c>
      <c r="E5283" s="1"/>
      <c r="F5283" s="1" t="s">
        <v>4297</v>
      </c>
      <c r="G5283" s="1">
        <v>6</v>
      </c>
      <c r="H5283" s="1" t="s">
        <v>19</v>
      </c>
      <c r="I5283" s="1" t="s">
        <v>5667</v>
      </c>
      <c r="J5283" s="1">
        <v>10</v>
      </c>
      <c r="K5283" s="1">
        <v>60</v>
      </c>
      <c r="L5283" s="42">
        <v>1</v>
      </c>
      <c r="M5283" s="237">
        <v>46262</v>
      </c>
      <c r="N5283" s="1" t="str">
        <f>VLOOKUP(B5283,MICRO!E:L,8,0)</f>
        <v>P-208</v>
      </c>
    </row>
    <row r="5284" spans="1:14" ht="20.25" x14ac:dyDescent="0.25">
      <c r="A5284" s="1">
        <v>1</v>
      </c>
      <c r="B5284" s="159">
        <v>4397</v>
      </c>
      <c r="C5284" s="1" t="s">
        <v>4516</v>
      </c>
      <c r="D5284" s="1" t="s">
        <v>4517</v>
      </c>
      <c r="E5284" s="1" t="s">
        <v>2</v>
      </c>
      <c r="F5284" s="1" t="s">
        <v>4518</v>
      </c>
      <c r="G5284" s="1">
        <v>1</v>
      </c>
      <c r="H5284" s="1" t="s">
        <v>19</v>
      </c>
      <c r="I5284" s="1" t="s">
        <v>3140</v>
      </c>
      <c r="J5284" s="1">
        <v>395.4</v>
      </c>
      <c r="K5284" s="1">
        <v>395.4</v>
      </c>
      <c r="L5284" s="42">
        <v>7</v>
      </c>
      <c r="M5284" s="237">
        <v>46280</v>
      </c>
      <c r="N5284" s="1" t="str">
        <f>VLOOKUP(B5284,MICRO!E:L,8,0)</f>
        <v>P-198</v>
      </c>
    </row>
    <row r="5285" spans="1:14" ht="20.25" x14ac:dyDescent="0.25">
      <c r="A5285" s="1">
        <v>2</v>
      </c>
      <c r="B5285" s="159">
        <v>4402</v>
      </c>
      <c r="C5285" s="1" t="s">
        <v>4527</v>
      </c>
      <c r="D5285" s="1" t="s">
        <v>4528</v>
      </c>
      <c r="E5285" s="1" t="s">
        <v>2</v>
      </c>
      <c r="F5285" s="1" t="s">
        <v>4529</v>
      </c>
      <c r="G5285" s="1">
        <v>1</v>
      </c>
      <c r="H5285" s="1" t="s">
        <v>19</v>
      </c>
      <c r="I5285" s="1" t="s">
        <v>3140</v>
      </c>
      <c r="J5285" s="1">
        <v>100.9</v>
      </c>
      <c r="K5285" s="1">
        <v>100.9</v>
      </c>
      <c r="L5285" s="42">
        <v>7</v>
      </c>
      <c r="M5285" s="237">
        <v>46280</v>
      </c>
      <c r="N5285" s="1" t="str">
        <f>VLOOKUP(B5285,MICRO!E:L,8,0)</f>
        <v>P-198</v>
      </c>
    </row>
    <row r="5286" spans="1:14" ht="20.25" x14ac:dyDescent="0.25">
      <c r="A5286" s="1">
        <v>3</v>
      </c>
      <c r="B5286" s="159">
        <v>4403</v>
      </c>
      <c r="C5286" s="1" t="s">
        <v>4527</v>
      </c>
      <c r="D5286" s="1" t="s">
        <v>4528</v>
      </c>
      <c r="E5286" s="1" t="s">
        <v>43</v>
      </c>
      <c r="F5286" s="1" t="s">
        <v>4530</v>
      </c>
      <c r="G5286" s="1">
        <v>2</v>
      </c>
      <c r="H5286" s="1" t="s">
        <v>19</v>
      </c>
      <c r="I5286" s="1" t="s">
        <v>3140</v>
      </c>
      <c r="J5286" s="1">
        <v>83.4</v>
      </c>
      <c r="K5286" s="1">
        <v>166.8</v>
      </c>
      <c r="L5286" s="42">
        <v>7</v>
      </c>
      <c r="M5286" s="237">
        <v>46280</v>
      </c>
      <c r="N5286" s="1" t="str">
        <f>VLOOKUP(B5286,MICRO!E:L,8,0)</f>
        <v>P-198</v>
      </c>
    </row>
    <row r="5287" spans="1:14" ht="20.25" x14ac:dyDescent="0.25">
      <c r="A5287" s="1">
        <v>4</v>
      </c>
      <c r="B5287" s="159">
        <v>4404</v>
      </c>
      <c r="C5287" s="1" t="s">
        <v>4527</v>
      </c>
      <c r="D5287" s="1" t="s">
        <v>4528</v>
      </c>
      <c r="E5287" s="1" t="s">
        <v>746</v>
      </c>
      <c r="F5287" s="1" t="s">
        <v>4531</v>
      </c>
      <c r="G5287" s="1">
        <v>1</v>
      </c>
      <c r="H5287" s="1" t="s">
        <v>19</v>
      </c>
      <c r="I5287" s="1" t="s">
        <v>3140</v>
      </c>
      <c r="J5287" s="1">
        <v>120.2</v>
      </c>
      <c r="K5287" s="1">
        <v>120.2</v>
      </c>
      <c r="L5287" s="42">
        <v>7</v>
      </c>
      <c r="M5287" s="237">
        <v>46280</v>
      </c>
      <c r="N5287" s="1" t="str">
        <f>VLOOKUP(B5287,MICRO!E:L,8,0)</f>
        <v>P-198</v>
      </c>
    </row>
    <row r="5288" spans="1:14" ht="20.25" x14ac:dyDescent="0.25">
      <c r="A5288" s="1">
        <v>5</v>
      </c>
      <c r="B5288" s="159">
        <v>4405</v>
      </c>
      <c r="C5288" s="1" t="s">
        <v>4527</v>
      </c>
      <c r="D5288" s="1" t="s">
        <v>4528</v>
      </c>
      <c r="E5288" s="1" t="s">
        <v>1101</v>
      </c>
      <c r="F5288" s="1" t="s">
        <v>4532</v>
      </c>
      <c r="G5288" s="1">
        <v>1</v>
      </c>
      <c r="H5288" s="1" t="s">
        <v>19</v>
      </c>
      <c r="I5288" s="1" t="s">
        <v>3140</v>
      </c>
      <c r="J5288" s="1">
        <v>63.6</v>
      </c>
      <c r="K5288" s="1">
        <v>63.6</v>
      </c>
      <c r="L5288" s="42">
        <v>7</v>
      </c>
      <c r="M5288" s="237">
        <v>46280</v>
      </c>
      <c r="N5288" s="1" t="str">
        <f>VLOOKUP(B5288,MICRO!E:L,8,0)</f>
        <v>P-198</v>
      </c>
    </row>
    <row r="5289" spans="1:14" ht="20.25" x14ac:dyDescent="0.25">
      <c r="A5289" s="1">
        <v>6</v>
      </c>
      <c r="B5289" s="159">
        <v>4406</v>
      </c>
      <c r="C5289" s="1" t="s">
        <v>4527</v>
      </c>
      <c r="D5289" s="1" t="s">
        <v>4528</v>
      </c>
      <c r="E5289" s="1" t="s">
        <v>100</v>
      </c>
      <c r="F5289" s="1" t="s">
        <v>4533</v>
      </c>
      <c r="G5289" s="1">
        <v>1</v>
      </c>
      <c r="H5289" s="1" t="s">
        <v>19</v>
      </c>
      <c r="I5289" s="1" t="s">
        <v>3140</v>
      </c>
      <c r="J5289" s="1">
        <v>75.8</v>
      </c>
      <c r="K5289" s="1">
        <v>75.8</v>
      </c>
      <c r="L5289" s="42">
        <v>7</v>
      </c>
      <c r="M5289" s="237">
        <v>46280</v>
      </c>
      <c r="N5289" s="1" t="str">
        <f>VLOOKUP(B5289,MICRO!E:L,8,0)</f>
        <v>P-198</v>
      </c>
    </row>
    <row r="5290" spans="1:14" ht="20.25" x14ac:dyDescent="0.25">
      <c r="A5290" s="1">
        <v>7</v>
      </c>
      <c r="B5290" s="159">
        <v>4409</v>
      </c>
      <c r="C5290" s="1" t="s">
        <v>4535</v>
      </c>
      <c r="D5290" s="1" t="s">
        <v>4536</v>
      </c>
      <c r="E5290" s="1" t="s">
        <v>746</v>
      </c>
      <c r="F5290" s="1" t="s">
        <v>4539</v>
      </c>
      <c r="G5290" s="1">
        <v>2</v>
      </c>
      <c r="H5290" s="1" t="s">
        <v>19</v>
      </c>
      <c r="I5290" s="1" t="s">
        <v>3140</v>
      </c>
      <c r="J5290" s="1">
        <v>51.8</v>
      </c>
      <c r="K5290" s="1">
        <v>103.6</v>
      </c>
      <c r="L5290" s="42">
        <v>7</v>
      </c>
      <c r="M5290" s="237">
        <v>46280</v>
      </c>
      <c r="N5290" s="1" t="str">
        <f>VLOOKUP(B5290,MICRO!E:L,8,0)</f>
        <v>P-198</v>
      </c>
    </row>
    <row r="5291" spans="1:14" ht="20.25" x14ac:dyDescent="0.25">
      <c r="A5291" s="1">
        <v>8</v>
      </c>
      <c r="B5291" s="159">
        <v>4431</v>
      </c>
      <c r="C5291" s="1" t="s">
        <v>4866</v>
      </c>
      <c r="D5291" s="1" t="s">
        <v>4867</v>
      </c>
      <c r="E5291" s="1" t="s">
        <v>43</v>
      </c>
      <c r="F5291" s="1" t="s">
        <v>4872</v>
      </c>
      <c r="G5291" s="1">
        <v>4</v>
      </c>
      <c r="H5291" s="1" t="s">
        <v>19</v>
      </c>
      <c r="I5291" s="1" t="s">
        <v>3093</v>
      </c>
      <c r="J5291" s="1">
        <v>31.2</v>
      </c>
      <c r="K5291" s="1">
        <v>124.8</v>
      </c>
      <c r="L5291" s="42">
        <v>7</v>
      </c>
      <c r="M5291" s="237">
        <v>46280</v>
      </c>
      <c r="N5291" s="1" t="str">
        <f>VLOOKUP(B5291,MICRO!E:L,8,0)</f>
        <v>P-198</v>
      </c>
    </row>
    <row r="5292" spans="1:14" ht="20.25" x14ac:dyDescent="0.25">
      <c r="A5292" s="1">
        <v>9</v>
      </c>
      <c r="B5292" s="159">
        <v>4439</v>
      </c>
      <c r="C5292" s="1" t="s">
        <v>4869</v>
      </c>
      <c r="D5292" s="1" t="s">
        <v>4870</v>
      </c>
      <c r="E5292" s="1" t="s">
        <v>1101</v>
      </c>
      <c r="F5292" s="1" t="s">
        <v>4889</v>
      </c>
      <c r="G5292" s="1">
        <v>4</v>
      </c>
      <c r="H5292" s="1" t="s">
        <v>19</v>
      </c>
      <c r="I5292" s="1" t="s">
        <v>3093</v>
      </c>
      <c r="J5292" s="1">
        <v>6</v>
      </c>
      <c r="K5292" s="1">
        <v>24</v>
      </c>
      <c r="L5292" s="42">
        <v>7</v>
      </c>
      <c r="M5292" s="237">
        <v>46280</v>
      </c>
      <c r="N5292" s="1" t="str">
        <f>VLOOKUP(B5292,MICRO!E:L,8,0)</f>
        <v>P-198</v>
      </c>
    </row>
    <row r="5293" spans="1:14" ht="20.25" x14ac:dyDescent="0.25">
      <c r="A5293" s="1">
        <v>10</v>
      </c>
      <c r="B5293" s="159">
        <v>4448</v>
      </c>
      <c r="C5293" s="1" t="s">
        <v>4878</v>
      </c>
      <c r="D5293" s="1" t="s">
        <v>4879</v>
      </c>
      <c r="E5293" s="1" t="s">
        <v>2</v>
      </c>
      <c r="F5293" s="1" t="s">
        <v>4880</v>
      </c>
      <c r="G5293" s="1">
        <v>2</v>
      </c>
      <c r="H5293" s="1" t="s">
        <v>19</v>
      </c>
      <c r="I5293" s="1" t="s">
        <v>3093</v>
      </c>
      <c r="J5293" s="1">
        <v>71.099999999999994</v>
      </c>
      <c r="K5293" s="1">
        <v>142.19999999999999</v>
      </c>
      <c r="L5293" s="42">
        <v>7</v>
      </c>
      <c r="M5293" s="237">
        <v>46280</v>
      </c>
      <c r="N5293" s="1" t="str">
        <f>VLOOKUP(B5293,MICRO!E:L,8,0)</f>
        <v>P-198</v>
      </c>
    </row>
    <row r="5294" spans="1:14" ht="20.25" x14ac:dyDescent="0.25">
      <c r="A5294" s="1">
        <v>11</v>
      </c>
      <c r="B5294" s="159">
        <v>4451</v>
      </c>
      <c r="C5294" s="1" t="s">
        <v>4878</v>
      </c>
      <c r="D5294" s="1" t="s">
        <v>4879</v>
      </c>
      <c r="E5294" s="1" t="s">
        <v>1101</v>
      </c>
      <c r="F5294" s="1" t="s">
        <v>4894</v>
      </c>
      <c r="G5294" s="1">
        <v>4</v>
      </c>
      <c r="H5294" s="1" t="s">
        <v>19</v>
      </c>
      <c r="I5294" s="1" t="s">
        <v>3093</v>
      </c>
      <c r="J5294" s="1">
        <v>6</v>
      </c>
      <c r="K5294" s="1">
        <v>24</v>
      </c>
      <c r="L5294" s="42">
        <v>7</v>
      </c>
      <c r="M5294" s="237">
        <v>46280</v>
      </c>
      <c r="N5294" s="1" t="str">
        <f>VLOOKUP(B5294,MICRO!E:L,8,0)</f>
        <v>P-198</v>
      </c>
    </row>
    <row r="5295" spans="1:14" ht="20.25" x14ac:dyDescent="0.25">
      <c r="A5295" s="1">
        <v>12</v>
      </c>
      <c r="B5295" s="159">
        <v>4460</v>
      </c>
      <c r="C5295" s="1" t="s">
        <v>4903</v>
      </c>
      <c r="D5295" s="1" t="s">
        <v>4904</v>
      </c>
      <c r="E5295" s="1" t="s">
        <v>2</v>
      </c>
      <c r="F5295" s="1" t="s">
        <v>4905</v>
      </c>
      <c r="G5295" s="1">
        <v>4</v>
      </c>
      <c r="H5295" s="1" t="s">
        <v>19</v>
      </c>
      <c r="I5295" s="1" t="s">
        <v>3093</v>
      </c>
      <c r="J5295" s="1">
        <v>69.8</v>
      </c>
      <c r="K5295" s="1">
        <v>279.2</v>
      </c>
      <c r="L5295" s="42">
        <v>7</v>
      </c>
      <c r="M5295" s="237">
        <v>46280</v>
      </c>
      <c r="N5295" s="1" t="str">
        <f>VLOOKUP(B5295,MICRO!E:L,8,0)</f>
        <v>P-198</v>
      </c>
    </row>
    <row r="5296" spans="1:14" ht="20.25" x14ac:dyDescent="0.25">
      <c r="A5296" s="1">
        <v>13</v>
      </c>
      <c r="B5296" s="159">
        <v>4463</v>
      </c>
      <c r="C5296" s="1" t="s">
        <v>4903</v>
      </c>
      <c r="D5296" s="1" t="s">
        <v>4904</v>
      </c>
      <c r="E5296" s="1" t="s">
        <v>1101</v>
      </c>
      <c r="F5296" s="1" t="s">
        <v>4908</v>
      </c>
      <c r="G5296" s="1">
        <v>8</v>
      </c>
      <c r="H5296" s="1" t="s">
        <v>19</v>
      </c>
      <c r="I5296" s="1" t="s">
        <v>3093</v>
      </c>
      <c r="J5296" s="1">
        <v>14.7</v>
      </c>
      <c r="K5296" s="1">
        <v>117.6</v>
      </c>
      <c r="L5296" s="42">
        <v>7</v>
      </c>
      <c r="M5296" s="237">
        <v>46280</v>
      </c>
      <c r="N5296" s="1" t="str">
        <f>VLOOKUP(B5296,MICRO!E:L,8,0)</f>
        <v>P-198</v>
      </c>
    </row>
    <row r="5297" spans="1:14" ht="20.25" x14ac:dyDescent="0.25">
      <c r="A5297" s="1">
        <v>14</v>
      </c>
      <c r="B5297" s="159">
        <v>4464</v>
      </c>
      <c r="C5297" s="1" t="s">
        <v>4903</v>
      </c>
      <c r="D5297" s="1" t="s">
        <v>4904</v>
      </c>
      <c r="E5297" s="1" t="s">
        <v>100</v>
      </c>
      <c r="F5297" s="1" t="s">
        <v>4909</v>
      </c>
      <c r="G5297" s="1">
        <v>16</v>
      </c>
      <c r="H5297" s="1" t="s">
        <v>19</v>
      </c>
      <c r="I5297" s="1" t="s">
        <v>3093</v>
      </c>
      <c r="J5297" s="1">
        <v>6</v>
      </c>
      <c r="K5297" s="1">
        <v>96</v>
      </c>
      <c r="L5297" s="42">
        <v>7</v>
      </c>
      <c r="M5297" s="237">
        <v>46280</v>
      </c>
      <c r="N5297" s="1" t="str">
        <f>VLOOKUP(B5297,MICRO!E:L,8,0)</f>
        <v>P-198</v>
      </c>
    </row>
    <row r="5298" spans="1:14" ht="20.25" x14ac:dyDescent="0.25">
      <c r="A5298" s="1">
        <v>15</v>
      </c>
      <c r="B5298" s="159">
        <v>4469</v>
      </c>
      <c r="C5298" s="1" t="s">
        <v>4911</v>
      </c>
      <c r="D5298" s="1" t="s">
        <v>4912</v>
      </c>
      <c r="E5298" s="1" t="s">
        <v>1101</v>
      </c>
      <c r="F5298" s="1" t="s">
        <v>5752</v>
      </c>
      <c r="G5298" s="1">
        <v>2</v>
      </c>
      <c r="H5298" s="1" t="s">
        <v>19</v>
      </c>
      <c r="I5298" s="1" t="s">
        <v>3093</v>
      </c>
      <c r="J5298" s="1">
        <v>14.7</v>
      </c>
      <c r="K5298" s="1">
        <v>29.4</v>
      </c>
      <c r="L5298" s="42">
        <v>7</v>
      </c>
      <c r="M5298" s="237">
        <v>46280</v>
      </c>
      <c r="N5298" s="1" t="str">
        <f>VLOOKUP(B5298,MICRO!E:L,8,0)</f>
        <v>P-198</v>
      </c>
    </row>
    <row r="5299" spans="1:14" ht="20.25" x14ac:dyDescent="0.25">
      <c r="A5299" s="1">
        <v>16</v>
      </c>
      <c r="B5299" s="159">
        <v>4470</v>
      </c>
      <c r="C5299" s="1" t="s">
        <v>4911</v>
      </c>
      <c r="D5299" s="1" t="s">
        <v>4912</v>
      </c>
      <c r="E5299" s="1" t="s">
        <v>100</v>
      </c>
      <c r="F5299" s="1" t="s">
        <v>4917</v>
      </c>
      <c r="G5299" s="1">
        <v>2</v>
      </c>
      <c r="H5299" s="1" t="s">
        <v>19</v>
      </c>
      <c r="I5299" s="1" t="s">
        <v>3093</v>
      </c>
      <c r="J5299" s="1">
        <v>3.4</v>
      </c>
      <c r="K5299" s="1">
        <v>6.8</v>
      </c>
      <c r="L5299" s="42">
        <v>7</v>
      </c>
      <c r="M5299" s="237">
        <v>46280</v>
      </c>
      <c r="N5299" s="1" t="str">
        <f>VLOOKUP(B5299,MICRO!E:L,8,0)</f>
        <v>P-198</v>
      </c>
    </row>
    <row r="5300" spans="1:14" ht="20.25" x14ac:dyDescent="0.25">
      <c r="A5300" s="1">
        <v>17</v>
      </c>
      <c r="B5300" s="159">
        <v>4471</v>
      </c>
      <c r="C5300" s="1" t="s">
        <v>4911</v>
      </c>
      <c r="D5300" s="1" t="s">
        <v>4912</v>
      </c>
      <c r="E5300" s="1" t="s">
        <v>173</v>
      </c>
      <c r="F5300" s="1" t="s">
        <v>4918</v>
      </c>
      <c r="G5300" s="1">
        <v>2</v>
      </c>
      <c r="H5300" s="1" t="s">
        <v>19</v>
      </c>
      <c r="I5300" s="1" t="s">
        <v>3093</v>
      </c>
      <c r="J5300" s="1">
        <v>6</v>
      </c>
      <c r="K5300" s="1">
        <v>12</v>
      </c>
      <c r="L5300" s="42">
        <v>7</v>
      </c>
      <c r="M5300" s="237">
        <v>46280</v>
      </c>
      <c r="N5300" s="1" t="str">
        <f>VLOOKUP(B5300,MICRO!E:L,8,0)</f>
        <v>P-198</v>
      </c>
    </row>
    <row r="5301" spans="1:14" ht="20.25" x14ac:dyDescent="0.25">
      <c r="A5301" s="1">
        <v>18</v>
      </c>
      <c r="B5301" s="159">
        <v>4473</v>
      </c>
      <c r="C5301" s="1" t="s">
        <v>4920</v>
      </c>
      <c r="D5301" s="1" t="s">
        <v>4921</v>
      </c>
      <c r="E5301" s="1" t="s">
        <v>2</v>
      </c>
      <c r="F5301" s="1" t="s">
        <v>4922</v>
      </c>
      <c r="G5301" s="1">
        <v>1</v>
      </c>
      <c r="H5301" s="1" t="s">
        <v>19</v>
      </c>
      <c r="I5301" s="1" t="s">
        <v>3093</v>
      </c>
      <c r="J5301" s="1">
        <v>715.7</v>
      </c>
      <c r="K5301" s="1">
        <v>715.7</v>
      </c>
      <c r="L5301" s="42">
        <v>7</v>
      </c>
      <c r="M5301" s="237">
        <v>46280</v>
      </c>
      <c r="N5301" s="1" t="str">
        <f>VLOOKUP(B5301,MICRO!E:L,8,0)</f>
        <v>P-198</v>
      </c>
    </row>
    <row r="5302" spans="1:14" ht="20.25" x14ac:dyDescent="0.25">
      <c r="A5302" s="1">
        <v>19</v>
      </c>
      <c r="B5302" s="159"/>
      <c r="C5302" s="1" t="s">
        <v>5753</v>
      </c>
      <c r="D5302" s="1"/>
      <c r="E5302" s="1"/>
      <c r="F5302" s="1" t="s">
        <v>5754</v>
      </c>
      <c r="G5302" s="1">
        <v>1</v>
      </c>
      <c r="H5302" s="1" t="s">
        <v>19</v>
      </c>
      <c r="I5302" s="1" t="s">
        <v>3034</v>
      </c>
      <c r="J5302" s="1">
        <v>26</v>
      </c>
      <c r="K5302" s="1">
        <v>26</v>
      </c>
      <c r="L5302" s="42">
        <v>7</v>
      </c>
      <c r="M5302" s="237">
        <v>46280</v>
      </c>
      <c r="N5302" s="1" t="e">
        <f>VLOOKUP(B5302,MICRO!E:L,8,0)</f>
        <v>#N/A</v>
      </c>
    </row>
    <row r="5303" spans="1:14" ht="20.25" x14ac:dyDescent="0.25">
      <c r="A5303" s="1">
        <v>20</v>
      </c>
      <c r="B5303" s="159"/>
      <c r="C5303" s="1" t="s">
        <v>5753</v>
      </c>
      <c r="D5303" s="1"/>
      <c r="E5303" s="1"/>
      <c r="F5303" s="1" t="s">
        <v>5755</v>
      </c>
      <c r="G5303" s="1">
        <v>1</v>
      </c>
      <c r="H5303" s="1" t="s">
        <v>19</v>
      </c>
      <c r="I5303" s="1" t="s">
        <v>3034</v>
      </c>
      <c r="J5303" s="1">
        <v>26.5</v>
      </c>
      <c r="K5303" s="1">
        <v>26.5</v>
      </c>
      <c r="L5303" s="42">
        <v>7</v>
      </c>
      <c r="M5303" s="237">
        <v>46280</v>
      </c>
      <c r="N5303" s="1" t="e">
        <f>VLOOKUP(B5303,MICRO!E:L,8,0)</f>
        <v>#N/A</v>
      </c>
    </row>
    <row r="5304" spans="1:14" ht="20.25" x14ac:dyDescent="0.25">
      <c r="A5304" s="1">
        <v>21</v>
      </c>
      <c r="B5304" s="159"/>
      <c r="C5304" s="1" t="s">
        <v>5756</v>
      </c>
      <c r="D5304" s="1"/>
      <c r="E5304" s="1"/>
      <c r="F5304" s="1" t="s">
        <v>5757</v>
      </c>
      <c r="G5304" s="1">
        <v>1</v>
      </c>
      <c r="H5304" s="1" t="s">
        <v>19</v>
      </c>
      <c r="I5304" s="1" t="s">
        <v>3045</v>
      </c>
      <c r="J5304" s="1">
        <v>28</v>
      </c>
      <c r="K5304" s="1">
        <v>28</v>
      </c>
      <c r="L5304" s="42">
        <v>7</v>
      </c>
      <c r="M5304" s="237">
        <v>46280</v>
      </c>
      <c r="N5304" s="1" t="e">
        <f>VLOOKUP(B5304,MICRO!E:L,8,0)</f>
        <v>#N/A</v>
      </c>
    </row>
    <row r="5305" spans="1:14" ht="20.25" x14ac:dyDescent="0.25">
      <c r="A5305" s="1">
        <v>22</v>
      </c>
      <c r="B5305" s="159"/>
      <c r="C5305" s="1" t="s">
        <v>5756</v>
      </c>
      <c r="D5305" s="1"/>
      <c r="E5305" s="1"/>
      <c r="F5305" s="1" t="s">
        <v>5758</v>
      </c>
      <c r="G5305" s="1">
        <v>1</v>
      </c>
      <c r="H5305" s="1" t="s">
        <v>19</v>
      </c>
      <c r="I5305" s="1" t="s">
        <v>3045</v>
      </c>
      <c r="J5305" s="1">
        <v>27.5</v>
      </c>
      <c r="K5305" s="1">
        <v>27.5</v>
      </c>
      <c r="L5305" s="42">
        <v>7</v>
      </c>
      <c r="M5305" s="237">
        <v>46280</v>
      </c>
      <c r="N5305" s="1" t="e">
        <f>VLOOKUP(B5305,MICRO!E:L,8,0)</f>
        <v>#N/A</v>
      </c>
    </row>
    <row r="5306" spans="1:14" ht="20.25" x14ac:dyDescent="0.25">
      <c r="A5306" s="1">
        <v>23</v>
      </c>
      <c r="B5306" s="159"/>
      <c r="C5306" s="1" t="s">
        <v>5759</v>
      </c>
      <c r="D5306" s="1"/>
      <c r="E5306" s="1"/>
      <c r="F5306" s="1" t="s">
        <v>5760</v>
      </c>
      <c r="G5306" s="1">
        <v>1</v>
      </c>
      <c r="H5306" s="1" t="s">
        <v>19</v>
      </c>
      <c r="I5306" s="1" t="s">
        <v>3140</v>
      </c>
      <c r="J5306" s="1">
        <v>24</v>
      </c>
      <c r="K5306" s="1">
        <v>24</v>
      </c>
      <c r="L5306" s="42">
        <v>7</v>
      </c>
      <c r="M5306" s="237">
        <v>46280</v>
      </c>
      <c r="N5306" s="1" t="e">
        <f>VLOOKUP(B5306,MICRO!E:L,8,0)</f>
        <v>#N/A</v>
      </c>
    </row>
    <row r="5307" spans="1:14" ht="20.25" x14ac:dyDescent="0.25">
      <c r="A5307" s="1">
        <v>24</v>
      </c>
      <c r="B5307" s="159"/>
      <c r="C5307" s="1" t="s">
        <v>5759</v>
      </c>
      <c r="D5307" s="1"/>
      <c r="E5307" s="1"/>
      <c r="F5307" s="1" t="s">
        <v>5761</v>
      </c>
      <c r="G5307" s="1">
        <v>1</v>
      </c>
      <c r="H5307" s="1" t="s">
        <v>19</v>
      </c>
      <c r="I5307" s="1" t="s">
        <v>3140</v>
      </c>
      <c r="J5307" s="1">
        <v>25.5</v>
      </c>
      <c r="K5307" s="1">
        <v>25.5</v>
      </c>
      <c r="L5307" s="42">
        <v>7</v>
      </c>
      <c r="M5307" s="237">
        <v>46280</v>
      </c>
      <c r="N5307" s="1" t="e">
        <f>VLOOKUP(B5307,MICRO!E:L,8,0)</f>
        <v>#N/A</v>
      </c>
    </row>
    <row r="5308" spans="1:14" ht="20.25" x14ac:dyDescent="0.25">
      <c r="A5308" s="1">
        <v>25</v>
      </c>
      <c r="B5308" s="159"/>
      <c r="C5308" s="1" t="s">
        <v>5762</v>
      </c>
      <c r="D5308" s="1"/>
      <c r="E5308" s="1"/>
      <c r="F5308" s="1" t="s">
        <v>5763</v>
      </c>
      <c r="G5308" s="1">
        <v>1</v>
      </c>
      <c r="H5308" s="1" t="s">
        <v>19</v>
      </c>
      <c r="I5308" s="1" t="s">
        <v>3093</v>
      </c>
      <c r="J5308" s="1">
        <v>32</v>
      </c>
      <c r="K5308" s="1">
        <v>32</v>
      </c>
      <c r="L5308" s="42">
        <v>7</v>
      </c>
      <c r="M5308" s="237">
        <v>46280</v>
      </c>
      <c r="N5308" s="1" t="e">
        <f>VLOOKUP(B5308,MICRO!E:L,8,0)</f>
        <v>#N/A</v>
      </c>
    </row>
    <row r="5309" spans="1:14" ht="20.25" x14ac:dyDescent="0.25">
      <c r="A5309" s="1">
        <v>26</v>
      </c>
      <c r="B5309" s="159"/>
      <c r="C5309" s="1" t="s">
        <v>5762</v>
      </c>
      <c r="D5309" s="1"/>
      <c r="E5309" s="1"/>
      <c r="F5309" s="1" t="s">
        <v>5764</v>
      </c>
      <c r="G5309" s="1">
        <v>1</v>
      </c>
      <c r="H5309" s="1" t="s">
        <v>19</v>
      </c>
      <c r="I5309" s="1" t="s">
        <v>3093</v>
      </c>
      <c r="J5309" s="1">
        <v>29</v>
      </c>
      <c r="K5309" s="1">
        <v>29</v>
      </c>
      <c r="L5309" s="42">
        <v>7</v>
      </c>
      <c r="M5309" s="237">
        <v>46280</v>
      </c>
      <c r="N5309" s="1" t="e">
        <f>VLOOKUP(B5309,MICRO!E:L,8,0)</f>
        <v>#N/A</v>
      </c>
    </row>
    <row r="5310" spans="1:14" ht="20.25" x14ac:dyDescent="0.25">
      <c r="A5310" s="1">
        <v>27</v>
      </c>
      <c r="B5310" s="159"/>
      <c r="C5310" s="1" t="s">
        <v>5765</v>
      </c>
      <c r="D5310" s="1"/>
      <c r="E5310" s="1" t="s">
        <v>5766</v>
      </c>
      <c r="F5310" s="1" t="s">
        <v>5767</v>
      </c>
      <c r="G5310" s="1">
        <v>4</v>
      </c>
      <c r="H5310" s="1" t="s">
        <v>19</v>
      </c>
      <c r="I5310" s="1" t="s">
        <v>3045</v>
      </c>
      <c r="J5310" s="1">
        <v>12.5</v>
      </c>
      <c r="K5310" s="1">
        <v>50</v>
      </c>
      <c r="L5310" s="42">
        <v>7</v>
      </c>
      <c r="M5310" s="237">
        <v>46280</v>
      </c>
      <c r="N5310" s="1" t="e">
        <f>VLOOKUP(B5310,MICRO!E:L,8,0)</f>
        <v>#N/A</v>
      </c>
    </row>
    <row r="5311" spans="1:14" ht="20.25" x14ac:dyDescent="0.25">
      <c r="A5311" s="1">
        <v>28</v>
      </c>
      <c r="B5311" s="159"/>
      <c r="C5311" s="1" t="s">
        <v>5768</v>
      </c>
      <c r="D5311" s="1"/>
      <c r="E5311" s="1" t="s">
        <v>5769</v>
      </c>
      <c r="F5311" s="1" t="s">
        <v>5770</v>
      </c>
      <c r="G5311" s="1">
        <v>14</v>
      </c>
      <c r="H5311" s="1" t="s">
        <v>19</v>
      </c>
      <c r="I5311" s="1" t="s">
        <v>3034</v>
      </c>
      <c r="J5311" s="1">
        <v>9.58</v>
      </c>
      <c r="K5311" s="1">
        <v>134.12</v>
      </c>
      <c r="L5311" s="42">
        <v>7</v>
      </c>
      <c r="M5311" s="237">
        <v>46280</v>
      </c>
      <c r="N5311" s="1" t="e">
        <f>VLOOKUP(B5311,MICRO!E:L,8,0)</f>
        <v>#N/A</v>
      </c>
    </row>
    <row r="5312" spans="1:14" ht="20.25" x14ac:dyDescent="0.25">
      <c r="A5312" s="1">
        <v>29</v>
      </c>
      <c r="B5312" s="159"/>
      <c r="C5312" s="1" t="s">
        <v>3315</v>
      </c>
      <c r="D5312" s="1"/>
      <c r="E5312" s="1"/>
      <c r="F5312" s="1" t="s">
        <v>5771</v>
      </c>
      <c r="G5312" s="1">
        <v>260</v>
      </c>
      <c r="H5312" s="1" t="s">
        <v>19</v>
      </c>
      <c r="I5312" s="1" t="s">
        <v>3034</v>
      </c>
      <c r="J5312" s="1">
        <v>0.02</v>
      </c>
      <c r="K5312" s="1">
        <v>5.2</v>
      </c>
      <c r="L5312" s="42">
        <v>7</v>
      </c>
      <c r="M5312" s="237">
        <v>46280</v>
      </c>
      <c r="N5312" s="1" t="e">
        <f>VLOOKUP(B5312,MICRO!E:L,8,0)</f>
        <v>#N/A</v>
      </c>
    </row>
    <row r="5313" spans="1:14" ht="20.25" x14ac:dyDescent="0.25">
      <c r="A5313" s="1">
        <v>30</v>
      </c>
      <c r="B5313" s="159"/>
      <c r="C5313" s="1" t="s">
        <v>3315</v>
      </c>
      <c r="D5313" s="1"/>
      <c r="E5313" s="1"/>
      <c r="F5313" s="1" t="s">
        <v>5772</v>
      </c>
      <c r="G5313" s="1">
        <v>216</v>
      </c>
      <c r="H5313" s="1" t="s">
        <v>19</v>
      </c>
      <c r="I5313" s="1" t="s">
        <v>3034</v>
      </c>
      <c r="J5313" s="1">
        <v>0.05</v>
      </c>
      <c r="K5313" s="1">
        <v>10.8</v>
      </c>
      <c r="L5313" s="42">
        <v>7</v>
      </c>
      <c r="M5313" s="237">
        <v>46280</v>
      </c>
      <c r="N5313" s="1" t="e">
        <f>VLOOKUP(B5313,MICRO!E:L,8,0)</f>
        <v>#N/A</v>
      </c>
    </row>
    <row r="5314" spans="1:14" ht="20.25" x14ac:dyDescent="0.25">
      <c r="A5314" s="1">
        <v>31</v>
      </c>
      <c r="B5314" s="159"/>
      <c r="C5314" s="1" t="s">
        <v>3315</v>
      </c>
      <c r="D5314" s="1"/>
      <c r="E5314" s="1"/>
      <c r="F5314" s="1" t="s">
        <v>5773</v>
      </c>
      <c r="G5314" s="1">
        <v>296</v>
      </c>
      <c r="H5314" s="1" t="s">
        <v>19</v>
      </c>
      <c r="I5314" s="1" t="s">
        <v>3034</v>
      </c>
      <c r="J5314" s="1">
        <v>0.02</v>
      </c>
      <c r="K5314" s="1">
        <v>5.92</v>
      </c>
      <c r="L5314" s="42">
        <v>7</v>
      </c>
      <c r="M5314" s="237">
        <v>46280</v>
      </c>
      <c r="N5314" s="1" t="e">
        <f>VLOOKUP(B5314,MICRO!E:L,8,0)</f>
        <v>#N/A</v>
      </c>
    </row>
    <row r="5315" spans="1:14" ht="20.25" x14ac:dyDescent="0.25">
      <c r="A5315" s="1">
        <v>32</v>
      </c>
      <c r="B5315" s="159"/>
      <c r="C5315" s="1" t="s">
        <v>3315</v>
      </c>
      <c r="D5315" s="1"/>
      <c r="E5315" s="1"/>
      <c r="F5315" s="1" t="s">
        <v>5774</v>
      </c>
      <c r="G5315" s="1">
        <v>296</v>
      </c>
      <c r="H5315" s="1" t="s">
        <v>19</v>
      </c>
      <c r="I5315" s="1" t="s">
        <v>3034</v>
      </c>
      <c r="J5315" s="1">
        <v>0.01</v>
      </c>
      <c r="K5315" s="1">
        <v>2.96</v>
      </c>
      <c r="L5315" s="42">
        <v>7</v>
      </c>
      <c r="M5315" s="237">
        <v>46280</v>
      </c>
      <c r="N5315" s="1" t="e">
        <f>VLOOKUP(B5315,MICRO!E:L,8,0)</f>
        <v>#N/A</v>
      </c>
    </row>
    <row r="5316" spans="1:14" ht="20.25" x14ac:dyDescent="0.25">
      <c r="A5316" s="1">
        <v>33</v>
      </c>
      <c r="B5316" s="159"/>
      <c r="C5316" s="1" t="s">
        <v>3315</v>
      </c>
      <c r="D5316" s="1"/>
      <c r="E5316" s="1"/>
      <c r="F5316" s="1" t="s">
        <v>5775</v>
      </c>
      <c r="G5316" s="1">
        <v>416</v>
      </c>
      <c r="H5316" s="1" t="s">
        <v>19</v>
      </c>
      <c r="I5316" s="1" t="s">
        <v>3034</v>
      </c>
      <c r="J5316" s="1">
        <v>0.05</v>
      </c>
      <c r="K5316" s="1">
        <v>20.8</v>
      </c>
      <c r="L5316" s="42">
        <v>7</v>
      </c>
      <c r="M5316" s="237">
        <v>46280</v>
      </c>
      <c r="N5316" s="1" t="e">
        <f>VLOOKUP(B5316,MICRO!E:L,8,0)</f>
        <v>#N/A</v>
      </c>
    </row>
    <row r="5317" spans="1:14" ht="20.25" x14ac:dyDescent="0.25">
      <c r="A5317" s="1">
        <v>34</v>
      </c>
      <c r="B5317" s="159"/>
      <c r="C5317" s="1" t="s">
        <v>3315</v>
      </c>
      <c r="D5317" s="1"/>
      <c r="E5317" s="1"/>
      <c r="F5317" s="1" t="s">
        <v>5776</v>
      </c>
      <c r="G5317" s="1">
        <v>80</v>
      </c>
      <c r="H5317" s="1" t="s">
        <v>19</v>
      </c>
      <c r="I5317" s="1" t="s">
        <v>3034</v>
      </c>
      <c r="J5317" s="1">
        <v>0.05</v>
      </c>
      <c r="K5317" s="1">
        <v>4</v>
      </c>
      <c r="L5317" s="42">
        <v>7</v>
      </c>
      <c r="M5317" s="237">
        <v>46280</v>
      </c>
      <c r="N5317" s="1" t="e">
        <f>VLOOKUP(B5317,MICRO!E:L,8,0)</f>
        <v>#N/A</v>
      </c>
    </row>
    <row r="5318" spans="1:14" ht="20.25" x14ac:dyDescent="0.25">
      <c r="A5318" s="1">
        <v>35</v>
      </c>
      <c r="B5318" s="159"/>
      <c r="C5318" s="1" t="s">
        <v>3729</v>
      </c>
      <c r="D5318" s="1"/>
      <c r="E5318" s="1"/>
      <c r="F5318" s="1" t="s">
        <v>5777</v>
      </c>
      <c r="G5318" s="1">
        <v>32</v>
      </c>
      <c r="H5318" s="1" t="s">
        <v>19</v>
      </c>
      <c r="I5318" s="1" t="s">
        <v>3045</v>
      </c>
      <c r="J5318" s="1">
        <v>0.05</v>
      </c>
      <c r="K5318" s="1">
        <v>1.6</v>
      </c>
      <c r="L5318" s="42">
        <v>7</v>
      </c>
      <c r="M5318" s="237">
        <v>46280</v>
      </c>
      <c r="N5318" s="1" t="e">
        <f>VLOOKUP(B5318,MICRO!E:L,8,0)</f>
        <v>#N/A</v>
      </c>
    </row>
    <row r="5319" spans="1:14" ht="20.25" x14ac:dyDescent="0.25">
      <c r="A5319" s="1">
        <v>36</v>
      </c>
      <c r="B5319" s="159"/>
      <c r="C5319" s="1" t="s">
        <v>3729</v>
      </c>
      <c r="D5319" s="1"/>
      <c r="E5319" s="1"/>
      <c r="F5319" s="1" t="s">
        <v>5778</v>
      </c>
      <c r="G5319" s="1">
        <v>32</v>
      </c>
      <c r="H5319" s="1" t="s">
        <v>19</v>
      </c>
      <c r="I5319" s="1" t="s">
        <v>3045</v>
      </c>
      <c r="J5319" s="1">
        <v>0.02</v>
      </c>
      <c r="K5319" s="1">
        <v>0.64</v>
      </c>
      <c r="L5319" s="42">
        <v>7</v>
      </c>
      <c r="M5319" s="237">
        <v>46280</v>
      </c>
      <c r="N5319" s="1" t="e">
        <f>VLOOKUP(B5319,MICRO!E:L,8,0)</f>
        <v>#N/A</v>
      </c>
    </row>
    <row r="5320" spans="1:14" ht="20.25" x14ac:dyDescent="0.25">
      <c r="A5320" s="1">
        <v>37</v>
      </c>
      <c r="B5320" s="159"/>
      <c r="C5320" s="1" t="s">
        <v>3729</v>
      </c>
      <c r="D5320" s="1"/>
      <c r="E5320" s="1"/>
      <c r="F5320" s="1" t="s">
        <v>5779</v>
      </c>
      <c r="G5320" s="1">
        <v>32</v>
      </c>
      <c r="H5320" s="1" t="s">
        <v>19</v>
      </c>
      <c r="I5320" s="1" t="s">
        <v>3045</v>
      </c>
      <c r="J5320" s="1">
        <v>0.01</v>
      </c>
      <c r="K5320" s="1">
        <v>0.32</v>
      </c>
      <c r="L5320" s="42">
        <v>7</v>
      </c>
      <c r="M5320" s="237">
        <v>46280</v>
      </c>
      <c r="N5320" s="1" t="e">
        <f>VLOOKUP(B5320,MICRO!E:L,8,0)</f>
        <v>#N/A</v>
      </c>
    </row>
    <row r="5321" spans="1:14" ht="20.25" x14ac:dyDescent="0.25">
      <c r="A5321" s="1">
        <v>38</v>
      </c>
      <c r="B5321" s="159"/>
      <c r="C5321" s="1" t="s">
        <v>3729</v>
      </c>
      <c r="D5321" s="1"/>
      <c r="E5321" s="1"/>
      <c r="F5321" s="1" t="s">
        <v>5780</v>
      </c>
      <c r="G5321" s="1">
        <v>16</v>
      </c>
      <c r="H5321" s="1" t="s">
        <v>19</v>
      </c>
      <c r="I5321" s="1" t="s">
        <v>3045</v>
      </c>
      <c r="J5321" s="1">
        <v>0.05</v>
      </c>
      <c r="K5321" s="1">
        <v>0.8</v>
      </c>
      <c r="L5321" s="42">
        <v>7</v>
      </c>
      <c r="M5321" s="237">
        <v>46280</v>
      </c>
      <c r="N5321" s="1" t="e">
        <f>VLOOKUP(B5321,MICRO!E:L,8,0)</f>
        <v>#N/A</v>
      </c>
    </row>
    <row r="5322" spans="1:14" ht="20.25" x14ac:dyDescent="0.25">
      <c r="A5322" s="1">
        <v>39</v>
      </c>
      <c r="B5322" s="159"/>
      <c r="C5322" s="1" t="s">
        <v>3729</v>
      </c>
      <c r="D5322" s="1"/>
      <c r="E5322" s="1"/>
      <c r="F5322" s="1" t="s">
        <v>5781</v>
      </c>
      <c r="G5322" s="1">
        <v>16</v>
      </c>
      <c r="H5322" s="1" t="s">
        <v>19</v>
      </c>
      <c r="I5322" s="1" t="s">
        <v>3045</v>
      </c>
      <c r="J5322" s="1">
        <v>0.02</v>
      </c>
      <c r="K5322" s="1">
        <v>0.32</v>
      </c>
      <c r="L5322" s="42">
        <v>7</v>
      </c>
      <c r="M5322" s="237">
        <v>46280</v>
      </c>
      <c r="N5322" s="1" t="e">
        <f>VLOOKUP(B5322,MICRO!E:L,8,0)</f>
        <v>#N/A</v>
      </c>
    </row>
    <row r="5323" spans="1:14" ht="20.25" x14ac:dyDescent="0.25">
      <c r="A5323" s="1">
        <v>40</v>
      </c>
      <c r="B5323" s="159"/>
      <c r="C5323" s="1" t="s">
        <v>3729</v>
      </c>
      <c r="D5323" s="1"/>
      <c r="E5323" s="1"/>
      <c r="F5323" s="1" t="s">
        <v>5782</v>
      </c>
      <c r="G5323" s="1">
        <v>16</v>
      </c>
      <c r="H5323" s="1" t="s">
        <v>19</v>
      </c>
      <c r="I5323" s="1" t="s">
        <v>3045</v>
      </c>
      <c r="J5323" s="1">
        <v>0.01</v>
      </c>
      <c r="K5323" s="1">
        <v>0.16</v>
      </c>
      <c r="L5323" s="42">
        <v>7</v>
      </c>
      <c r="M5323" s="237">
        <v>46280</v>
      </c>
      <c r="N5323" s="1" t="e">
        <f>VLOOKUP(B5323,MICRO!E:L,8,0)</f>
        <v>#N/A</v>
      </c>
    </row>
    <row r="5324" spans="1:14" ht="20.25" x14ac:dyDescent="0.25">
      <c r="A5324" s="1">
        <v>41</v>
      </c>
      <c r="B5324" s="159"/>
      <c r="C5324" s="1" t="s">
        <v>3729</v>
      </c>
      <c r="D5324" s="1"/>
      <c r="E5324" s="1"/>
      <c r="F5324" s="1" t="s">
        <v>5783</v>
      </c>
      <c r="G5324" s="1">
        <v>4</v>
      </c>
      <c r="H5324" s="1" t="s">
        <v>19</v>
      </c>
      <c r="I5324" s="1" t="s">
        <v>3045</v>
      </c>
      <c r="J5324" s="1">
        <v>0.02</v>
      </c>
      <c r="K5324" s="1">
        <v>0.08</v>
      </c>
      <c r="L5324" s="42">
        <v>7</v>
      </c>
      <c r="M5324" s="237">
        <v>46280</v>
      </c>
      <c r="N5324" s="1" t="e">
        <f>VLOOKUP(B5324,MICRO!E:L,8,0)</f>
        <v>#N/A</v>
      </c>
    </row>
    <row r="5325" spans="1:14" ht="20.25" x14ac:dyDescent="0.25">
      <c r="A5325" s="1">
        <v>42</v>
      </c>
      <c r="B5325" s="159"/>
      <c r="C5325" s="1" t="s">
        <v>3729</v>
      </c>
      <c r="D5325" s="1"/>
      <c r="E5325" s="1"/>
      <c r="F5325" s="1" t="s">
        <v>5784</v>
      </c>
      <c r="G5325" s="1">
        <v>4</v>
      </c>
      <c r="H5325" s="1" t="s">
        <v>19</v>
      </c>
      <c r="I5325" s="1" t="s">
        <v>3045</v>
      </c>
      <c r="J5325" s="1">
        <v>0.05</v>
      </c>
      <c r="K5325" s="1">
        <v>0.2</v>
      </c>
      <c r="L5325" s="42">
        <v>7</v>
      </c>
      <c r="M5325" s="237">
        <v>46280</v>
      </c>
      <c r="N5325" s="1" t="e">
        <f>VLOOKUP(B5325,MICRO!E:L,8,0)</f>
        <v>#N/A</v>
      </c>
    </row>
    <row r="5326" spans="1:14" ht="20.25" x14ac:dyDescent="0.25">
      <c r="A5326" s="1">
        <v>43</v>
      </c>
      <c r="B5326" s="159"/>
      <c r="C5326" s="1" t="s">
        <v>5785</v>
      </c>
      <c r="D5326" s="1"/>
      <c r="E5326" s="1"/>
      <c r="F5326" s="1" t="s">
        <v>5786</v>
      </c>
      <c r="G5326" s="1">
        <v>58</v>
      </c>
      <c r="H5326" s="1" t="s">
        <v>19</v>
      </c>
      <c r="I5326" s="1" t="s">
        <v>3045</v>
      </c>
      <c r="J5326" s="1">
        <v>0.05</v>
      </c>
      <c r="K5326" s="1">
        <v>2.9000000000000004</v>
      </c>
      <c r="L5326" s="42">
        <v>7</v>
      </c>
      <c r="M5326" s="237">
        <v>46280</v>
      </c>
      <c r="N5326" s="1" t="e">
        <f>VLOOKUP(B5326,MICRO!E:L,8,0)</f>
        <v>#N/A</v>
      </c>
    </row>
    <row r="5327" spans="1:14" ht="20.25" x14ac:dyDescent="0.25">
      <c r="A5327" s="1">
        <v>44</v>
      </c>
      <c r="B5327" s="159"/>
      <c r="C5327" s="1" t="s">
        <v>5785</v>
      </c>
      <c r="D5327" s="1"/>
      <c r="E5327" s="1"/>
      <c r="F5327" s="1" t="s">
        <v>5787</v>
      </c>
      <c r="G5327" s="1">
        <v>58</v>
      </c>
      <c r="H5327" s="1" t="s">
        <v>19</v>
      </c>
      <c r="I5327" s="1" t="s">
        <v>3045</v>
      </c>
      <c r="J5327" s="1">
        <v>0.02</v>
      </c>
      <c r="K5327" s="1">
        <v>1.1599999999999999</v>
      </c>
      <c r="L5327" s="42">
        <v>7</v>
      </c>
      <c r="M5327" s="237">
        <v>46280</v>
      </c>
      <c r="N5327" s="1" t="e">
        <f>VLOOKUP(B5327,MICRO!E:L,8,0)</f>
        <v>#N/A</v>
      </c>
    </row>
    <row r="5328" spans="1:14" ht="20.25" x14ac:dyDescent="0.25">
      <c r="A5328" s="1">
        <v>45</v>
      </c>
      <c r="B5328" s="159"/>
      <c r="C5328" s="1" t="s">
        <v>5785</v>
      </c>
      <c r="D5328" s="1"/>
      <c r="E5328" s="1"/>
      <c r="F5328" s="1" t="s">
        <v>5788</v>
      </c>
      <c r="G5328" s="1">
        <v>58</v>
      </c>
      <c r="H5328" s="1" t="s">
        <v>19</v>
      </c>
      <c r="I5328" s="1" t="s">
        <v>3045</v>
      </c>
      <c r="J5328" s="1">
        <v>0.01</v>
      </c>
      <c r="K5328" s="1">
        <v>0.57999999999999996</v>
      </c>
      <c r="L5328" s="42">
        <v>7</v>
      </c>
      <c r="M5328" s="237">
        <v>46280</v>
      </c>
      <c r="N5328" s="1" t="e">
        <f>VLOOKUP(B5328,MICRO!E:L,8,0)</f>
        <v>#N/A</v>
      </c>
    </row>
    <row r="5329" spans="1:14" ht="20.25" x14ac:dyDescent="0.25">
      <c r="A5329" s="1">
        <v>46</v>
      </c>
      <c r="B5329" s="159"/>
      <c r="C5329" s="1" t="s">
        <v>5785</v>
      </c>
      <c r="D5329" s="1"/>
      <c r="E5329" s="1"/>
      <c r="F5329" s="1" t="s">
        <v>5789</v>
      </c>
      <c r="G5329" s="1">
        <v>60</v>
      </c>
      <c r="H5329" s="1" t="s">
        <v>19</v>
      </c>
      <c r="I5329" s="1" t="s">
        <v>3045</v>
      </c>
      <c r="J5329" s="1">
        <v>0.05</v>
      </c>
      <c r="K5329" s="1">
        <v>3</v>
      </c>
      <c r="L5329" s="42">
        <v>7</v>
      </c>
      <c r="M5329" s="237">
        <v>46280</v>
      </c>
      <c r="N5329" s="1" t="e">
        <f>VLOOKUP(B5329,MICRO!E:L,8,0)</f>
        <v>#N/A</v>
      </c>
    </row>
    <row r="5330" spans="1:14" ht="20.25" x14ac:dyDescent="0.25">
      <c r="A5330" s="1">
        <v>47</v>
      </c>
      <c r="B5330" s="159"/>
      <c r="C5330" s="1" t="s">
        <v>5785</v>
      </c>
      <c r="D5330" s="1"/>
      <c r="E5330" s="1"/>
      <c r="F5330" s="1" t="s">
        <v>5790</v>
      </c>
      <c r="G5330" s="1">
        <v>60</v>
      </c>
      <c r="H5330" s="1" t="s">
        <v>19</v>
      </c>
      <c r="I5330" s="1" t="s">
        <v>3045</v>
      </c>
      <c r="J5330" s="1">
        <v>0.02</v>
      </c>
      <c r="K5330" s="1">
        <v>1.2</v>
      </c>
      <c r="L5330" s="42">
        <v>7</v>
      </c>
      <c r="M5330" s="237">
        <v>46280</v>
      </c>
      <c r="N5330" s="1" t="e">
        <f>VLOOKUP(B5330,MICRO!E:L,8,0)</f>
        <v>#N/A</v>
      </c>
    </row>
    <row r="5331" spans="1:14" ht="20.25" x14ac:dyDescent="0.25">
      <c r="A5331" s="1">
        <v>48</v>
      </c>
      <c r="B5331" s="159"/>
      <c r="C5331" s="1" t="s">
        <v>5785</v>
      </c>
      <c r="D5331" s="1"/>
      <c r="E5331" s="1"/>
      <c r="F5331" s="1" t="s">
        <v>5791</v>
      </c>
      <c r="G5331" s="1">
        <v>60</v>
      </c>
      <c r="H5331" s="1" t="s">
        <v>19</v>
      </c>
      <c r="I5331" s="1" t="s">
        <v>3045</v>
      </c>
      <c r="J5331" s="1">
        <v>0.01</v>
      </c>
      <c r="K5331" s="1">
        <v>0.6</v>
      </c>
      <c r="L5331" s="42">
        <v>7</v>
      </c>
      <c r="M5331" s="237">
        <v>46280</v>
      </c>
      <c r="N5331" s="1" t="e">
        <f>VLOOKUP(B5331,MICRO!E:L,8,0)</f>
        <v>#N/A</v>
      </c>
    </row>
    <row r="5332" spans="1:14" ht="20.25" x14ac:dyDescent="0.25">
      <c r="A5332" s="1">
        <v>49</v>
      </c>
      <c r="B5332" s="159"/>
      <c r="C5332" s="1" t="s">
        <v>4310</v>
      </c>
      <c r="D5332" s="1"/>
      <c r="E5332" s="1"/>
      <c r="F5332" s="1" t="s">
        <v>5792</v>
      </c>
      <c r="G5332" s="1">
        <v>34</v>
      </c>
      <c r="H5332" s="1" t="s">
        <v>19</v>
      </c>
      <c r="I5332" s="1" t="s">
        <v>3045</v>
      </c>
      <c r="J5332" s="1">
        <v>0.05</v>
      </c>
      <c r="K5332" s="1">
        <v>1.7000000000000002</v>
      </c>
      <c r="L5332" s="42">
        <v>7</v>
      </c>
      <c r="M5332" s="237">
        <v>46280</v>
      </c>
      <c r="N5332" s="1" t="e">
        <f>VLOOKUP(B5332,MICRO!E:L,8,0)</f>
        <v>#N/A</v>
      </c>
    </row>
    <row r="5333" spans="1:14" ht="20.25" x14ac:dyDescent="0.25">
      <c r="A5333" s="1">
        <v>50</v>
      </c>
      <c r="B5333" s="159"/>
      <c r="C5333" s="1" t="s">
        <v>4310</v>
      </c>
      <c r="D5333" s="1"/>
      <c r="E5333" s="1"/>
      <c r="F5333" s="1" t="s">
        <v>5793</v>
      </c>
      <c r="G5333" s="1">
        <v>34</v>
      </c>
      <c r="H5333" s="1" t="s">
        <v>19</v>
      </c>
      <c r="I5333" s="1" t="s">
        <v>3045</v>
      </c>
      <c r="J5333" s="1">
        <v>0.02</v>
      </c>
      <c r="K5333" s="1">
        <v>0.68</v>
      </c>
      <c r="L5333" s="42">
        <v>7</v>
      </c>
      <c r="M5333" s="237">
        <v>46280</v>
      </c>
      <c r="N5333" s="1" t="e">
        <f>VLOOKUP(B5333,MICRO!E:L,8,0)</f>
        <v>#N/A</v>
      </c>
    </row>
    <row r="5334" spans="1:14" ht="20.25" x14ac:dyDescent="0.25">
      <c r="A5334" s="1">
        <v>51</v>
      </c>
      <c r="B5334" s="159"/>
      <c r="C5334" s="1" t="s">
        <v>4310</v>
      </c>
      <c r="D5334" s="1"/>
      <c r="E5334" s="1"/>
      <c r="F5334" s="1" t="s">
        <v>5794</v>
      </c>
      <c r="G5334" s="1">
        <v>34</v>
      </c>
      <c r="H5334" s="1" t="s">
        <v>19</v>
      </c>
      <c r="I5334" s="1" t="s">
        <v>3045</v>
      </c>
      <c r="J5334" s="1">
        <v>0.01</v>
      </c>
      <c r="K5334" s="1">
        <v>0.34</v>
      </c>
      <c r="L5334" s="42">
        <v>7</v>
      </c>
      <c r="M5334" s="237">
        <v>46280</v>
      </c>
      <c r="N5334" s="1" t="e">
        <f>VLOOKUP(B5334,MICRO!E:L,8,0)</f>
        <v>#N/A</v>
      </c>
    </row>
    <row r="5335" spans="1:14" ht="20.25" x14ac:dyDescent="0.25">
      <c r="A5335" s="1">
        <v>52</v>
      </c>
      <c r="B5335" s="159"/>
      <c r="C5335" s="1" t="s">
        <v>5795</v>
      </c>
      <c r="D5335" s="1"/>
      <c r="E5335" s="1"/>
      <c r="F5335" s="1" t="s">
        <v>5796</v>
      </c>
      <c r="G5335" s="1">
        <v>174</v>
      </c>
      <c r="H5335" s="1" t="s">
        <v>19</v>
      </c>
      <c r="I5335" s="1" t="s">
        <v>3034</v>
      </c>
      <c r="J5335" s="1">
        <v>0.05</v>
      </c>
      <c r="K5335" s="1">
        <v>8.7000000000000011</v>
      </c>
      <c r="L5335" s="42">
        <v>7</v>
      </c>
      <c r="M5335" s="237">
        <v>46280</v>
      </c>
      <c r="N5335" s="1" t="e">
        <f>VLOOKUP(B5335,MICRO!E:L,8,0)</f>
        <v>#N/A</v>
      </c>
    </row>
    <row r="5336" spans="1:14" ht="20.25" x14ac:dyDescent="0.25">
      <c r="A5336" s="1">
        <v>53</v>
      </c>
      <c r="B5336" s="159"/>
      <c r="C5336" s="1" t="s">
        <v>5795</v>
      </c>
      <c r="D5336" s="1"/>
      <c r="E5336" s="1"/>
      <c r="F5336" s="1" t="s">
        <v>5797</v>
      </c>
      <c r="G5336" s="1">
        <v>174</v>
      </c>
      <c r="H5336" s="1" t="s">
        <v>19</v>
      </c>
      <c r="I5336" s="1" t="s">
        <v>3034</v>
      </c>
      <c r="J5336" s="1">
        <v>0.02</v>
      </c>
      <c r="K5336" s="1">
        <v>3.48</v>
      </c>
      <c r="L5336" s="42">
        <v>7</v>
      </c>
      <c r="M5336" s="237">
        <v>46280</v>
      </c>
      <c r="N5336" s="1" t="e">
        <f>VLOOKUP(B5336,MICRO!E:L,8,0)</f>
        <v>#N/A</v>
      </c>
    </row>
    <row r="5337" spans="1:14" ht="20.25" x14ac:dyDescent="0.25">
      <c r="A5337" s="1">
        <v>54</v>
      </c>
      <c r="B5337" s="159"/>
      <c r="C5337" s="1" t="s">
        <v>5795</v>
      </c>
      <c r="D5337" s="1"/>
      <c r="E5337" s="1"/>
      <c r="F5337" s="1" t="s">
        <v>5798</v>
      </c>
      <c r="G5337" s="1">
        <v>174</v>
      </c>
      <c r="H5337" s="1" t="s">
        <v>19</v>
      </c>
      <c r="I5337" s="1" t="s">
        <v>3034</v>
      </c>
      <c r="J5337" s="1">
        <v>0.01</v>
      </c>
      <c r="K5337" s="1">
        <v>1.74</v>
      </c>
      <c r="L5337" s="42">
        <v>7</v>
      </c>
      <c r="M5337" s="237">
        <v>46280</v>
      </c>
      <c r="N5337" s="1" t="e">
        <f>VLOOKUP(B5337,MICRO!E:L,8,0)</f>
        <v>#N/A</v>
      </c>
    </row>
    <row r="5338" spans="1:14" ht="20.25" x14ac:dyDescent="0.25">
      <c r="A5338" s="1">
        <v>55</v>
      </c>
      <c r="B5338" s="159"/>
      <c r="C5338" s="1" t="s">
        <v>4939</v>
      </c>
      <c r="D5338" s="1"/>
      <c r="E5338" s="1"/>
      <c r="F5338" s="1" t="s">
        <v>5799</v>
      </c>
      <c r="G5338" s="1">
        <v>24</v>
      </c>
      <c r="H5338" s="1" t="s">
        <v>19</v>
      </c>
      <c r="I5338" s="1" t="s">
        <v>3093</v>
      </c>
      <c r="J5338" s="1">
        <v>0.05</v>
      </c>
      <c r="K5338" s="1">
        <v>1.2000000000000002</v>
      </c>
      <c r="L5338" s="42">
        <v>7</v>
      </c>
      <c r="M5338" s="237">
        <v>46280</v>
      </c>
      <c r="N5338" s="1" t="e">
        <f>VLOOKUP(B5338,MICRO!E:L,8,0)</f>
        <v>#N/A</v>
      </c>
    </row>
    <row r="5339" spans="1:14" ht="20.25" x14ac:dyDescent="0.25">
      <c r="A5339" s="1">
        <v>56</v>
      </c>
      <c r="B5339" s="159"/>
      <c r="C5339" s="1" t="s">
        <v>4939</v>
      </c>
      <c r="D5339" s="1"/>
      <c r="E5339" s="1"/>
      <c r="F5339" s="1" t="s">
        <v>5800</v>
      </c>
      <c r="G5339" s="1">
        <v>24</v>
      </c>
      <c r="H5339" s="1" t="s">
        <v>19</v>
      </c>
      <c r="I5339" s="1" t="s">
        <v>3093</v>
      </c>
      <c r="J5339" s="1">
        <v>0.02</v>
      </c>
      <c r="K5339" s="1">
        <v>0.48</v>
      </c>
      <c r="L5339" s="42">
        <v>7</v>
      </c>
      <c r="M5339" s="237">
        <v>46280</v>
      </c>
      <c r="N5339" s="1" t="e">
        <f>VLOOKUP(B5339,MICRO!E:L,8,0)</f>
        <v>#N/A</v>
      </c>
    </row>
    <row r="5340" spans="1:14" ht="20.25" x14ac:dyDescent="0.25">
      <c r="A5340" s="1">
        <v>57</v>
      </c>
      <c r="B5340" s="159"/>
      <c r="C5340" s="1" t="s">
        <v>4939</v>
      </c>
      <c r="D5340" s="1"/>
      <c r="E5340" s="1"/>
      <c r="F5340" s="1" t="s">
        <v>5801</v>
      </c>
      <c r="G5340" s="1">
        <v>24</v>
      </c>
      <c r="H5340" s="1" t="s">
        <v>19</v>
      </c>
      <c r="I5340" s="1" t="s">
        <v>3093</v>
      </c>
      <c r="J5340" s="1">
        <v>0.01</v>
      </c>
      <c r="K5340" s="1">
        <v>0.24</v>
      </c>
      <c r="L5340" s="42">
        <v>7</v>
      </c>
      <c r="M5340" s="237">
        <v>46280</v>
      </c>
      <c r="N5340" s="1" t="e">
        <f>VLOOKUP(B5340,MICRO!E:L,8,0)</f>
        <v>#N/A</v>
      </c>
    </row>
    <row r="5341" spans="1:14" ht="20.25" x14ac:dyDescent="0.25">
      <c r="A5341" s="1">
        <v>58</v>
      </c>
      <c r="B5341" s="159"/>
      <c r="C5341" s="1" t="s">
        <v>4939</v>
      </c>
      <c r="D5341" s="1"/>
      <c r="E5341" s="1"/>
      <c r="F5341" s="1" t="s">
        <v>5802</v>
      </c>
      <c r="G5341" s="1">
        <v>16</v>
      </c>
      <c r="H5341" s="1" t="s">
        <v>19</v>
      </c>
      <c r="I5341" s="1" t="s">
        <v>3093</v>
      </c>
      <c r="J5341" s="1">
        <v>0.05</v>
      </c>
      <c r="K5341" s="1">
        <v>0.8</v>
      </c>
      <c r="L5341" s="42">
        <v>7</v>
      </c>
      <c r="M5341" s="237">
        <v>46280</v>
      </c>
      <c r="N5341" s="1" t="e">
        <f>VLOOKUP(B5341,MICRO!E:L,8,0)</f>
        <v>#N/A</v>
      </c>
    </row>
    <row r="5342" spans="1:14" ht="20.25" x14ac:dyDescent="0.25">
      <c r="A5342" s="1">
        <v>59</v>
      </c>
      <c r="B5342" s="159"/>
      <c r="C5342" s="1" t="s">
        <v>4939</v>
      </c>
      <c r="D5342" s="1"/>
      <c r="E5342" s="1"/>
      <c r="F5342" s="1" t="s">
        <v>5803</v>
      </c>
      <c r="G5342" s="1">
        <v>16</v>
      </c>
      <c r="H5342" s="1" t="s">
        <v>19</v>
      </c>
      <c r="I5342" s="1" t="s">
        <v>3093</v>
      </c>
      <c r="J5342" s="1">
        <v>0.02</v>
      </c>
      <c r="K5342" s="1">
        <v>0.32</v>
      </c>
      <c r="L5342" s="42">
        <v>7</v>
      </c>
      <c r="M5342" s="237">
        <v>46280</v>
      </c>
      <c r="N5342" s="1" t="e">
        <f>VLOOKUP(B5342,MICRO!E:L,8,0)</f>
        <v>#N/A</v>
      </c>
    </row>
    <row r="5343" spans="1:14" ht="20.25" x14ac:dyDescent="0.25">
      <c r="A5343" s="1">
        <v>60</v>
      </c>
      <c r="B5343" s="159"/>
      <c r="C5343" s="1" t="s">
        <v>4939</v>
      </c>
      <c r="D5343" s="1"/>
      <c r="E5343" s="1"/>
      <c r="F5343" s="1" t="s">
        <v>5804</v>
      </c>
      <c r="G5343" s="1">
        <v>16</v>
      </c>
      <c r="H5343" s="1" t="s">
        <v>19</v>
      </c>
      <c r="I5343" s="1" t="s">
        <v>3093</v>
      </c>
      <c r="J5343" s="1">
        <v>0.01</v>
      </c>
      <c r="K5343" s="1">
        <v>0.16</v>
      </c>
      <c r="L5343" s="42">
        <v>7</v>
      </c>
      <c r="M5343" s="237">
        <v>46280</v>
      </c>
      <c r="N5343" s="1" t="e">
        <f>VLOOKUP(B5343,MICRO!E:L,8,0)</f>
        <v>#N/A</v>
      </c>
    </row>
    <row r="5344" spans="1:14" ht="20.25" x14ac:dyDescent="0.25">
      <c r="A5344" s="1">
        <v>61</v>
      </c>
      <c r="B5344" s="159"/>
      <c r="C5344" s="1" t="s">
        <v>4944</v>
      </c>
      <c r="D5344" s="1"/>
      <c r="E5344" s="1"/>
      <c r="F5344" s="1" t="s">
        <v>5805</v>
      </c>
      <c r="G5344" s="1">
        <v>16</v>
      </c>
      <c r="H5344" s="1" t="s">
        <v>19</v>
      </c>
      <c r="I5344" s="1" t="s">
        <v>3093</v>
      </c>
      <c r="J5344" s="1">
        <v>0.05</v>
      </c>
      <c r="K5344" s="1">
        <v>0.8</v>
      </c>
      <c r="L5344" s="42">
        <v>7</v>
      </c>
      <c r="M5344" s="237">
        <v>46280</v>
      </c>
      <c r="N5344" s="1" t="e">
        <f>VLOOKUP(B5344,MICRO!E:L,8,0)</f>
        <v>#N/A</v>
      </c>
    </row>
    <row r="5345" spans="1:14" ht="20.25" x14ac:dyDescent="0.25">
      <c r="A5345" s="1">
        <v>62</v>
      </c>
      <c r="B5345" s="159"/>
      <c r="C5345" s="1" t="s">
        <v>4944</v>
      </c>
      <c r="D5345" s="1"/>
      <c r="E5345" s="1"/>
      <c r="F5345" s="1" t="s">
        <v>5806</v>
      </c>
      <c r="G5345" s="1">
        <v>16</v>
      </c>
      <c r="H5345" s="1" t="s">
        <v>19</v>
      </c>
      <c r="I5345" s="1" t="s">
        <v>3093</v>
      </c>
      <c r="J5345" s="1">
        <v>0.01</v>
      </c>
      <c r="K5345" s="1">
        <v>0.16</v>
      </c>
      <c r="L5345" s="42">
        <v>7</v>
      </c>
      <c r="M5345" s="237">
        <v>46280</v>
      </c>
      <c r="N5345" s="1" t="e">
        <f>VLOOKUP(B5345,MICRO!E:L,8,0)</f>
        <v>#N/A</v>
      </c>
    </row>
    <row r="5346" spans="1:14" ht="20.25" x14ac:dyDescent="0.25">
      <c r="A5346" s="1">
        <v>63</v>
      </c>
      <c r="B5346" s="159"/>
      <c r="C5346" s="1" t="s">
        <v>4936</v>
      </c>
      <c r="D5346" s="1"/>
      <c r="E5346" s="1"/>
      <c r="F5346" s="1" t="s">
        <v>5807</v>
      </c>
      <c r="G5346" s="1">
        <v>12</v>
      </c>
      <c r="H5346" s="1" t="s">
        <v>19</v>
      </c>
      <c r="I5346" s="1" t="s">
        <v>3140</v>
      </c>
      <c r="J5346" s="1">
        <v>0.01</v>
      </c>
      <c r="K5346" s="1">
        <v>0.12</v>
      </c>
      <c r="L5346" s="42">
        <v>7</v>
      </c>
      <c r="M5346" s="237">
        <v>46280</v>
      </c>
      <c r="N5346" s="1" t="e">
        <f>VLOOKUP(B5346,MICRO!E:L,8,0)</f>
        <v>#N/A</v>
      </c>
    </row>
    <row r="5347" spans="1:14" ht="20.25" x14ac:dyDescent="0.25">
      <c r="A5347" s="1">
        <v>64</v>
      </c>
      <c r="B5347" s="159"/>
      <c r="C5347" s="1" t="s">
        <v>4936</v>
      </c>
      <c r="D5347" s="1"/>
      <c r="E5347" s="1"/>
      <c r="F5347" s="1" t="s">
        <v>5808</v>
      </c>
      <c r="G5347" s="1">
        <v>12</v>
      </c>
      <c r="H5347" s="1" t="s">
        <v>19</v>
      </c>
      <c r="I5347" s="1" t="s">
        <v>3140</v>
      </c>
      <c r="J5347" s="1">
        <v>0.05</v>
      </c>
      <c r="K5347" s="1">
        <v>0.60000000000000009</v>
      </c>
      <c r="L5347" s="42">
        <v>7</v>
      </c>
      <c r="M5347" s="237">
        <v>46280</v>
      </c>
      <c r="N5347" s="1" t="e">
        <f>VLOOKUP(B5347,MICRO!E:L,8,0)</f>
        <v>#N/A</v>
      </c>
    </row>
    <row r="5348" spans="1:14" ht="20.25" x14ac:dyDescent="0.25">
      <c r="A5348" s="1">
        <v>65</v>
      </c>
      <c r="B5348" s="159"/>
      <c r="C5348" s="1" t="s">
        <v>4936</v>
      </c>
      <c r="D5348" s="1"/>
      <c r="E5348" s="1"/>
      <c r="F5348" s="1" t="s">
        <v>5809</v>
      </c>
      <c r="G5348" s="1">
        <v>12</v>
      </c>
      <c r="H5348" s="1" t="s">
        <v>19</v>
      </c>
      <c r="I5348" s="1" t="s">
        <v>3140</v>
      </c>
      <c r="J5348" s="1">
        <v>0.02</v>
      </c>
      <c r="K5348" s="1">
        <v>0.24</v>
      </c>
      <c r="L5348" s="42">
        <v>7</v>
      </c>
      <c r="M5348" s="237">
        <v>46280</v>
      </c>
      <c r="N5348" s="1" t="e">
        <f>VLOOKUP(B5348,MICRO!E:L,8,0)</f>
        <v>#N/A</v>
      </c>
    </row>
    <row r="5349" spans="1:14" ht="20.25" x14ac:dyDescent="0.25">
      <c r="A5349" s="1">
        <v>66</v>
      </c>
      <c r="B5349" s="159"/>
      <c r="C5349" s="1" t="s">
        <v>4920</v>
      </c>
      <c r="D5349" s="1"/>
      <c r="E5349" s="1"/>
      <c r="F5349" s="1" t="s">
        <v>5810</v>
      </c>
      <c r="G5349" s="1">
        <v>16</v>
      </c>
      <c r="H5349" s="1" t="s">
        <v>19</v>
      </c>
      <c r="I5349" s="1" t="s">
        <v>3093</v>
      </c>
      <c r="J5349" s="1">
        <v>0.05</v>
      </c>
      <c r="K5349" s="1">
        <v>0.8</v>
      </c>
      <c r="L5349" s="42">
        <v>7</v>
      </c>
      <c r="M5349" s="237">
        <v>46280</v>
      </c>
      <c r="N5349" s="1" t="e">
        <f>VLOOKUP(B5349,MICRO!E:L,8,0)</f>
        <v>#N/A</v>
      </c>
    </row>
    <row r="5350" spans="1:14" ht="20.25" x14ac:dyDescent="0.25">
      <c r="A5350" s="1">
        <v>67</v>
      </c>
      <c r="B5350" s="159"/>
      <c r="C5350" s="1" t="s">
        <v>4920</v>
      </c>
      <c r="D5350" s="1"/>
      <c r="E5350" s="1"/>
      <c r="F5350" s="1" t="s">
        <v>5811</v>
      </c>
      <c r="G5350" s="1">
        <v>16</v>
      </c>
      <c r="H5350" s="1" t="s">
        <v>19</v>
      </c>
      <c r="I5350" s="1" t="s">
        <v>3093</v>
      </c>
      <c r="J5350" s="1">
        <v>0.02</v>
      </c>
      <c r="K5350" s="1">
        <v>0.32</v>
      </c>
      <c r="L5350" s="42">
        <v>7</v>
      </c>
      <c r="M5350" s="237">
        <v>46280</v>
      </c>
      <c r="N5350" s="1" t="e">
        <f>VLOOKUP(B5350,MICRO!E:L,8,0)</f>
        <v>#N/A</v>
      </c>
    </row>
    <row r="5351" spans="1:14" ht="20.25" x14ac:dyDescent="0.25">
      <c r="A5351" s="1">
        <v>68</v>
      </c>
      <c r="B5351" s="159"/>
      <c r="C5351" s="1" t="s">
        <v>4920</v>
      </c>
      <c r="D5351" s="1"/>
      <c r="E5351" s="1"/>
      <c r="F5351" s="1" t="s">
        <v>5812</v>
      </c>
      <c r="G5351" s="1">
        <v>16</v>
      </c>
      <c r="H5351" s="1" t="s">
        <v>19</v>
      </c>
      <c r="I5351" s="1" t="s">
        <v>3093</v>
      </c>
      <c r="J5351" s="1">
        <v>0.01</v>
      </c>
      <c r="K5351" s="1">
        <v>0.16</v>
      </c>
      <c r="L5351" s="42">
        <v>7</v>
      </c>
      <c r="M5351" s="237">
        <v>46280</v>
      </c>
      <c r="N5351" s="1" t="e">
        <f>VLOOKUP(B5351,MICRO!E:L,8,0)</f>
        <v>#N/A</v>
      </c>
    </row>
    <row r="5352" spans="1:14" ht="20.25" x14ac:dyDescent="0.25">
      <c r="A5352" s="1">
        <v>69</v>
      </c>
      <c r="B5352" s="159"/>
      <c r="C5352" s="1" t="s">
        <v>5813</v>
      </c>
      <c r="D5352" s="1"/>
      <c r="E5352" s="1"/>
      <c r="F5352" s="1" t="s">
        <v>5814</v>
      </c>
      <c r="G5352" s="1">
        <v>142</v>
      </c>
      <c r="H5352" s="1" t="s">
        <v>19</v>
      </c>
      <c r="I5352" s="1" t="s">
        <v>3093</v>
      </c>
      <c r="J5352" s="1">
        <v>0.05</v>
      </c>
      <c r="K5352" s="1">
        <v>7.1000000000000005</v>
      </c>
      <c r="L5352" s="42">
        <v>7</v>
      </c>
      <c r="M5352" s="237">
        <v>46280</v>
      </c>
      <c r="N5352" s="1" t="e">
        <f>VLOOKUP(B5352,MICRO!E:L,8,0)</f>
        <v>#N/A</v>
      </c>
    </row>
    <row r="5353" spans="1:14" ht="20.25" x14ac:dyDescent="0.25">
      <c r="A5353" s="1">
        <v>70</v>
      </c>
      <c r="B5353" s="159"/>
      <c r="C5353" s="1" t="s">
        <v>5813</v>
      </c>
      <c r="D5353" s="1"/>
      <c r="E5353" s="1"/>
      <c r="F5353" s="1" t="s">
        <v>5815</v>
      </c>
      <c r="G5353" s="1">
        <v>112</v>
      </c>
      <c r="H5353" s="1" t="s">
        <v>19</v>
      </c>
      <c r="I5353" s="1" t="s">
        <v>3093</v>
      </c>
      <c r="J5353" s="1">
        <v>0.01</v>
      </c>
      <c r="K5353" s="1">
        <v>1.1200000000000001</v>
      </c>
      <c r="L5353" s="42">
        <v>7</v>
      </c>
      <c r="M5353" s="237">
        <v>46280</v>
      </c>
      <c r="N5353" s="1" t="e">
        <f>VLOOKUP(B5353,MICRO!E:L,8,0)</f>
        <v>#N/A</v>
      </c>
    </row>
    <row r="5354" spans="1:14" ht="20.25" x14ac:dyDescent="0.25">
      <c r="A5354" s="1">
        <v>71</v>
      </c>
      <c r="B5354" s="159"/>
      <c r="C5354" s="1" t="s">
        <v>4911</v>
      </c>
      <c r="D5354" s="1"/>
      <c r="E5354" s="1"/>
      <c r="F5354" s="1" t="s">
        <v>5816</v>
      </c>
      <c r="G5354" s="1">
        <v>14</v>
      </c>
      <c r="H5354" s="1" t="s">
        <v>19</v>
      </c>
      <c r="I5354" s="1" t="s">
        <v>3093</v>
      </c>
      <c r="J5354" s="1">
        <v>0.02</v>
      </c>
      <c r="K5354" s="1">
        <v>0.28000000000000003</v>
      </c>
      <c r="L5354" s="42">
        <v>7</v>
      </c>
      <c r="M5354" s="237">
        <v>46280</v>
      </c>
      <c r="N5354" s="1" t="e">
        <f>VLOOKUP(B5354,MICRO!E:L,8,0)</f>
        <v>#N/A</v>
      </c>
    </row>
    <row r="5355" spans="1:14" ht="20.25" x14ac:dyDescent="0.25">
      <c r="A5355" s="1">
        <v>72</v>
      </c>
      <c r="B5355" s="159"/>
      <c r="C5355" s="1" t="s">
        <v>4911</v>
      </c>
      <c r="D5355" s="1"/>
      <c r="E5355" s="1"/>
      <c r="F5355" s="1" t="s">
        <v>5817</v>
      </c>
      <c r="G5355" s="1">
        <v>14</v>
      </c>
      <c r="H5355" s="1" t="s">
        <v>19</v>
      </c>
      <c r="I5355" s="1" t="s">
        <v>3093</v>
      </c>
      <c r="J5355" s="1">
        <v>0.01</v>
      </c>
      <c r="K5355" s="1">
        <v>0.14000000000000001</v>
      </c>
      <c r="L5355" s="42">
        <v>7</v>
      </c>
      <c r="M5355" s="237">
        <v>46280</v>
      </c>
      <c r="N5355" s="1" t="e">
        <f>VLOOKUP(B5355,MICRO!E:L,8,0)</f>
        <v>#N/A</v>
      </c>
    </row>
    <row r="5356" spans="1:14" ht="20.25" x14ac:dyDescent="0.25">
      <c r="A5356" s="1">
        <v>73</v>
      </c>
      <c r="B5356" s="159"/>
      <c r="C5356" s="1" t="s">
        <v>4911</v>
      </c>
      <c r="D5356" s="1"/>
      <c r="E5356" s="1"/>
      <c r="F5356" s="1" t="s">
        <v>5818</v>
      </c>
      <c r="G5356" s="1">
        <v>56</v>
      </c>
      <c r="H5356" s="1" t="s">
        <v>19</v>
      </c>
      <c r="I5356" s="1" t="s">
        <v>3093</v>
      </c>
      <c r="J5356" s="1">
        <v>0.02</v>
      </c>
      <c r="K5356" s="1">
        <v>1.1200000000000001</v>
      </c>
      <c r="L5356" s="42">
        <v>7</v>
      </c>
      <c r="M5356" s="237">
        <v>46280</v>
      </c>
      <c r="N5356" s="1" t="e">
        <f>VLOOKUP(B5356,MICRO!E:L,8,0)</f>
        <v>#N/A</v>
      </c>
    </row>
    <row r="5357" spans="1:14" ht="20.25" x14ac:dyDescent="0.25">
      <c r="A5357" s="1">
        <v>74</v>
      </c>
      <c r="B5357" s="159"/>
      <c r="C5357" s="1" t="s">
        <v>4911</v>
      </c>
      <c r="D5357" s="1"/>
      <c r="E5357" s="1"/>
      <c r="F5357" s="1" t="s">
        <v>5819</v>
      </c>
      <c r="G5357" s="1">
        <v>56</v>
      </c>
      <c r="H5357" s="1" t="s">
        <v>19</v>
      </c>
      <c r="I5357" s="1" t="s">
        <v>3093</v>
      </c>
      <c r="J5357" s="1">
        <v>0.01</v>
      </c>
      <c r="K5357" s="1">
        <v>0.56000000000000005</v>
      </c>
      <c r="L5357" s="42">
        <v>7</v>
      </c>
      <c r="M5357" s="237">
        <v>46280</v>
      </c>
      <c r="N5357" s="1" t="e">
        <f>VLOOKUP(B5357,MICRO!E:L,8,0)</f>
        <v>#N/A</v>
      </c>
    </row>
    <row r="5358" spans="1:14" ht="20.25" x14ac:dyDescent="0.25">
      <c r="A5358" s="1">
        <v>75</v>
      </c>
      <c r="B5358" s="159"/>
      <c r="C5358" s="1" t="s">
        <v>4911</v>
      </c>
      <c r="D5358" s="1"/>
      <c r="E5358" s="1"/>
      <c r="F5358" s="1" t="s">
        <v>5820</v>
      </c>
      <c r="G5358" s="1">
        <v>56</v>
      </c>
      <c r="H5358" s="1" t="s">
        <v>19</v>
      </c>
      <c r="I5358" s="1" t="s">
        <v>3093</v>
      </c>
      <c r="J5358" s="1">
        <v>0.05</v>
      </c>
      <c r="K5358" s="1">
        <v>2.8000000000000003</v>
      </c>
      <c r="L5358" s="42">
        <v>7</v>
      </c>
      <c r="M5358" s="237">
        <v>46280</v>
      </c>
      <c r="N5358" s="1" t="e">
        <f>VLOOKUP(B5358,MICRO!E:L,8,0)</f>
        <v>#N/A</v>
      </c>
    </row>
    <row r="5359" spans="1:14" ht="20.25" x14ac:dyDescent="0.25">
      <c r="A5359" s="1">
        <v>76</v>
      </c>
      <c r="B5359" s="159"/>
      <c r="C5359" s="1" t="s">
        <v>4903</v>
      </c>
      <c r="D5359" s="1"/>
      <c r="E5359" s="1"/>
      <c r="F5359" s="1" t="s">
        <v>5821</v>
      </c>
      <c r="G5359" s="1">
        <v>12</v>
      </c>
      <c r="H5359" s="1" t="s">
        <v>19</v>
      </c>
      <c r="I5359" s="1" t="s">
        <v>3093</v>
      </c>
      <c r="J5359" s="1">
        <v>0.02</v>
      </c>
      <c r="K5359" s="1">
        <v>0.24</v>
      </c>
      <c r="L5359" s="42">
        <v>7</v>
      </c>
      <c r="M5359" s="237">
        <v>46280</v>
      </c>
      <c r="N5359" s="1" t="e">
        <f>VLOOKUP(B5359,MICRO!E:L,8,0)</f>
        <v>#N/A</v>
      </c>
    </row>
    <row r="5360" spans="1:14" ht="20.25" x14ac:dyDescent="0.25">
      <c r="A5360" s="1">
        <v>77</v>
      </c>
      <c r="B5360" s="159"/>
      <c r="C5360" s="1" t="s">
        <v>4903</v>
      </c>
      <c r="D5360" s="1"/>
      <c r="E5360" s="1"/>
      <c r="F5360" s="1" t="s">
        <v>5822</v>
      </c>
      <c r="G5360" s="1">
        <v>12</v>
      </c>
      <c r="H5360" s="1" t="s">
        <v>19</v>
      </c>
      <c r="I5360" s="1" t="s">
        <v>3093</v>
      </c>
      <c r="J5360" s="1">
        <v>0.01</v>
      </c>
      <c r="K5360" s="1">
        <v>0.12</v>
      </c>
      <c r="L5360" s="42">
        <v>7</v>
      </c>
      <c r="M5360" s="237">
        <v>46280</v>
      </c>
      <c r="N5360" s="1" t="e">
        <f>VLOOKUP(B5360,MICRO!E:L,8,0)</f>
        <v>#N/A</v>
      </c>
    </row>
    <row r="5361" spans="1:14" ht="20.25" x14ac:dyDescent="0.25">
      <c r="A5361" s="1">
        <v>78</v>
      </c>
      <c r="B5361" s="159"/>
      <c r="C5361" s="1" t="s">
        <v>4903</v>
      </c>
      <c r="D5361" s="1"/>
      <c r="E5361" s="1"/>
      <c r="F5361" s="1" t="s">
        <v>5823</v>
      </c>
      <c r="G5361" s="1">
        <v>96</v>
      </c>
      <c r="H5361" s="1" t="s">
        <v>19</v>
      </c>
      <c r="I5361" s="1" t="s">
        <v>3093</v>
      </c>
      <c r="J5361" s="1">
        <v>0.05</v>
      </c>
      <c r="K5361" s="1">
        <v>4.8000000000000007</v>
      </c>
      <c r="L5361" s="42">
        <v>7</v>
      </c>
      <c r="M5361" s="237">
        <v>46280</v>
      </c>
      <c r="N5361" s="1" t="e">
        <f>VLOOKUP(B5361,MICRO!E:L,8,0)</f>
        <v>#N/A</v>
      </c>
    </row>
    <row r="5362" spans="1:14" ht="20.25" x14ac:dyDescent="0.25">
      <c r="A5362" s="1">
        <v>79</v>
      </c>
      <c r="B5362" s="159"/>
      <c r="C5362" s="1" t="s">
        <v>4903</v>
      </c>
      <c r="D5362" s="1"/>
      <c r="E5362" s="1"/>
      <c r="F5362" s="1" t="s">
        <v>5824</v>
      </c>
      <c r="G5362" s="1">
        <v>96</v>
      </c>
      <c r="H5362" s="1" t="s">
        <v>19</v>
      </c>
      <c r="I5362" s="1" t="s">
        <v>3093</v>
      </c>
      <c r="J5362" s="1">
        <v>0.02</v>
      </c>
      <c r="K5362" s="1">
        <v>1.92</v>
      </c>
      <c r="L5362" s="42">
        <v>7</v>
      </c>
      <c r="M5362" s="237">
        <v>46280</v>
      </c>
      <c r="N5362" s="1" t="e">
        <f>VLOOKUP(B5362,MICRO!E:L,8,0)</f>
        <v>#N/A</v>
      </c>
    </row>
    <row r="5363" spans="1:14" ht="20.25" x14ac:dyDescent="0.25">
      <c r="A5363" s="1">
        <v>80</v>
      </c>
      <c r="B5363" s="159"/>
      <c r="C5363" s="1" t="s">
        <v>4878</v>
      </c>
      <c r="D5363" s="1"/>
      <c r="E5363" s="1"/>
      <c r="F5363" s="1" t="s">
        <v>5825</v>
      </c>
      <c r="G5363" s="1">
        <v>12</v>
      </c>
      <c r="H5363" s="1" t="s">
        <v>19</v>
      </c>
      <c r="I5363" s="1" t="s">
        <v>3093</v>
      </c>
      <c r="J5363" s="1">
        <v>0.02</v>
      </c>
      <c r="K5363" s="1">
        <v>0.24</v>
      </c>
      <c r="L5363" s="42">
        <v>7</v>
      </c>
      <c r="M5363" s="237">
        <v>46280</v>
      </c>
      <c r="N5363" s="1" t="e">
        <f>VLOOKUP(B5363,MICRO!E:L,8,0)</f>
        <v>#N/A</v>
      </c>
    </row>
    <row r="5364" spans="1:14" ht="20.25" x14ac:dyDescent="0.25">
      <c r="A5364" s="1">
        <v>81</v>
      </c>
      <c r="B5364" s="159"/>
      <c r="C5364" s="1" t="s">
        <v>4878</v>
      </c>
      <c r="D5364" s="1"/>
      <c r="E5364" s="1"/>
      <c r="F5364" s="1" t="s">
        <v>5826</v>
      </c>
      <c r="G5364" s="1">
        <v>12</v>
      </c>
      <c r="H5364" s="1" t="s">
        <v>19</v>
      </c>
      <c r="I5364" s="1" t="s">
        <v>3093</v>
      </c>
      <c r="J5364" s="1">
        <v>0.01</v>
      </c>
      <c r="K5364" s="1">
        <v>0.12</v>
      </c>
      <c r="L5364" s="42">
        <v>7</v>
      </c>
      <c r="M5364" s="237">
        <v>46280</v>
      </c>
      <c r="N5364" s="1" t="e">
        <f>VLOOKUP(B5364,MICRO!E:L,8,0)</f>
        <v>#N/A</v>
      </c>
    </row>
    <row r="5365" spans="1:14" ht="20.25" x14ac:dyDescent="0.25">
      <c r="A5365" s="1">
        <v>82</v>
      </c>
      <c r="B5365" s="159"/>
      <c r="C5365" s="1" t="s">
        <v>4878</v>
      </c>
      <c r="D5365" s="1"/>
      <c r="E5365" s="1"/>
      <c r="F5365" s="1" t="s">
        <v>5827</v>
      </c>
      <c r="G5365" s="1">
        <v>48</v>
      </c>
      <c r="H5365" s="1" t="s">
        <v>19</v>
      </c>
      <c r="I5365" s="1" t="s">
        <v>3093</v>
      </c>
      <c r="J5365" s="1">
        <v>0.02</v>
      </c>
      <c r="K5365" s="1">
        <v>0.96</v>
      </c>
      <c r="L5365" s="42">
        <v>7</v>
      </c>
      <c r="M5365" s="237">
        <v>46280</v>
      </c>
      <c r="N5365" s="1" t="e">
        <f>VLOOKUP(B5365,MICRO!E:L,8,0)</f>
        <v>#N/A</v>
      </c>
    </row>
    <row r="5366" spans="1:14" ht="20.25" x14ac:dyDescent="0.25">
      <c r="A5366" s="1">
        <v>83</v>
      </c>
      <c r="B5366" s="159"/>
      <c r="C5366" s="1" t="s">
        <v>4878</v>
      </c>
      <c r="D5366" s="1"/>
      <c r="E5366" s="1"/>
      <c r="F5366" s="1" t="s">
        <v>5828</v>
      </c>
      <c r="G5366" s="1">
        <v>48</v>
      </c>
      <c r="H5366" s="1" t="s">
        <v>19</v>
      </c>
      <c r="I5366" s="1" t="s">
        <v>3093</v>
      </c>
      <c r="J5366" s="1">
        <v>0.01</v>
      </c>
      <c r="K5366" s="1">
        <v>0.48</v>
      </c>
      <c r="L5366" s="42">
        <v>7</v>
      </c>
      <c r="M5366" s="237">
        <v>46280</v>
      </c>
      <c r="N5366" s="1" t="e">
        <f>VLOOKUP(B5366,MICRO!E:L,8,0)</f>
        <v>#N/A</v>
      </c>
    </row>
    <row r="5367" spans="1:14" ht="20.25" x14ac:dyDescent="0.25">
      <c r="A5367" s="1">
        <v>84</v>
      </c>
      <c r="B5367" s="159"/>
      <c r="C5367" s="1" t="s">
        <v>4878</v>
      </c>
      <c r="D5367" s="1"/>
      <c r="E5367" s="1"/>
      <c r="F5367" s="1" t="s">
        <v>5829</v>
      </c>
      <c r="G5367" s="1">
        <v>48</v>
      </c>
      <c r="H5367" s="1" t="s">
        <v>19</v>
      </c>
      <c r="I5367" s="1" t="s">
        <v>3093</v>
      </c>
      <c r="J5367" s="1">
        <v>0.05</v>
      </c>
      <c r="K5367" s="1">
        <v>2.4000000000000004</v>
      </c>
      <c r="L5367" s="42">
        <v>7</v>
      </c>
      <c r="M5367" s="237">
        <v>46280</v>
      </c>
      <c r="N5367" s="1" t="e">
        <f>VLOOKUP(B5367,MICRO!E:L,8,0)</f>
        <v>#N/A</v>
      </c>
    </row>
    <row r="5368" spans="1:14" ht="20.25" x14ac:dyDescent="0.25">
      <c r="A5368" s="1">
        <v>85</v>
      </c>
      <c r="B5368" s="159"/>
      <c r="C5368" s="1" t="s">
        <v>4869</v>
      </c>
      <c r="D5368" s="1"/>
      <c r="E5368" s="1"/>
      <c r="F5368" s="1" t="s">
        <v>5830</v>
      </c>
      <c r="G5368" s="1">
        <v>70</v>
      </c>
      <c r="H5368" s="1" t="s">
        <v>19</v>
      </c>
      <c r="I5368" s="1" t="s">
        <v>3093</v>
      </c>
      <c r="J5368" s="1">
        <v>0.05</v>
      </c>
      <c r="K5368" s="1">
        <v>3.5</v>
      </c>
      <c r="L5368" s="42">
        <v>7</v>
      </c>
      <c r="M5368" s="237">
        <v>46280</v>
      </c>
      <c r="N5368" s="1" t="e">
        <f>VLOOKUP(B5368,MICRO!E:L,8,0)</f>
        <v>#N/A</v>
      </c>
    </row>
    <row r="5369" spans="1:14" ht="20.25" x14ac:dyDescent="0.25">
      <c r="A5369" s="1">
        <v>86</v>
      </c>
      <c r="B5369" s="159"/>
      <c r="C5369" s="1" t="s">
        <v>4869</v>
      </c>
      <c r="D5369" s="1"/>
      <c r="E5369" s="1"/>
      <c r="F5369" s="1" t="s">
        <v>5831</v>
      </c>
      <c r="G5369" s="1">
        <v>70</v>
      </c>
      <c r="H5369" s="1" t="s">
        <v>19</v>
      </c>
      <c r="I5369" s="1" t="s">
        <v>3093</v>
      </c>
      <c r="J5369" s="1">
        <v>0.02</v>
      </c>
      <c r="K5369" s="1">
        <v>1.4000000000000001</v>
      </c>
      <c r="L5369" s="42">
        <v>7</v>
      </c>
      <c r="M5369" s="237">
        <v>46280</v>
      </c>
      <c r="N5369" s="1" t="e">
        <f>VLOOKUP(B5369,MICRO!E:L,8,0)</f>
        <v>#N/A</v>
      </c>
    </row>
    <row r="5370" spans="1:14" ht="20.25" x14ac:dyDescent="0.25">
      <c r="A5370" s="1">
        <v>87</v>
      </c>
      <c r="B5370" s="159"/>
      <c r="C5370" s="1" t="s">
        <v>4869</v>
      </c>
      <c r="D5370" s="1"/>
      <c r="E5370" s="1"/>
      <c r="F5370" s="1" t="s">
        <v>5832</v>
      </c>
      <c r="G5370" s="1">
        <v>70</v>
      </c>
      <c r="H5370" s="1" t="s">
        <v>19</v>
      </c>
      <c r="I5370" s="1" t="s">
        <v>3093</v>
      </c>
      <c r="J5370" s="1">
        <v>0.01</v>
      </c>
      <c r="K5370" s="1">
        <v>0.70000000000000007</v>
      </c>
      <c r="L5370" s="42">
        <v>7</v>
      </c>
      <c r="M5370" s="237">
        <v>46280</v>
      </c>
      <c r="N5370" s="1" t="e">
        <f>VLOOKUP(B5370,MICRO!E:L,8,0)</f>
        <v>#N/A</v>
      </c>
    </row>
    <row r="5371" spans="1:14" ht="20.25" x14ac:dyDescent="0.25">
      <c r="A5371" s="1">
        <v>88</v>
      </c>
      <c r="B5371" s="159"/>
      <c r="C5371" s="1" t="s">
        <v>4866</v>
      </c>
      <c r="D5371" s="1"/>
      <c r="E5371" s="1"/>
      <c r="F5371" s="1" t="s">
        <v>5833</v>
      </c>
      <c r="G5371" s="1">
        <v>4</v>
      </c>
      <c r="H5371" s="1" t="s">
        <v>19</v>
      </c>
      <c r="I5371" s="1" t="s">
        <v>3093</v>
      </c>
      <c r="J5371" s="1">
        <v>0.05</v>
      </c>
      <c r="K5371" s="1">
        <v>0.2</v>
      </c>
      <c r="L5371" s="42">
        <v>7</v>
      </c>
      <c r="M5371" s="237">
        <v>46280</v>
      </c>
      <c r="N5371" s="1" t="e">
        <f>VLOOKUP(B5371,MICRO!E:L,8,0)</f>
        <v>#N/A</v>
      </c>
    </row>
    <row r="5372" spans="1:14" ht="20.25" x14ac:dyDescent="0.25">
      <c r="A5372" s="1">
        <v>89</v>
      </c>
      <c r="B5372" s="159"/>
      <c r="C5372" s="1" t="s">
        <v>4866</v>
      </c>
      <c r="D5372" s="1"/>
      <c r="E5372" s="1"/>
      <c r="F5372" s="1" t="s">
        <v>5834</v>
      </c>
      <c r="G5372" s="1">
        <v>4</v>
      </c>
      <c r="H5372" s="1" t="s">
        <v>19</v>
      </c>
      <c r="I5372" s="1" t="s">
        <v>3093</v>
      </c>
      <c r="J5372" s="1">
        <v>0.02</v>
      </c>
      <c r="K5372" s="1">
        <v>0.08</v>
      </c>
      <c r="L5372" s="42">
        <v>7</v>
      </c>
      <c r="M5372" s="237">
        <v>46280</v>
      </c>
      <c r="N5372" s="1" t="e">
        <f>VLOOKUP(B5372,MICRO!E:L,8,0)</f>
        <v>#N/A</v>
      </c>
    </row>
    <row r="5373" spans="1:14" ht="20.25" x14ac:dyDescent="0.25">
      <c r="A5373" s="1">
        <v>90</v>
      </c>
      <c r="B5373" s="159"/>
      <c r="C5373" s="1" t="s">
        <v>4866</v>
      </c>
      <c r="D5373" s="1"/>
      <c r="E5373" s="1"/>
      <c r="F5373" s="1" t="s">
        <v>5835</v>
      </c>
      <c r="G5373" s="1">
        <v>28</v>
      </c>
      <c r="H5373" s="1" t="s">
        <v>19</v>
      </c>
      <c r="I5373" s="1" t="s">
        <v>3093</v>
      </c>
      <c r="J5373" s="1">
        <v>0.02</v>
      </c>
      <c r="K5373" s="1">
        <v>0.56000000000000005</v>
      </c>
      <c r="L5373" s="42">
        <v>7</v>
      </c>
      <c r="M5373" s="237">
        <v>46280</v>
      </c>
      <c r="N5373" s="1" t="e">
        <f>VLOOKUP(B5373,MICRO!E:L,8,0)</f>
        <v>#N/A</v>
      </c>
    </row>
    <row r="5374" spans="1:14" ht="20.25" x14ac:dyDescent="0.25">
      <c r="A5374" s="1">
        <v>91</v>
      </c>
      <c r="B5374" s="159"/>
      <c r="C5374" s="1" t="s">
        <v>4866</v>
      </c>
      <c r="D5374" s="1"/>
      <c r="E5374" s="1"/>
      <c r="F5374" s="1" t="s">
        <v>5836</v>
      </c>
      <c r="G5374" s="1">
        <v>4</v>
      </c>
      <c r="H5374" s="1" t="s">
        <v>19</v>
      </c>
      <c r="I5374" s="1" t="s">
        <v>3093</v>
      </c>
      <c r="J5374" s="1">
        <v>0.01</v>
      </c>
      <c r="K5374" s="1">
        <v>0.04</v>
      </c>
      <c r="L5374" s="42">
        <v>7</v>
      </c>
      <c r="M5374" s="237">
        <v>46280</v>
      </c>
      <c r="N5374" s="1" t="e">
        <f>VLOOKUP(B5374,MICRO!E:L,8,0)</f>
        <v>#N/A</v>
      </c>
    </row>
    <row r="5375" spans="1:14" ht="20.25" x14ac:dyDescent="0.25">
      <c r="A5375" s="1">
        <v>92</v>
      </c>
      <c r="B5375" s="159"/>
      <c r="C5375" s="1" t="s">
        <v>4866</v>
      </c>
      <c r="D5375" s="1"/>
      <c r="E5375" s="1"/>
      <c r="F5375" s="1" t="s">
        <v>5837</v>
      </c>
      <c r="G5375" s="1">
        <v>28</v>
      </c>
      <c r="H5375" s="1" t="s">
        <v>19</v>
      </c>
      <c r="I5375" s="1" t="s">
        <v>3093</v>
      </c>
      <c r="J5375" s="1">
        <v>0.01</v>
      </c>
      <c r="K5375" s="1">
        <v>0.28000000000000003</v>
      </c>
      <c r="L5375" s="42">
        <v>7</v>
      </c>
      <c r="M5375" s="237">
        <v>46280</v>
      </c>
      <c r="N5375" s="1" t="e">
        <f>VLOOKUP(B5375,MICRO!E:L,8,0)</f>
        <v>#N/A</v>
      </c>
    </row>
    <row r="5376" spans="1:14" ht="20.25" x14ac:dyDescent="0.25">
      <c r="A5376" s="1">
        <v>93</v>
      </c>
      <c r="B5376" s="159"/>
      <c r="C5376" s="1" t="s">
        <v>5838</v>
      </c>
      <c r="D5376" s="1"/>
      <c r="E5376" s="1"/>
      <c r="F5376" s="1" t="s">
        <v>5839</v>
      </c>
      <c r="G5376" s="1">
        <v>16</v>
      </c>
      <c r="H5376" s="1" t="s">
        <v>19</v>
      </c>
      <c r="I5376" s="1" t="s">
        <v>3045</v>
      </c>
      <c r="J5376" s="1">
        <v>0.05</v>
      </c>
      <c r="K5376" s="1">
        <v>0.8</v>
      </c>
      <c r="L5376" s="42">
        <v>7</v>
      </c>
      <c r="M5376" s="237">
        <v>46280</v>
      </c>
      <c r="N5376" s="1" t="e">
        <f>VLOOKUP(B5376,MICRO!E:L,8,0)</f>
        <v>#N/A</v>
      </c>
    </row>
    <row r="5377" spans="1:14" ht="20.25" x14ac:dyDescent="0.25">
      <c r="A5377" s="1">
        <v>94</v>
      </c>
      <c r="B5377" s="159"/>
      <c r="C5377" s="1" t="s">
        <v>4972</v>
      </c>
      <c r="D5377" s="1"/>
      <c r="E5377" s="1"/>
      <c r="F5377" s="1" t="s">
        <v>5840</v>
      </c>
      <c r="G5377" s="1">
        <v>16</v>
      </c>
      <c r="H5377" s="1" t="s">
        <v>19</v>
      </c>
      <c r="I5377" s="1" t="s">
        <v>3045</v>
      </c>
      <c r="J5377" s="1">
        <v>0.02</v>
      </c>
      <c r="K5377" s="1">
        <v>0.32</v>
      </c>
      <c r="L5377" s="42">
        <v>7</v>
      </c>
      <c r="M5377" s="237">
        <v>46280</v>
      </c>
      <c r="N5377" s="1" t="e">
        <f>VLOOKUP(B5377,MICRO!E:L,8,0)</f>
        <v>#N/A</v>
      </c>
    </row>
    <row r="5378" spans="1:14" ht="20.25" x14ac:dyDescent="0.25">
      <c r="A5378" s="1">
        <v>95</v>
      </c>
      <c r="B5378" s="159"/>
      <c r="C5378" s="1" t="s">
        <v>4972</v>
      </c>
      <c r="D5378" s="1"/>
      <c r="E5378" s="1"/>
      <c r="F5378" s="1" t="s">
        <v>5841</v>
      </c>
      <c r="G5378" s="1">
        <v>16</v>
      </c>
      <c r="H5378" s="1" t="s">
        <v>19</v>
      </c>
      <c r="I5378" s="1" t="s">
        <v>3045</v>
      </c>
      <c r="J5378" s="1">
        <v>0.01</v>
      </c>
      <c r="K5378" s="1">
        <v>0.16</v>
      </c>
      <c r="L5378" s="42">
        <v>7</v>
      </c>
      <c r="M5378" s="237">
        <v>46280</v>
      </c>
      <c r="N5378" s="1" t="e">
        <f>VLOOKUP(B5378,MICRO!E:L,8,0)</f>
        <v>#N/A</v>
      </c>
    </row>
    <row r="5379" spans="1:14" ht="20.25" x14ac:dyDescent="0.25">
      <c r="A5379" s="1">
        <v>96</v>
      </c>
      <c r="B5379" s="159"/>
      <c r="C5379" s="1" t="s">
        <v>4993</v>
      </c>
      <c r="D5379" s="1"/>
      <c r="E5379" s="1"/>
      <c r="F5379" s="1" t="s">
        <v>5842</v>
      </c>
      <c r="G5379" s="1">
        <v>16</v>
      </c>
      <c r="H5379" s="1" t="s">
        <v>19</v>
      </c>
      <c r="I5379" s="1" t="s">
        <v>3093</v>
      </c>
      <c r="J5379" s="1">
        <v>0.05</v>
      </c>
      <c r="K5379" s="1">
        <v>0.8</v>
      </c>
      <c r="L5379" s="42">
        <v>7</v>
      </c>
      <c r="M5379" s="237">
        <v>46280</v>
      </c>
      <c r="N5379" s="1" t="e">
        <f>VLOOKUP(B5379,MICRO!E:L,8,0)</f>
        <v>#N/A</v>
      </c>
    </row>
    <row r="5380" spans="1:14" ht="20.25" x14ac:dyDescent="0.25">
      <c r="A5380" s="1">
        <v>97</v>
      </c>
      <c r="B5380" s="159"/>
      <c r="C5380" s="1" t="s">
        <v>4993</v>
      </c>
      <c r="D5380" s="1"/>
      <c r="E5380" s="1"/>
      <c r="F5380" s="1" t="s">
        <v>5843</v>
      </c>
      <c r="G5380" s="1">
        <v>16</v>
      </c>
      <c r="H5380" s="1" t="s">
        <v>19</v>
      </c>
      <c r="I5380" s="1" t="s">
        <v>3093</v>
      </c>
      <c r="J5380" s="1">
        <v>0.02</v>
      </c>
      <c r="K5380" s="1">
        <v>0.32</v>
      </c>
      <c r="L5380" s="42">
        <v>7</v>
      </c>
      <c r="M5380" s="237">
        <v>46280</v>
      </c>
      <c r="N5380" s="1" t="e">
        <f>VLOOKUP(B5380,MICRO!E:L,8,0)</f>
        <v>#N/A</v>
      </c>
    </row>
    <row r="5381" spans="1:14" ht="20.25" x14ac:dyDescent="0.25">
      <c r="A5381" s="1">
        <v>98</v>
      </c>
      <c r="B5381" s="159"/>
      <c r="C5381" s="1" t="s">
        <v>4993</v>
      </c>
      <c r="D5381" s="1"/>
      <c r="E5381" s="1"/>
      <c r="F5381" s="1" t="s">
        <v>5844</v>
      </c>
      <c r="G5381" s="1">
        <v>16</v>
      </c>
      <c r="H5381" s="1" t="s">
        <v>19</v>
      </c>
      <c r="I5381" s="1" t="s">
        <v>3093</v>
      </c>
      <c r="J5381" s="1">
        <v>0.01</v>
      </c>
      <c r="K5381" s="1">
        <v>0.16</v>
      </c>
      <c r="L5381" s="42">
        <v>7</v>
      </c>
      <c r="M5381" s="237">
        <v>46280</v>
      </c>
      <c r="N5381" s="1" t="e">
        <f>VLOOKUP(B5381,MICRO!E:L,8,0)</f>
        <v>#N/A</v>
      </c>
    </row>
    <row r="5382" spans="1:14" ht="20.25" x14ac:dyDescent="0.25">
      <c r="A5382" s="1">
        <v>99</v>
      </c>
      <c r="B5382" s="159"/>
      <c r="C5382" s="1" t="s">
        <v>5001</v>
      </c>
      <c r="D5382" s="1"/>
      <c r="E5382" s="1"/>
      <c r="F5382" s="1" t="s">
        <v>5845</v>
      </c>
      <c r="G5382" s="1">
        <v>8</v>
      </c>
      <c r="H5382" s="1" t="s">
        <v>19</v>
      </c>
      <c r="I5382" s="1" t="s">
        <v>3093</v>
      </c>
      <c r="J5382" s="1">
        <v>0.05</v>
      </c>
      <c r="K5382" s="1">
        <v>0.4</v>
      </c>
      <c r="L5382" s="42">
        <v>7</v>
      </c>
      <c r="M5382" s="237">
        <v>46280</v>
      </c>
      <c r="N5382" s="1" t="e">
        <f>VLOOKUP(B5382,MICRO!E:L,8,0)</f>
        <v>#N/A</v>
      </c>
    </row>
    <row r="5383" spans="1:14" ht="20.25" x14ac:dyDescent="0.25">
      <c r="A5383" s="1">
        <v>100</v>
      </c>
      <c r="B5383" s="159"/>
      <c r="C5383" s="1" t="s">
        <v>5001</v>
      </c>
      <c r="D5383" s="1"/>
      <c r="E5383" s="1"/>
      <c r="F5383" s="1" t="s">
        <v>5846</v>
      </c>
      <c r="G5383" s="1">
        <v>8</v>
      </c>
      <c r="H5383" s="1" t="s">
        <v>19</v>
      </c>
      <c r="I5383" s="1" t="s">
        <v>3093</v>
      </c>
      <c r="J5383" s="1">
        <v>0.02</v>
      </c>
      <c r="K5383" s="1">
        <v>0.16</v>
      </c>
      <c r="L5383" s="42">
        <v>7</v>
      </c>
      <c r="M5383" s="237">
        <v>46280</v>
      </c>
      <c r="N5383" s="1" t="e">
        <f>VLOOKUP(B5383,MICRO!E:L,8,0)</f>
        <v>#N/A</v>
      </c>
    </row>
    <row r="5384" spans="1:14" ht="20.25" x14ac:dyDescent="0.25">
      <c r="A5384" s="1">
        <v>101</v>
      </c>
      <c r="B5384" s="159"/>
      <c r="C5384" s="1" t="s">
        <v>5001</v>
      </c>
      <c r="D5384" s="1"/>
      <c r="E5384" s="1"/>
      <c r="F5384" s="1" t="s">
        <v>5847</v>
      </c>
      <c r="G5384" s="1">
        <v>8</v>
      </c>
      <c r="H5384" s="1" t="s">
        <v>19</v>
      </c>
      <c r="I5384" s="1" t="s">
        <v>3093</v>
      </c>
      <c r="J5384" s="1">
        <v>0.01</v>
      </c>
      <c r="K5384" s="1">
        <v>0.08</v>
      </c>
      <c r="L5384" s="42">
        <v>7</v>
      </c>
      <c r="M5384" s="237">
        <v>46280</v>
      </c>
      <c r="N5384" s="1" t="e">
        <f>VLOOKUP(B5384,MICRO!E:L,8,0)</f>
        <v>#N/A</v>
      </c>
    </row>
    <row r="5385" spans="1:14" ht="20.25" x14ac:dyDescent="0.25">
      <c r="A5385" s="1">
        <v>102</v>
      </c>
      <c r="B5385" s="159"/>
      <c r="C5385" s="1" t="s">
        <v>4869</v>
      </c>
      <c r="D5385" s="1"/>
      <c r="E5385" s="1"/>
      <c r="F5385" s="1" t="s">
        <v>5848</v>
      </c>
      <c r="G5385" s="1">
        <v>12</v>
      </c>
      <c r="H5385" s="1" t="s">
        <v>19</v>
      </c>
      <c r="I5385" s="1" t="s">
        <v>3093</v>
      </c>
      <c r="J5385" s="1">
        <v>0.02</v>
      </c>
      <c r="K5385" s="1">
        <v>0.24</v>
      </c>
      <c r="L5385" s="42">
        <v>7</v>
      </c>
      <c r="M5385" s="237">
        <v>46280</v>
      </c>
      <c r="N5385" s="1" t="e">
        <f>VLOOKUP(B5385,MICRO!E:L,8,0)</f>
        <v>#N/A</v>
      </c>
    </row>
    <row r="5386" spans="1:14" ht="20.25" x14ac:dyDescent="0.25">
      <c r="A5386" s="1">
        <v>103</v>
      </c>
      <c r="B5386" s="159"/>
      <c r="C5386" s="1" t="s">
        <v>4869</v>
      </c>
      <c r="D5386" s="1"/>
      <c r="E5386" s="1"/>
      <c r="F5386" s="1" t="s">
        <v>5849</v>
      </c>
      <c r="G5386" s="1">
        <v>12</v>
      </c>
      <c r="H5386" s="1" t="s">
        <v>19</v>
      </c>
      <c r="I5386" s="1" t="s">
        <v>3093</v>
      </c>
      <c r="J5386" s="1">
        <v>0.01</v>
      </c>
      <c r="K5386" s="1">
        <v>0.12</v>
      </c>
      <c r="L5386" s="42">
        <v>7</v>
      </c>
      <c r="M5386" s="237">
        <v>46280</v>
      </c>
      <c r="N5386" s="1" t="e">
        <f>VLOOKUP(B5386,MICRO!E:L,8,0)</f>
        <v>#N/A</v>
      </c>
    </row>
    <row r="5387" spans="1:14" ht="20.25" x14ac:dyDescent="0.25">
      <c r="A5387" s="1">
        <v>104</v>
      </c>
      <c r="B5387" s="159"/>
      <c r="C5387" s="1" t="s">
        <v>3055</v>
      </c>
      <c r="D5387" s="1"/>
      <c r="E5387" s="1"/>
      <c r="F5387" s="1" t="s">
        <v>5850</v>
      </c>
      <c r="G5387" s="1">
        <v>16</v>
      </c>
      <c r="H5387" s="1" t="s">
        <v>19</v>
      </c>
      <c r="I5387" s="1" t="s">
        <v>3034</v>
      </c>
      <c r="J5387" s="1">
        <v>0.05</v>
      </c>
      <c r="K5387" s="1">
        <v>0.8</v>
      </c>
      <c r="L5387" s="42">
        <v>7</v>
      </c>
      <c r="M5387" s="237">
        <v>46280</v>
      </c>
      <c r="N5387" s="1" t="e">
        <f>VLOOKUP(B5387,MICRO!E:L,8,0)</f>
        <v>#N/A</v>
      </c>
    </row>
    <row r="5388" spans="1:14" ht="20.25" x14ac:dyDescent="0.25">
      <c r="A5388" s="1">
        <v>105</v>
      </c>
      <c r="B5388" s="159"/>
      <c r="C5388" s="1" t="s">
        <v>3055</v>
      </c>
      <c r="D5388" s="1"/>
      <c r="E5388" s="1"/>
      <c r="F5388" s="1" t="s">
        <v>5851</v>
      </c>
      <c r="G5388" s="1">
        <v>32</v>
      </c>
      <c r="H5388" s="1" t="s">
        <v>19</v>
      </c>
      <c r="I5388" s="1" t="s">
        <v>3034</v>
      </c>
      <c r="J5388" s="1">
        <v>0.02</v>
      </c>
      <c r="K5388" s="1">
        <v>0.64</v>
      </c>
      <c r="L5388" s="42">
        <v>7</v>
      </c>
      <c r="M5388" s="237">
        <v>46280</v>
      </c>
      <c r="N5388" s="1" t="e">
        <f>VLOOKUP(B5388,MICRO!E:L,8,0)</f>
        <v>#N/A</v>
      </c>
    </row>
    <row r="5389" spans="1:14" ht="20.25" x14ac:dyDescent="0.25">
      <c r="A5389" s="1">
        <v>106</v>
      </c>
      <c r="B5389" s="159"/>
      <c r="C5389" s="1" t="s">
        <v>3055</v>
      </c>
      <c r="D5389" s="1"/>
      <c r="E5389" s="1"/>
      <c r="F5389" s="1" t="s">
        <v>5852</v>
      </c>
      <c r="G5389" s="1">
        <v>32</v>
      </c>
      <c r="H5389" s="1" t="s">
        <v>19</v>
      </c>
      <c r="I5389" s="1" t="s">
        <v>3034</v>
      </c>
      <c r="J5389" s="1">
        <v>0.01</v>
      </c>
      <c r="K5389" s="1">
        <v>0.32</v>
      </c>
      <c r="L5389" s="42">
        <v>7</v>
      </c>
      <c r="M5389" s="237">
        <v>46280</v>
      </c>
      <c r="N5389" s="1" t="e">
        <f>VLOOKUP(B5389,MICRO!E:L,8,0)</f>
        <v>#N/A</v>
      </c>
    </row>
    <row r="5390" spans="1:14" ht="20.25" x14ac:dyDescent="0.25">
      <c r="A5390" s="1">
        <v>107</v>
      </c>
      <c r="B5390" s="159"/>
      <c r="C5390" s="1" t="s">
        <v>3055</v>
      </c>
      <c r="D5390" s="1"/>
      <c r="E5390" s="1"/>
      <c r="F5390" s="1" t="s">
        <v>5853</v>
      </c>
      <c r="G5390" s="1">
        <v>16</v>
      </c>
      <c r="H5390" s="1" t="s">
        <v>19</v>
      </c>
      <c r="I5390" s="1" t="s">
        <v>3034</v>
      </c>
      <c r="J5390" s="1">
        <v>0.05</v>
      </c>
      <c r="K5390" s="1">
        <v>0.8</v>
      </c>
      <c r="L5390" s="42">
        <v>7</v>
      </c>
      <c r="M5390" s="237">
        <v>46280</v>
      </c>
      <c r="N5390" s="1" t="e">
        <f>VLOOKUP(B5390,MICRO!E:L,8,0)</f>
        <v>#N/A</v>
      </c>
    </row>
    <row r="5391" spans="1:14" ht="20.25" x14ac:dyDescent="0.25">
      <c r="A5391" s="1">
        <v>108</v>
      </c>
      <c r="B5391" s="159"/>
      <c r="C5391" s="1" t="s">
        <v>3055</v>
      </c>
      <c r="D5391" s="1"/>
      <c r="E5391" s="1"/>
      <c r="F5391" s="1" t="s">
        <v>5854</v>
      </c>
      <c r="G5391" s="1">
        <v>4</v>
      </c>
      <c r="H5391" s="1" t="s">
        <v>19</v>
      </c>
      <c r="I5391" s="1" t="s">
        <v>3034</v>
      </c>
      <c r="J5391" s="1">
        <v>0.01</v>
      </c>
      <c r="K5391" s="1">
        <v>0.04</v>
      </c>
      <c r="L5391" s="42">
        <v>7</v>
      </c>
      <c r="M5391" s="237">
        <v>46280</v>
      </c>
      <c r="N5391" s="1" t="e">
        <f>VLOOKUP(B5391,MICRO!E:L,8,0)</f>
        <v>#N/A</v>
      </c>
    </row>
    <row r="5392" spans="1:14" ht="20.25" x14ac:dyDescent="0.25">
      <c r="A5392" s="1">
        <v>109</v>
      </c>
      <c r="B5392" s="159"/>
      <c r="C5392" s="1" t="s">
        <v>3055</v>
      </c>
      <c r="D5392" s="1"/>
      <c r="E5392" s="1"/>
      <c r="F5392" s="1" t="s">
        <v>5855</v>
      </c>
      <c r="G5392" s="1">
        <v>4</v>
      </c>
      <c r="H5392" s="1" t="s">
        <v>19</v>
      </c>
      <c r="I5392" s="1" t="s">
        <v>3034</v>
      </c>
      <c r="J5392" s="1">
        <v>0.01</v>
      </c>
      <c r="K5392" s="1">
        <v>0.04</v>
      </c>
      <c r="L5392" s="42">
        <v>7</v>
      </c>
      <c r="M5392" s="237">
        <v>46280</v>
      </c>
      <c r="N5392" s="1" t="e">
        <f>VLOOKUP(B5392,MICRO!E:L,8,0)</f>
        <v>#N/A</v>
      </c>
    </row>
    <row r="5393" spans="1:14" ht="20.25" x14ac:dyDescent="0.25">
      <c r="A5393" s="1">
        <v>110</v>
      </c>
      <c r="B5393" s="159"/>
      <c r="C5393" s="1" t="s">
        <v>3055</v>
      </c>
      <c r="D5393" s="1"/>
      <c r="E5393" s="1"/>
      <c r="F5393" s="1" t="s">
        <v>5856</v>
      </c>
      <c r="G5393" s="1">
        <v>4</v>
      </c>
      <c r="H5393" s="1" t="s">
        <v>19</v>
      </c>
      <c r="I5393" s="1" t="s">
        <v>3034</v>
      </c>
      <c r="J5393" s="1">
        <v>0.01</v>
      </c>
      <c r="K5393" s="1">
        <v>0.04</v>
      </c>
      <c r="L5393" s="42">
        <v>7</v>
      </c>
      <c r="M5393" s="237">
        <v>46280</v>
      </c>
      <c r="N5393" s="1" t="e">
        <f>VLOOKUP(B5393,MICRO!E:L,8,0)</f>
        <v>#N/A</v>
      </c>
    </row>
    <row r="5394" spans="1:14" ht="20.25" x14ac:dyDescent="0.25">
      <c r="A5394" s="1">
        <v>111</v>
      </c>
      <c r="B5394" s="159"/>
      <c r="C5394" s="1" t="s">
        <v>5857</v>
      </c>
      <c r="D5394" s="1"/>
      <c r="E5394" s="1"/>
      <c r="F5394" s="1" t="s">
        <v>5858</v>
      </c>
      <c r="G5394" s="1">
        <v>32</v>
      </c>
      <c r="H5394" s="1" t="s">
        <v>19</v>
      </c>
      <c r="I5394" s="1" t="s">
        <v>3034</v>
      </c>
      <c r="J5394" s="1">
        <v>0.05</v>
      </c>
      <c r="K5394" s="1">
        <v>1.6</v>
      </c>
      <c r="L5394" s="42">
        <v>7</v>
      </c>
      <c r="M5394" s="237">
        <v>46280</v>
      </c>
      <c r="N5394" s="1" t="e">
        <f>VLOOKUP(B5394,MICRO!E:L,8,0)</f>
        <v>#N/A</v>
      </c>
    </row>
    <row r="5395" spans="1:14" ht="20.25" x14ac:dyDescent="0.25">
      <c r="A5395" s="1">
        <v>112</v>
      </c>
      <c r="B5395" s="159"/>
      <c r="C5395" s="1" t="s">
        <v>3059</v>
      </c>
      <c r="D5395" s="1"/>
      <c r="E5395" s="1"/>
      <c r="F5395" s="1" t="s">
        <v>5859</v>
      </c>
      <c r="G5395" s="1">
        <v>32</v>
      </c>
      <c r="H5395" s="1" t="s">
        <v>19</v>
      </c>
      <c r="I5395" s="1" t="s">
        <v>3034</v>
      </c>
      <c r="J5395" s="1">
        <v>0.01</v>
      </c>
      <c r="K5395" s="1">
        <v>0.32</v>
      </c>
      <c r="L5395" s="42">
        <v>7</v>
      </c>
      <c r="M5395" s="237">
        <v>46280</v>
      </c>
      <c r="N5395" s="1" t="e">
        <f>VLOOKUP(B5395,MICRO!E:L,8,0)</f>
        <v>#N/A</v>
      </c>
    </row>
    <row r="5396" spans="1:14" ht="20.25" x14ac:dyDescent="0.25">
      <c r="A5396" s="1">
        <v>113</v>
      </c>
      <c r="B5396" s="159"/>
      <c r="C5396" s="1" t="s">
        <v>3063</v>
      </c>
      <c r="D5396" s="1"/>
      <c r="E5396" s="1"/>
      <c r="F5396" s="1" t="s">
        <v>5860</v>
      </c>
      <c r="G5396" s="1">
        <v>16</v>
      </c>
      <c r="H5396" s="1" t="s">
        <v>19</v>
      </c>
      <c r="I5396" s="1" t="s">
        <v>3045</v>
      </c>
      <c r="J5396" s="1">
        <v>0.05</v>
      </c>
      <c r="K5396" s="1">
        <v>0.8</v>
      </c>
      <c r="L5396" s="42">
        <v>7</v>
      </c>
      <c r="M5396" s="237">
        <v>46280</v>
      </c>
      <c r="N5396" s="1" t="e">
        <f>VLOOKUP(B5396,MICRO!E:L,8,0)</f>
        <v>#N/A</v>
      </c>
    </row>
    <row r="5397" spans="1:14" ht="20.25" x14ac:dyDescent="0.25">
      <c r="A5397" s="1">
        <v>114</v>
      </c>
      <c r="B5397" s="159"/>
      <c r="C5397" s="1" t="s">
        <v>3063</v>
      </c>
      <c r="D5397" s="1"/>
      <c r="E5397" s="1"/>
      <c r="F5397" s="1" t="s">
        <v>5861</v>
      </c>
      <c r="G5397" s="1">
        <v>16</v>
      </c>
      <c r="H5397" s="1" t="s">
        <v>19</v>
      </c>
      <c r="I5397" s="1" t="s">
        <v>3093</v>
      </c>
      <c r="J5397" s="1">
        <v>0.01</v>
      </c>
      <c r="K5397" s="1">
        <v>0.16</v>
      </c>
      <c r="L5397" s="42">
        <v>7</v>
      </c>
      <c r="M5397" s="237">
        <v>46280</v>
      </c>
      <c r="N5397" s="1" t="e">
        <f>VLOOKUP(B5397,MICRO!E:L,8,0)</f>
        <v>#N/A</v>
      </c>
    </row>
    <row r="5398" spans="1:14" ht="20.25" x14ac:dyDescent="0.25">
      <c r="A5398" s="1">
        <v>115</v>
      </c>
      <c r="B5398" s="159"/>
      <c r="C5398" s="1" t="s">
        <v>3094</v>
      </c>
      <c r="D5398" s="1"/>
      <c r="E5398" s="1"/>
      <c r="F5398" s="1" t="s">
        <v>5862</v>
      </c>
      <c r="G5398" s="1">
        <v>576</v>
      </c>
      <c r="H5398" s="1" t="s">
        <v>19</v>
      </c>
      <c r="I5398" s="1" t="s">
        <v>3093</v>
      </c>
      <c r="J5398" s="1">
        <v>0.05</v>
      </c>
      <c r="K5398" s="1">
        <v>28.8</v>
      </c>
      <c r="L5398" s="42">
        <v>7</v>
      </c>
      <c r="M5398" s="237">
        <v>46280</v>
      </c>
      <c r="N5398" s="1" t="e">
        <f>VLOOKUP(B5398,MICRO!E:L,8,0)</f>
        <v>#N/A</v>
      </c>
    </row>
    <row r="5399" spans="1:14" ht="20.25" x14ac:dyDescent="0.25">
      <c r="A5399" s="1">
        <v>116</v>
      </c>
      <c r="B5399" s="159"/>
      <c r="C5399" s="1" t="s">
        <v>3094</v>
      </c>
      <c r="D5399" s="1"/>
      <c r="E5399" s="1"/>
      <c r="F5399" s="1" t="s">
        <v>5863</v>
      </c>
      <c r="G5399" s="1">
        <v>576</v>
      </c>
      <c r="H5399" s="1" t="s">
        <v>19</v>
      </c>
      <c r="I5399" s="1" t="s">
        <v>3093</v>
      </c>
      <c r="J5399" s="1">
        <v>0.02</v>
      </c>
      <c r="K5399" s="1">
        <v>11.52</v>
      </c>
      <c r="L5399" s="42">
        <v>7</v>
      </c>
      <c r="M5399" s="237">
        <v>46280</v>
      </c>
      <c r="N5399" s="1" t="e">
        <f>VLOOKUP(B5399,MICRO!E:L,8,0)</f>
        <v>#N/A</v>
      </c>
    </row>
    <row r="5400" spans="1:14" ht="20.25" x14ac:dyDescent="0.25">
      <c r="A5400" s="1">
        <v>117</v>
      </c>
      <c r="B5400" s="159"/>
      <c r="C5400" s="1" t="s">
        <v>3094</v>
      </c>
      <c r="D5400" s="1"/>
      <c r="E5400" s="1"/>
      <c r="F5400" s="1" t="s">
        <v>5864</v>
      </c>
      <c r="G5400" s="1">
        <v>576</v>
      </c>
      <c r="H5400" s="1" t="s">
        <v>19</v>
      </c>
      <c r="I5400" s="1" t="s">
        <v>3093</v>
      </c>
      <c r="J5400" s="1">
        <v>0.01</v>
      </c>
      <c r="K5400" s="1">
        <v>5.76</v>
      </c>
      <c r="L5400" s="42">
        <v>7</v>
      </c>
      <c r="M5400" s="237">
        <v>46280</v>
      </c>
      <c r="N5400" s="1" t="e">
        <f>VLOOKUP(B5400,MICRO!E:L,8,0)</f>
        <v>#N/A</v>
      </c>
    </row>
    <row r="5401" spans="1:14" ht="20.25" x14ac:dyDescent="0.25">
      <c r="A5401" s="1">
        <v>118</v>
      </c>
      <c r="B5401" s="159"/>
      <c r="C5401" s="1" t="s">
        <v>3079</v>
      </c>
      <c r="D5401" s="1"/>
      <c r="E5401" s="1"/>
      <c r="F5401" s="1" t="s">
        <v>5865</v>
      </c>
      <c r="G5401" s="1">
        <v>4</v>
      </c>
      <c r="H5401" s="1" t="s">
        <v>19</v>
      </c>
      <c r="I5401" s="1" t="s">
        <v>3034</v>
      </c>
      <c r="J5401" s="1">
        <v>0.05</v>
      </c>
      <c r="K5401" s="1">
        <v>0.2</v>
      </c>
      <c r="L5401" s="42">
        <v>7</v>
      </c>
      <c r="M5401" s="237">
        <v>46280</v>
      </c>
      <c r="N5401" s="1" t="e">
        <f>VLOOKUP(B5401,MICRO!E:L,8,0)</f>
        <v>#N/A</v>
      </c>
    </row>
    <row r="5402" spans="1:14" ht="20.25" x14ac:dyDescent="0.25">
      <c r="A5402" s="1">
        <v>119</v>
      </c>
      <c r="B5402" s="159"/>
      <c r="C5402" s="1" t="s">
        <v>3079</v>
      </c>
      <c r="D5402" s="1"/>
      <c r="E5402" s="1"/>
      <c r="F5402" s="1" t="s">
        <v>5866</v>
      </c>
      <c r="G5402" s="1">
        <v>4</v>
      </c>
      <c r="H5402" s="1" t="s">
        <v>19</v>
      </c>
      <c r="I5402" s="1" t="s">
        <v>3034</v>
      </c>
      <c r="J5402" s="1">
        <v>0.02</v>
      </c>
      <c r="K5402" s="1">
        <v>0.08</v>
      </c>
      <c r="L5402" s="42">
        <v>7</v>
      </c>
      <c r="M5402" s="237">
        <v>46280</v>
      </c>
      <c r="N5402" s="1" t="e">
        <f>VLOOKUP(B5402,MICRO!E:L,8,0)</f>
        <v>#N/A</v>
      </c>
    </row>
    <row r="5403" spans="1:14" ht="20.25" x14ac:dyDescent="0.25">
      <c r="A5403" s="1">
        <v>120</v>
      </c>
      <c r="B5403" s="159"/>
      <c r="C5403" s="1" t="s">
        <v>3079</v>
      </c>
      <c r="D5403" s="1"/>
      <c r="E5403" s="1"/>
      <c r="F5403" s="1" t="s">
        <v>5867</v>
      </c>
      <c r="G5403" s="1">
        <v>4</v>
      </c>
      <c r="H5403" s="1" t="s">
        <v>19</v>
      </c>
      <c r="I5403" s="1" t="s">
        <v>3034</v>
      </c>
      <c r="J5403" s="1">
        <v>0.01</v>
      </c>
      <c r="K5403" s="1">
        <v>0.04</v>
      </c>
      <c r="L5403" s="42">
        <v>7</v>
      </c>
      <c r="M5403" s="237">
        <v>46280</v>
      </c>
      <c r="N5403" s="1" t="e">
        <f>VLOOKUP(B5403,MICRO!E:L,8,0)</f>
        <v>#N/A</v>
      </c>
    </row>
    <row r="5404" spans="1:14" ht="20.25" x14ac:dyDescent="0.25">
      <c r="A5404" s="1">
        <v>121</v>
      </c>
      <c r="B5404" s="159"/>
      <c r="C5404" s="1" t="s">
        <v>3079</v>
      </c>
      <c r="D5404" s="1"/>
      <c r="E5404" s="1"/>
      <c r="F5404" s="1" t="s">
        <v>5868</v>
      </c>
      <c r="G5404" s="1">
        <v>4</v>
      </c>
      <c r="H5404" s="1" t="s">
        <v>19</v>
      </c>
      <c r="I5404" s="1" t="s">
        <v>3034</v>
      </c>
      <c r="J5404" s="1">
        <v>0.05</v>
      </c>
      <c r="K5404" s="1">
        <v>0.2</v>
      </c>
      <c r="L5404" s="42">
        <v>7</v>
      </c>
      <c r="M5404" s="237">
        <v>46280</v>
      </c>
      <c r="N5404" s="1" t="e">
        <f>VLOOKUP(B5404,MICRO!E:L,8,0)</f>
        <v>#N/A</v>
      </c>
    </row>
    <row r="5405" spans="1:14" ht="20.25" x14ac:dyDescent="0.25">
      <c r="A5405" s="1">
        <v>122</v>
      </c>
      <c r="B5405" s="159"/>
      <c r="C5405" s="1" t="s">
        <v>3081</v>
      </c>
      <c r="D5405" s="1"/>
      <c r="E5405" s="1"/>
      <c r="F5405" s="1" t="s">
        <v>5869</v>
      </c>
      <c r="G5405" s="1">
        <v>304</v>
      </c>
      <c r="H5405" s="1" t="s">
        <v>19</v>
      </c>
      <c r="I5405" s="1" t="s">
        <v>3034</v>
      </c>
      <c r="J5405" s="1">
        <v>0.05</v>
      </c>
      <c r="K5405" s="1">
        <v>15.200000000000001</v>
      </c>
      <c r="L5405" s="42">
        <v>7</v>
      </c>
      <c r="M5405" s="237">
        <v>46280</v>
      </c>
      <c r="N5405" s="1" t="e">
        <f>VLOOKUP(B5405,MICRO!E:L,8,0)</f>
        <v>#N/A</v>
      </c>
    </row>
    <row r="5406" spans="1:14" ht="20.25" x14ac:dyDescent="0.25">
      <c r="A5406" s="1">
        <v>123</v>
      </c>
      <c r="B5406" s="159"/>
      <c r="C5406" s="1" t="s">
        <v>3081</v>
      </c>
      <c r="D5406" s="1"/>
      <c r="E5406" s="1"/>
      <c r="F5406" s="1" t="s">
        <v>5870</v>
      </c>
      <c r="G5406" s="1">
        <v>304</v>
      </c>
      <c r="H5406" s="1" t="s">
        <v>19</v>
      </c>
      <c r="I5406" s="1" t="s">
        <v>3034</v>
      </c>
      <c r="J5406" s="1">
        <v>0.02</v>
      </c>
      <c r="K5406" s="1">
        <v>6.08</v>
      </c>
      <c r="L5406" s="42">
        <v>7</v>
      </c>
      <c r="M5406" s="237">
        <v>46280</v>
      </c>
      <c r="N5406" s="1" t="e">
        <f>VLOOKUP(B5406,MICRO!E:L,8,0)</f>
        <v>#N/A</v>
      </c>
    </row>
    <row r="5407" spans="1:14" ht="20.25" x14ac:dyDescent="0.25">
      <c r="A5407" s="1">
        <v>124</v>
      </c>
      <c r="B5407" s="159"/>
      <c r="C5407" s="1" t="s">
        <v>3081</v>
      </c>
      <c r="D5407" s="1"/>
      <c r="E5407" s="1"/>
      <c r="F5407" s="1" t="s">
        <v>5871</v>
      </c>
      <c r="G5407" s="1">
        <v>304</v>
      </c>
      <c r="H5407" s="1" t="s">
        <v>19</v>
      </c>
      <c r="I5407" s="1" t="s">
        <v>3034</v>
      </c>
      <c r="J5407" s="1">
        <v>0.01</v>
      </c>
      <c r="K5407" s="1">
        <v>3.04</v>
      </c>
      <c r="L5407" s="42">
        <v>7</v>
      </c>
      <c r="M5407" s="237">
        <v>46280</v>
      </c>
      <c r="N5407" s="1" t="e">
        <f>VLOOKUP(B5407,MICRO!E:L,8,0)</f>
        <v>#N/A</v>
      </c>
    </row>
    <row r="5408" spans="1:14" ht="20.25" x14ac:dyDescent="0.25">
      <c r="A5408" s="1">
        <v>125</v>
      </c>
      <c r="B5408" s="159"/>
      <c r="C5408" s="1" t="s">
        <v>3063</v>
      </c>
      <c r="D5408" s="1"/>
      <c r="E5408" s="1"/>
      <c r="F5408" s="1" t="s">
        <v>5872</v>
      </c>
      <c r="G5408" s="1">
        <v>16</v>
      </c>
      <c r="H5408" s="1" t="s">
        <v>19</v>
      </c>
      <c r="I5408" s="1" t="s">
        <v>3034</v>
      </c>
      <c r="J5408" s="1">
        <v>0.05</v>
      </c>
      <c r="K5408" s="1">
        <v>0.8</v>
      </c>
      <c r="L5408" s="42">
        <v>7</v>
      </c>
      <c r="M5408" s="237">
        <v>46280</v>
      </c>
      <c r="N5408" s="1" t="e">
        <f>VLOOKUP(B5408,MICRO!E:L,8,0)</f>
        <v>#N/A</v>
      </c>
    </row>
    <row r="5409" spans="1:14" ht="20.25" x14ac:dyDescent="0.25">
      <c r="A5409" s="1">
        <v>126</v>
      </c>
      <c r="B5409" s="159"/>
      <c r="C5409" s="1" t="s">
        <v>3063</v>
      </c>
      <c r="D5409" s="1"/>
      <c r="E5409" s="1"/>
      <c r="F5409" s="1" t="s">
        <v>5873</v>
      </c>
      <c r="G5409" s="1">
        <v>16</v>
      </c>
      <c r="H5409" s="1" t="s">
        <v>19</v>
      </c>
      <c r="I5409" s="1" t="s">
        <v>3034</v>
      </c>
      <c r="J5409" s="1">
        <v>0.01</v>
      </c>
      <c r="K5409" s="1">
        <v>0.16</v>
      </c>
      <c r="L5409" s="42">
        <v>7</v>
      </c>
      <c r="M5409" s="237">
        <v>46280</v>
      </c>
      <c r="N5409" s="1" t="e">
        <f>VLOOKUP(B5409,MICRO!E:L,8,0)</f>
        <v>#N/A</v>
      </c>
    </row>
    <row r="5410" spans="1:14" ht="20.25" x14ac:dyDescent="0.25">
      <c r="A5410" s="1">
        <v>127</v>
      </c>
      <c r="B5410" s="159"/>
      <c r="C5410" s="1" t="s">
        <v>3063</v>
      </c>
      <c r="D5410" s="1"/>
      <c r="E5410" s="1"/>
      <c r="F5410" s="1" t="s">
        <v>5860</v>
      </c>
      <c r="G5410" s="1">
        <v>16</v>
      </c>
      <c r="H5410" s="1" t="s">
        <v>19</v>
      </c>
      <c r="I5410" s="1" t="s">
        <v>3045</v>
      </c>
      <c r="J5410" s="1">
        <v>0.05</v>
      </c>
      <c r="K5410" s="1">
        <v>0.8</v>
      </c>
      <c r="L5410" s="42">
        <v>7</v>
      </c>
      <c r="M5410" s="237">
        <v>46280</v>
      </c>
      <c r="N5410" s="1" t="e">
        <f>VLOOKUP(B5410,MICRO!E:L,8,0)</f>
        <v>#N/A</v>
      </c>
    </row>
    <row r="5411" spans="1:14" ht="20.25" x14ac:dyDescent="0.25">
      <c r="A5411" s="1">
        <v>128</v>
      </c>
      <c r="B5411" s="159"/>
      <c r="C5411" s="1" t="s">
        <v>3063</v>
      </c>
      <c r="D5411" s="1"/>
      <c r="E5411" s="1"/>
      <c r="F5411" s="1" t="s">
        <v>5874</v>
      </c>
      <c r="G5411" s="1">
        <v>16</v>
      </c>
      <c r="H5411" s="1" t="s">
        <v>19</v>
      </c>
      <c r="I5411" s="1" t="s">
        <v>3045</v>
      </c>
      <c r="J5411" s="1">
        <v>0.01</v>
      </c>
      <c r="K5411" s="1">
        <v>0.16</v>
      </c>
      <c r="L5411" s="42">
        <v>7</v>
      </c>
      <c r="M5411" s="237">
        <v>46280</v>
      </c>
      <c r="N5411" s="1" t="e">
        <f>VLOOKUP(B5411,MICRO!E:L,8,0)</f>
        <v>#N/A</v>
      </c>
    </row>
    <row r="5412" spans="1:14" ht="20.25" x14ac:dyDescent="0.25">
      <c r="A5412" s="1">
        <v>129</v>
      </c>
      <c r="B5412" s="159"/>
      <c r="C5412" s="1" t="s">
        <v>3077</v>
      </c>
      <c r="D5412" s="1"/>
      <c r="E5412" s="1"/>
      <c r="F5412" s="1" t="s">
        <v>5875</v>
      </c>
      <c r="G5412" s="1">
        <v>8</v>
      </c>
      <c r="H5412" s="1" t="s">
        <v>19</v>
      </c>
      <c r="I5412" s="1" t="s">
        <v>3045</v>
      </c>
      <c r="J5412" s="1">
        <v>0.05</v>
      </c>
      <c r="K5412" s="1">
        <v>0.4</v>
      </c>
      <c r="L5412" s="42">
        <v>7</v>
      </c>
      <c r="M5412" s="237">
        <v>46280</v>
      </c>
      <c r="N5412" s="1" t="e">
        <f>VLOOKUP(B5412,MICRO!E:L,8,0)</f>
        <v>#N/A</v>
      </c>
    </row>
    <row r="5413" spans="1:14" ht="20.25" x14ac:dyDescent="0.25">
      <c r="A5413" s="1">
        <v>130</v>
      </c>
      <c r="B5413" s="159"/>
      <c r="C5413" s="1" t="s">
        <v>3077</v>
      </c>
      <c r="D5413" s="1"/>
      <c r="E5413" s="1"/>
      <c r="F5413" s="1" t="s">
        <v>5876</v>
      </c>
      <c r="G5413" s="1">
        <v>8</v>
      </c>
      <c r="H5413" s="1" t="s">
        <v>19</v>
      </c>
      <c r="I5413" s="1" t="s">
        <v>3045</v>
      </c>
      <c r="J5413" s="1">
        <v>0.02</v>
      </c>
      <c r="K5413" s="1">
        <v>0.16</v>
      </c>
      <c r="L5413" s="42">
        <v>7</v>
      </c>
      <c r="M5413" s="237">
        <v>46280</v>
      </c>
      <c r="N5413" s="1" t="e">
        <f>VLOOKUP(B5413,MICRO!E:L,8,0)</f>
        <v>#N/A</v>
      </c>
    </row>
    <row r="5414" spans="1:14" ht="20.25" x14ac:dyDescent="0.25">
      <c r="A5414" s="1">
        <v>131</v>
      </c>
      <c r="B5414" s="159"/>
      <c r="C5414" s="1" t="s">
        <v>3077</v>
      </c>
      <c r="D5414" s="1"/>
      <c r="E5414" s="1"/>
      <c r="F5414" s="1" t="s">
        <v>5877</v>
      </c>
      <c r="G5414" s="1">
        <v>8</v>
      </c>
      <c r="H5414" s="1" t="s">
        <v>19</v>
      </c>
      <c r="I5414" s="1" t="s">
        <v>3045</v>
      </c>
      <c r="J5414" s="1">
        <v>0.01</v>
      </c>
      <c r="K5414" s="1">
        <v>0.08</v>
      </c>
      <c r="L5414" s="42">
        <v>7</v>
      </c>
      <c r="M5414" s="237">
        <v>46280</v>
      </c>
      <c r="N5414" s="1" t="e">
        <f>VLOOKUP(B5414,MICRO!E:L,8,0)</f>
        <v>#N/A</v>
      </c>
    </row>
    <row r="5415" spans="1:14" ht="20.25" x14ac:dyDescent="0.25">
      <c r="A5415" s="1">
        <v>132</v>
      </c>
      <c r="B5415" s="159"/>
      <c r="C5415" s="1" t="s">
        <v>3112</v>
      </c>
      <c r="D5415" s="1"/>
      <c r="E5415" s="1"/>
      <c r="F5415" s="1" t="s">
        <v>5878</v>
      </c>
      <c r="G5415" s="1">
        <v>36</v>
      </c>
      <c r="H5415" s="1" t="s">
        <v>19</v>
      </c>
      <c r="I5415" s="1" t="s">
        <v>3034</v>
      </c>
      <c r="J5415" s="1">
        <v>0.05</v>
      </c>
      <c r="K5415" s="1">
        <v>1.8</v>
      </c>
      <c r="L5415" s="42">
        <v>7</v>
      </c>
      <c r="M5415" s="237">
        <v>46280</v>
      </c>
      <c r="N5415" s="1" t="e">
        <f>VLOOKUP(B5415,MICRO!E:L,8,0)</f>
        <v>#N/A</v>
      </c>
    </row>
    <row r="5416" spans="1:14" ht="20.25" x14ac:dyDescent="0.25">
      <c r="A5416" s="1">
        <v>133</v>
      </c>
      <c r="B5416" s="159"/>
      <c r="C5416" s="1" t="s">
        <v>3112</v>
      </c>
      <c r="D5416" s="1"/>
      <c r="E5416" s="1"/>
      <c r="F5416" s="1" t="s">
        <v>5879</v>
      </c>
      <c r="G5416" s="1">
        <v>36</v>
      </c>
      <c r="H5416" s="1" t="s">
        <v>19</v>
      </c>
      <c r="I5416" s="1" t="s">
        <v>3034</v>
      </c>
      <c r="J5416" s="1">
        <v>0.02</v>
      </c>
      <c r="K5416" s="1">
        <v>0.72</v>
      </c>
      <c r="L5416" s="42">
        <v>7</v>
      </c>
      <c r="M5416" s="237">
        <v>46280</v>
      </c>
      <c r="N5416" s="1" t="e">
        <f>VLOOKUP(B5416,MICRO!E:L,8,0)</f>
        <v>#N/A</v>
      </c>
    </row>
    <row r="5417" spans="1:14" ht="20.25" x14ac:dyDescent="0.25">
      <c r="A5417" s="1">
        <v>134</v>
      </c>
      <c r="B5417" s="159"/>
      <c r="C5417" s="1" t="s">
        <v>3112</v>
      </c>
      <c r="D5417" s="1"/>
      <c r="E5417" s="1"/>
      <c r="F5417" s="1" t="s">
        <v>5880</v>
      </c>
      <c r="G5417" s="1">
        <v>36</v>
      </c>
      <c r="H5417" s="1" t="s">
        <v>19</v>
      </c>
      <c r="I5417" s="1" t="s">
        <v>3034</v>
      </c>
      <c r="J5417" s="1">
        <v>0.01</v>
      </c>
      <c r="K5417" s="1">
        <v>0.36</v>
      </c>
      <c r="L5417" s="42">
        <v>7</v>
      </c>
      <c r="M5417" s="237">
        <v>46280</v>
      </c>
      <c r="N5417" s="1" t="e">
        <f>VLOOKUP(B5417,MICRO!E:L,8,0)</f>
        <v>#N/A</v>
      </c>
    </row>
    <row r="5418" spans="1:14" ht="20.25" x14ac:dyDescent="0.25">
      <c r="A5418" s="1">
        <v>135</v>
      </c>
      <c r="B5418" s="159"/>
      <c r="C5418" s="1" t="s">
        <v>3112</v>
      </c>
      <c r="D5418" s="1"/>
      <c r="E5418" s="1"/>
      <c r="F5418" s="1" t="s">
        <v>5881</v>
      </c>
      <c r="G5418" s="1">
        <v>48</v>
      </c>
      <c r="H5418" s="1" t="s">
        <v>19</v>
      </c>
      <c r="I5418" s="1" t="s">
        <v>3034</v>
      </c>
      <c r="J5418" s="1">
        <v>0.05</v>
      </c>
      <c r="K5418" s="1">
        <v>2.4000000000000004</v>
      </c>
      <c r="L5418" s="42">
        <v>7</v>
      </c>
      <c r="M5418" s="237">
        <v>46280</v>
      </c>
      <c r="N5418" s="1" t="e">
        <f>VLOOKUP(B5418,MICRO!E:L,8,0)</f>
        <v>#N/A</v>
      </c>
    </row>
    <row r="5419" spans="1:14" ht="20.25" x14ac:dyDescent="0.25">
      <c r="A5419" s="1">
        <v>136</v>
      </c>
      <c r="B5419" s="159"/>
      <c r="C5419" s="1" t="s">
        <v>3112</v>
      </c>
      <c r="D5419" s="1"/>
      <c r="E5419" s="1"/>
      <c r="F5419" s="1" t="s">
        <v>5882</v>
      </c>
      <c r="G5419" s="1">
        <v>48</v>
      </c>
      <c r="H5419" s="1" t="s">
        <v>19</v>
      </c>
      <c r="I5419" s="1" t="s">
        <v>3034</v>
      </c>
      <c r="J5419" s="1">
        <v>0.02</v>
      </c>
      <c r="K5419" s="1">
        <v>0.96</v>
      </c>
      <c r="L5419" s="42">
        <v>7</v>
      </c>
      <c r="M5419" s="237">
        <v>46280</v>
      </c>
      <c r="N5419" s="1" t="e">
        <f>VLOOKUP(B5419,MICRO!E:L,8,0)</f>
        <v>#N/A</v>
      </c>
    </row>
    <row r="5420" spans="1:14" ht="20.25" x14ac:dyDescent="0.25">
      <c r="A5420" s="1">
        <v>137</v>
      </c>
      <c r="B5420" s="159"/>
      <c r="C5420" s="1" t="s">
        <v>3112</v>
      </c>
      <c r="D5420" s="1"/>
      <c r="E5420" s="1"/>
      <c r="F5420" s="1" t="s">
        <v>5883</v>
      </c>
      <c r="G5420" s="1">
        <v>48</v>
      </c>
      <c r="H5420" s="1" t="s">
        <v>19</v>
      </c>
      <c r="I5420" s="1" t="s">
        <v>3034</v>
      </c>
      <c r="J5420" s="1">
        <v>0.01</v>
      </c>
      <c r="K5420" s="1">
        <v>0.48</v>
      </c>
      <c r="L5420" s="42">
        <v>7</v>
      </c>
      <c r="M5420" s="237">
        <v>46280</v>
      </c>
      <c r="N5420" s="1" t="e">
        <f>VLOOKUP(B5420,MICRO!E:L,8,0)</f>
        <v>#N/A</v>
      </c>
    </row>
    <row r="5421" spans="1:14" ht="20.25" x14ac:dyDescent="0.25">
      <c r="A5421" s="1">
        <v>138</v>
      </c>
      <c r="B5421" s="159"/>
      <c r="C5421" s="1" t="s">
        <v>3120</v>
      </c>
      <c r="D5421" s="1"/>
      <c r="E5421" s="1"/>
      <c r="F5421" s="1" t="s">
        <v>5884</v>
      </c>
      <c r="G5421" s="1">
        <v>16</v>
      </c>
      <c r="H5421" s="1" t="s">
        <v>19</v>
      </c>
      <c r="I5421" s="1" t="s">
        <v>3034</v>
      </c>
      <c r="J5421" s="1">
        <v>0.05</v>
      </c>
      <c r="K5421" s="1">
        <v>0.8</v>
      </c>
      <c r="L5421" s="42">
        <v>7</v>
      </c>
      <c r="M5421" s="237">
        <v>46280</v>
      </c>
      <c r="N5421" s="1" t="e">
        <f>VLOOKUP(B5421,MICRO!E:L,8,0)</f>
        <v>#N/A</v>
      </c>
    </row>
    <row r="5422" spans="1:14" ht="20.25" x14ac:dyDescent="0.25">
      <c r="A5422" s="1">
        <v>139</v>
      </c>
      <c r="B5422" s="159"/>
      <c r="C5422" s="1" t="s">
        <v>3120</v>
      </c>
      <c r="D5422" s="1"/>
      <c r="E5422" s="1"/>
      <c r="F5422" s="1" t="s">
        <v>5885</v>
      </c>
      <c r="G5422" s="1">
        <v>16</v>
      </c>
      <c r="H5422" s="1" t="s">
        <v>19</v>
      </c>
      <c r="I5422" s="1" t="s">
        <v>3034</v>
      </c>
      <c r="J5422" s="1">
        <v>0.02</v>
      </c>
      <c r="K5422" s="1">
        <v>0.32</v>
      </c>
      <c r="L5422" s="42">
        <v>7</v>
      </c>
      <c r="M5422" s="237">
        <v>46280</v>
      </c>
      <c r="N5422" s="1" t="e">
        <f>VLOOKUP(B5422,MICRO!E:L,8,0)</f>
        <v>#N/A</v>
      </c>
    </row>
    <row r="5423" spans="1:14" ht="20.25" x14ac:dyDescent="0.25">
      <c r="A5423" s="1">
        <v>140</v>
      </c>
      <c r="B5423" s="159"/>
      <c r="C5423" s="1" t="s">
        <v>3120</v>
      </c>
      <c r="D5423" s="1"/>
      <c r="E5423" s="1"/>
      <c r="F5423" s="1" t="s">
        <v>5886</v>
      </c>
      <c r="G5423" s="1">
        <v>16</v>
      </c>
      <c r="H5423" s="1" t="s">
        <v>19</v>
      </c>
      <c r="I5423" s="1" t="s">
        <v>3034</v>
      </c>
      <c r="J5423" s="1">
        <v>0.01</v>
      </c>
      <c r="K5423" s="1">
        <v>0.16</v>
      </c>
      <c r="L5423" s="42">
        <v>7</v>
      </c>
      <c r="M5423" s="237">
        <v>46280</v>
      </c>
      <c r="N5423" s="1" t="e">
        <f>VLOOKUP(B5423,MICRO!E:L,8,0)</f>
        <v>#N/A</v>
      </c>
    </row>
    <row r="5424" spans="1:14" ht="20.25" x14ac:dyDescent="0.25">
      <c r="A5424" s="1">
        <v>141</v>
      </c>
      <c r="B5424" s="159"/>
      <c r="C5424" s="1" t="s">
        <v>3124</v>
      </c>
      <c r="D5424" s="1"/>
      <c r="E5424" s="1"/>
      <c r="F5424" s="1" t="s">
        <v>5887</v>
      </c>
      <c r="G5424" s="1">
        <v>20</v>
      </c>
      <c r="H5424" s="1" t="s">
        <v>19</v>
      </c>
      <c r="I5424" s="1" t="s">
        <v>3034</v>
      </c>
      <c r="J5424" s="1">
        <v>0.05</v>
      </c>
      <c r="K5424" s="1">
        <v>1</v>
      </c>
      <c r="L5424" s="42">
        <v>7</v>
      </c>
      <c r="M5424" s="237">
        <v>46280</v>
      </c>
      <c r="N5424" s="1" t="e">
        <f>VLOOKUP(B5424,MICRO!E:L,8,0)</f>
        <v>#N/A</v>
      </c>
    </row>
    <row r="5425" spans="1:14" ht="20.25" x14ac:dyDescent="0.25">
      <c r="A5425" s="1">
        <v>142</v>
      </c>
      <c r="B5425" s="159"/>
      <c r="C5425" s="1" t="s">
        <v>3124</v>
      </c>
      <c r="D5425" s="1"/>
      <c r="E5425" s="1"/>
      <c r="F5425" s="1" t="s">
        <v>5888</v>
      </c>
      <c r="G5425" s="1">
        <v>20</v>
      </c>
      <c r="H5425" s="1" t="s">
        <v>19</v>
      </c>
      <c r="I5425" s="1" t="s">
        <v>3034</v>
      </c>
      <c r="J5425" s="1">
        <v>0.02</v>
      </c>
      <c r="K5425" s="1">
        <v>0.4</v>
      </c>
      <c r="L5425" s="42">
        <v>7</v>
      </c>
      <c r="M5425" s="237">
        <v>46280</v>
      </c>
      <c r="N5425" s="1" t="e">
        <f>VLOOKUP(B5425,MICRO!E:L,8,0)</f>
        <v>#N/A</v>
      </c>
    </row>
    <row r="5426" spans="1:14" ht="20.25" x14ac:dyDescent="0.25">
      <c r="A5426" s="1">
        <v>143</v>
      </c>
      <c r="B5426" s="159"/>
      <c r="C5426" s="1" t="s">
        <v>3124</v>
      </c>
      <c r="D5426" s="1"/>
      <c r="E5426" s="1"/>
      <c r="F5426" s="1" t="s">
        <v>5889</v>
      </c>
      <c r="G5426" s="1">
        <v>20</v>
      </c>
      <c r="H5426" s="1" t="s">
        <v>19</v>
      </c>
      <c r="I5426" s="1" t="s">
        <v>3034</v>
      </c>
      <c r="J5426" s="1">
        <v>0.01</v>
      </c>
      <c r="K5426" s="1">
        <v>0.2</v>
      </c>
      <c r="L5426" s="42">
        <v>7</v>
      </c>
      <c r="M5426" s="237">
        <v>46280</v>
      </c>
      <c r="N5426" s="1" t="e">
        <f>VLOOKUP(B5426,MICRO!E:L,8,0)</f>
        <v>#N/A</v>
      </c>
    </row>
    <row r="5427" spans="1:14" ht="20.25" x14ac:dyDescent="0.25">
      <c r="A5427" s="1">
        <v>144</v>
      </c>
      <c r="B5427" s="159"/>
      <c r="C5427" s="1" t="s">
        <v>3124</v>
      </c>
      <c r="D5427" s="1"/>
      <c r="E5427" s="1"/>
      <c r="F5427" s="1" t="s">
        <v>5890</v>
      </c>
      <c r="G5427" s="1">
        <v>8</v>
      </c>
      <c r="H5427" s="1" t="s">
        <v>19</v>
      </c>
      <c r="I5427" s="1" t="s">
        <v>3034</v>
      </c>
      <c r="J5427" s="1">
        <v>0.05</v>
      </c>
      <c r="K5427" s="1">
        <v>0.4</v>
      </c>
      <c r="L5427" s="42">
        <v>7</v>
      </c>
      <c r="M5427" s="237">
        <v>46280</v>
      </c>
      <c r="N5427" s="1" t="e">
        <f>VLOOKUP(B5427,MICRO!E:L,8,0)</f>
        <v>#N/A</v>
      </c>
    </row>
    <row r="5428" spans="1:14" ht="20.25" x14ac:dyDescent="0.25">
      <c r="A5428" s="1">
        <v>145</v>
      </c>
      <c r="B5428" s="159"/>
      <c r="C5428" s="1" t="s">
        <v>3124</v>
      </c>
      <c r="D5428" s="1"/>
      <c r="E5428" s="1"/>
      <c r="F5428" s="1" t="s">
        <v>5891</v>
      </c>
      <c r="G5428" s="1">
        <v>8</v>
      </c>
      <c r="H5428" s="1" t="s">
        <v>19</v>
      </c>
      <c r="I5428" s="1" t="s">
        <v>3034</v>
      </c>
      <c r="J5428" s="1">
        <v>0.02</v>
      </c>
      <c r="K5428" s="1">
        <v>0.16</v>
      </c>
      <c r="L5428" s="42">
        <v>7</v>
      </c>
      <c r="M5428" s="237">
        <v>46280</v>
      </c>
      <c r="N5428" s="1" t="e">
        <f>VLOOKUP(B5428,MICRO!E:L,8,0)</f>
        <v>#N/A</v>
      </c>
    </row>
    <row r="5429" spans="1:14" ht="20.25" x14ac:dyDescent="0.25">
      <c r="A5429" s="1">
        <v>146</v>
      </c>
      <c r="B5429" s="159"/>
      <c r="C5429" s="1" t="s">
        <v>3124</v>
      </c>
      <c r="D5429" s="1"/>
      <c r="E5429" s="1"/>
      <c r="F5429" s="1" t="s">
        <v>5892</v>
      </c>
      <c r="G5429" s="1">
        <v>8</v>
      </c>
      <c r="H5429" s="1" t="s">
        <v>19</v>
      </c>
      <c r="I5429" s="1" t="s">
        <v>3034</v>
      </c>
      <c r="J5429" s="1">
        <v>0.01</v>
      </c>
      <c r="K5429" s="1">
        <v>0.08</v>
      </c>
      <c r="L5429" s="42">
        <v>7</v>
      </c>
      <c r="M5429" s="237">
        <v>46280</v>
      </c>
      <c r="N5429" s="1" t="e">
        <f>VLOOKUP(B5429,MICRO!E:L,8,0)</f>
        <v>#N/A</v>
      </c>
    </row>
    <row r="5430" spans="1:14" ht="20.25" x14ac:dyDescent="0.25">
      <c r="A5430" s="1">
        <v>147</v>
      </c>
      <c r="B5430" s="159"/>
      <c r="C5430" s="1" t="s">
        <v>3152</v>
      </c>
      <c r="D5430" s="1"/>
      <c r="E5430" s="1"/>
      <c r="F5430" s="1" t="s">
        <v>5893</v>
      </c>
      <c r="G5430" s="1">
        <v>32</v>
      </c>
      <c r="H5430" s="1" t="s">
        <v>19</v>
      </c>
      <c r="I5430" s="1" t="s">
        <v>3140</v>
      </c>
      <c r="J5430" s="1">
        <v>0.02</v>
      </c>
      <c r="K5430" s="1">
        <v>0.64</v>
      </c>
      <c r="L5430" s="42">
        <v>7</v>
      </c>
      <c r="M5430" s="237">
        <v>46280</v>
      </c>
      <c r="N5430" s="1" t="e">
        <f>VLOOKUP(B5430,MICRO!E:L,8,0)</f>
        <v>#N/A</v>
      </c>
    </row>
    <row r="5431" spans="1:14" ht="20.25" x14ac:dyDescent="0.25">
      <c r="A5431" s="1">
        <v>148</v>
      </c>
      <c r="B5431" s="159"/>
      <c r="C5431" s="1" t="s">
        <v>3152</v>
      </c>
      <c r="D5431" s="1"/>
      <c r="E5431" s="1"/>
      <c r="F5431" s="1" t="s">
        <v>5894</v>
      </c>
      <c r="G5431" s="1">
        <v>16</v>
      </c>
      <c r="H5431" s="1" t="s">
        <v>19</v>
      </c>
      <c r="I5431" s="1" t="s">
        <v>3140</v>
      </c>
      <c r="J5431" s="1">
        <v>0.01</v>
      </c>
      <c r="K5431" s="1">
        <v>0.16</v>
      </c>
      <c r="L5431" s="42">
        <v>7</v>
      </c>
      <c r="M5431" s="237">
        <v>46280</v>
      </c>
      <c r="N5431" s="1" t="e">
        <f>VLOOKUP(B5431,MICRO!E:L,8,0)</f>
        <v>#N/A</v>
      </c>
    </row>
    <row r="5432" spans="1:14" ht="20.25" x14ac:dyDescent="0.25">
      <c r="A5432" s="1">
        <v>149</v>
      </c>
      <c r="B5432" s="159"/>
      <c r="C5432" s="1" t="s">
        <v>3154</v>
      </c>
      <c r="D5432" s="1"/>
      <c r="E5432" s="1"/>
      <c r="F5432" s="1" t="s">
        <v>5895</v>
      </c>
      <c r="G5432" s="1">
        <v>88</v>
      </c>
      <c r="H5432" s="1" t="s">
        <v>19</v>
      </c>
      <c r="I5432" s="1" t="s">
        <v>3140</v>
      </c>
      <c r="J5432" s="1">
        <v>0.05</v>
      </c>
      <c r="K5432" s="1">
        <v>4.4000000000000004</v>
      </c>
      <c r="L5432" s="42">
        <v>7</v>
      </c>
      <c r="M5432" s="237">
        <v>46280</v>
      </c>
      <c r="N5432" s="1" t="e">
        <f>VLOOKUP(B5432,MICRO!E:L,8,0)</f>
        <v>#N/A</v>
      </c>
    </row>
    <row r="5433" spans="1:14" ht="20.25" x14ac:dyDescent="0.25">
      <c r="A5433" s="1">
        <v>150</v>
      </c>
      <c r="B5433" s="159"/>
      <c r="C5433" s="1" t="s">
        <v>3154</v>
      </c>
      <c r="D5433" s="1"/>
      <c r="E5433" s="1"/>
      <c r="F5433" s="1" t="s">
        <v>5896</v>
      </c>
      <c r="G5433" s="1">
        <v>88</v>
      </c>
      <c r="H5433" s="1" t="s">
        <v>19</v>
      </c>
      <c r="I5433" s="1" t="s">
        <v>3140</v>
      </c>
      <c r="J5433" s="1">
        <v>0.02</v>
      </c>
      <c r="K5433" s="1">
        <v>1.76</v>
      </c>
      <c r="L5433" s="42">
        <v>7</v>
      </c>
      <c r="M5433" s="237">
        <v>46280</v>
      </c>
      <c r="N5433" s="1" t="e">
        <f>VLOOKUP(B5433,MICRO!E:L,8,0)</f>
        <v>#N/A</v>
      </c>
    </row>
    <row r="5434" spans="1:14" ht="20.25" x14ac:dyDescent="0.25">
      <c r="A5434" s="1">
        <v>151</v>
      </c>
      <c r="B5434" s="159"/>
      <c r="C5434" s="1" t="s">
        <v>3154</v>
      </c>
      <c r="D5434" s="1"/>
      <c r="E5434" s="1"/>
      <c r="F5434" s="1" t="s">
        <v>5897</v>
      </c>
      <c r="G5434" s="1">
        <v>88</v>
      </c>
      <c r="H5434" s="1" t="s">
        <v>19</v>
      </c>
      <c r="I5434" s="1" t="s">
        <v>3140</v>
      </c>
      <c r="J5434" s="1">
        <v>0.01</v>
      </c>
      <c r="K5434" s="1">
        <v>0.88</v>
      </c>
      <c r="L5434" s="42">
        <v>7</v>
      </c>
      <c r="M5434" s="237">
        <v>46280</v>
      </c>
      <c r="N5434" s="1" t="e">
        <f>VLOOKUP(B5434,MICRO!E:L,8,0)</f>
        <v>#N/A</v>
      </c>
    </row>
    <row r="5435" spans="1:14" ht="20.25" x14ac:dyDescent="0.25">
      <c r="A5435" s="1">
        <v>152</v>
      </c>
      <c r="B5435" s="159"/>
      <c r="C5435" s="1" t="s">
        <v>3063</v>
      </c>
      <c r="D5435" s="1"/>
      <c r="E5435" s="1"/>
      <c r="F5435" s="1" t="s">
        <v>5898</v>
      </c>
      <c r="G5435" s="1">
        <v>16</v>
      </c>
      <c r="H5435" s="1" t="s">
        <v>19</v>
      </c>
      <c r="I5435" s="1" t="s">
        <v>3140</v>
      </c>
      <c r="J5435" s="1">
        <v>0.01</v>
      </c>
      <c r="K5435" s="1">
        <v>0.16</v>
      </c>
      <c r="L5435" s="42">
        <v>7</v>
      </c>
      <c r="M5435" s="237">
        <v>46280</v>
      </c>
      <c r="N5435" s="1" t="e">
        <f>VLOOKUP(B5435,MICRO!E:L,8,0)</f>
        <v>#N/A</v>
      </c>
    </row>
    <row r="5436" spans="1:14" ht="20.25" x14ac:dyDescent="0.25">
      <c r="A5436" s="1">
        <v>153</v>
      </c>
      <c r="B5436" s="159"/>
      <c r="C5436" s="1" t="s">
        <v>3063</v>
      </c>
      <c r="D5436" s="1"/>
      <c r="E5436" s="1"/>
      <c r="F5436" s="1" t="s">
        <v>5899</v>
      </c>
      <c r="G5436" s="1">
        <v>16</v>
      </c>
      <c r="H5436" s="1" t="s">
        <v>19</v>
      </c>
      <c r="I5436" s="1" t="s">
        <v>3140</v>
      </c>
      <c r="J5436" s="1">
        <v>0.05</v>
      </c>
      <c r="K5436" s="1">
        <v>0.8</v>
      </c>
      <c r="L5436" s="42">
        <v>7</v>
      </c>
      <c r="M5436" s="237">
        <v>46280</v>
      </c>
      <c r="N5436" s="1" t="e">
        <f>VLOOKUP(B5436,MICRO!E:L,8,0)</f>
        <v>#N/A</v>
      </c>
    </row>
    <row r="5437" spans="1:14" ht="20.25" x14ac:dyDescent="0.25">
      <c r="A5437" s="1">
        <v>154</v>
      </c>
      <c r="B5437" s="159"/>
      <c r="C5437" s="1" t="s">
        <v>3039</v>
      </c>
      <c r="D5437" s="1"/>
      <c r="E5437" s="1"/>
      <c r="F5437" s="1" t="s">
        <v>5900</v>
      </c>
      <c r="G5437" s="1">
        <v>8</v>
      </c>
      <c r="H5437" s="1" t="s">
        <v>19</v>
      </c>
      <c r="I5437" s="1" t="s">
        <v>3034</v>
      </c>
      <c r="J5437" s="1">
        <v>0.02</v>
      </c>
      <c r="K5437" s="1">
        <v>0.16</v>
      </c>
      <c r="L5437" s="42">
        <v>7</v>
      </c>
      <c r="M5437" s="237">
        <v>46280</v>
      </c>
      <c r="N5437" s="1" t="e">
        <f>VLOOKUP(B5437,MICRO!E:L,8,0)</f>
        <v>#N/A</v>
      </c>
    </row>
    <row r="5438" spans="1:14" ht="20.25" x14ac:dyDescent="0.25">
      <c r="A5438" s="1">
        <v>155</v>
      </c>
      <c r="B5438" s="159"/>
      <c r="C5438" s="1" t="s">
        <v>5795</v>
      </c>
      <c r="D5438" s="1"/>
      <c r="E5438" s="1"/>
      <c r="F5438" s="1" t="s">
        <v>5901</v>
      </c>
      <c r="G5438" s="1">
        <v>210</v>
      </c>
      <c r="H5438" s="1" t="s">
        <v>19</v>
      </c>
      <c r="I5438" s="1" t="s">
        <v>3034</v>
      </c>
      <c r="J5438" s="1">
        <v>0.02</v>
      </c>
      <c r="K5438" s="1">
        <v>4.2</v>
      </c>
      <c r="L5438" s="42">
        <v>7</v>
      </c>
      <c r="M5438" s="237">
        <v>46280</v>
      </c>
      <c r="N5438" s="1" t="e">
        <f>VLOOKUP(B5438,MICRO!E:L,8,0)</f>
        <v>#N/A</v>
      </c>
    </row>
    <row r="5439" spans="1:14" ht="20.25" x14ac:dyDescent="0.25">
      <c r="A5439" s="1">
        <v>156</v>
      </c>
      <c r="B5439" s="159"/>
      <c r="C5439" s="1" t="s">
        <v>5795</v>
      </c>
      <c r="D5439" s="1"/>
      <c r="E5439" s="1"/>
      <c r="F5439" s="1" t="s">
        <v>5902</v>
      </c>
      <c r="G5439" s="1">
        <v>210</v>
      </c>
      <c r="H5439" s="1" t="s">
        <v>19</v>
      </c>
      <c r="I5439" s="1" t="s">
        <v>3034</v>
      </c>
      <c r="J5439" s="1">
        <v>0.01</v>
      </c>
      <c r="K5439" s="1">
        <v>2.1</v>
      </c>
      <c r="L5439" s="42">
        <v>7</v>
      </c>
      <c r="M5439" s="237">
        <v>46280</v>
      </c>
      <c r="N5439" s="1" t="e">
        <f>VLOOKUP(B5439,MICRO!E:L,8,0)</f>
        <v>#N/A</v>
      </c>
    </row>
    <row r="5440" spans="1:14" ht="20.25" x14ac:dyDescent="0.25">
      <c r="A5440" s="1">
        <v>157</v>
      </c>
      <c r="B5440" s="159"/>
      <c r="C5440" s="1" t="s">
        <v>5795</v>
      </c>
      <c r="D5440" s="1"/>
      <c r="E5440" s="1"/>
      <c r="F5440" s="1" t="s">
        <v>5903</v>
      </c>
      <c r="G5440" s="1">
        <v>174</v>
      </c>
      <c r="H5440" s="1" t="s">
        <v>19</v>
      </c>
      <c r="I5440" s="1" t="s">
        <v>3034</v>
      </c>
      <c r="J5440" s="1">
        <v>0.05</v>
      </c>
      <c r="K5440" s="1">
        <v>8.7000000000000011</v>
      </c>
      <c r="L5440" s="42">
        <v>7</v>
      </c>
      <c r="M5440" s="237">
        <v>46280</v>
      </c>
      <c r="N5440" s="1" t="e">
        <f>VLOOKUP(B5440,MICRO!E:L,8,0)</f>
        <v>#N/A</v>
      </c>
    </row>
    <row r="5441" spans="1:14" ht="20.25" x14ac:dyDescent="0.25">
      <c r="A5441" s="1">
        <v>158</v>
      </c>
      <c r="B5441" s="159"/>
      <c r="C5441" s="1" t="s">
        <v>5795</v>
      </c>
      <c r="D5441" s="1"/>
      <c r="E5441" s="1"/>
      <c r="F5441" s="1" t="s">
        <v>5904</v>
      </c>
      <c r="G5441" s="1">
        <v>174</v>
      </c>
      <c r="H5441" s="1" t="s">
        <v>19</v>
      </c>
      <c r="I5441" s="1" t="s">
        <v>3034</v>
      </c>
      <c r="J5441" s="1">
        <v>0.02</v>
      </c>
      <c r="K5441" s="1">
        <v>3.48</v>
      </c>
      <c r="L5441" s="42">
        <v>7</v>
      </c>
      <c r="M5441" s="237">
        <v>46280</v>
      </c>
      <c r="N5441" s="1" t="e">
        <f>VLOOKUP(B5441,MICRO!E:L,8,0)</f>
        <v>#N/A</v>
      </c>
    </row>
    <row r="5442" spans="1:14" ht="20.25" x14ac:dyDescent="0.25">
      <c r="A5442" s="1">
        <v>159</v>
      </c>
      <c r="B5442" s="159"/>
      <c r="C5442" s="1" t="s">
        <v>5795</v>
      </c>
      <c r="D5442" s="1"/>
      <c r="E5442" s="1"/>
      <c r="F5442" s="1" t="s">
        <v>5905</v>
      </c>
      <c r="G5442" s="1">
        <v>174</v>
      </c>
      <c r="H5442" s="1" t="s">
        <v>19</v>
      </c>
      <c r="I5442" s="1" t="s">
        <v>3034</v>
      </c>
      <c r="J5442" s="1">
        <v>0.01</v>
      </c>
      <c r="K5442" s="1">
        <v>1.74</v>
      </c>
      <c r="L5442" s="42">
        <v>7</v>
      </c>
      <c r="M5442" s="237">
        <v>46280</v>
      </c>
      <c r="N5442" s="1" t="e">
        <f>VLOOKUP(B5442,MICRO!E:L,8,0)</f>
        <v>#N/A</v>
      </c>
    </row>
    <row r="5443" spans="1:14" ht="20.25" x14ac:dyDescent="0.25">
      <c r="A5443" s="1">
        <v>160</v>
      </c>
      <c r="B5443" s="159"/>
      <c r="C5443" s="1" t="s">
        <v>3127</v>
      </c>
      <c r="D5443" s="1"/>
      <c r="E5443" s="1"/>
      <c r="F5443" s="1" t="s">
        <v>5906</v>
      </c>
      <c r="G5443" s="1">
        <v>132</v>
      </c>
      <c r="H5443" s="1" t="s">
        <v>19</v>
      </c>
      <c r="I5443" s="1" t="s">
        <v>3034</v>
      </c>
      <c r="J5443" s="1">
        <v>0.02</v>
      </c>
      <c r="K5443" s="1">
        <v>2.64</v>
      </c>
      <c r="L5443" s="42">
        <v>7</v>
      </c>
      <c r="M5443" s="237">
        <v>46280</v>
      </c>
      <c r="N5443" s="1" t="e">
        <f>VLOOKUP(B5443,MICRO!E:L,8,0)</f>
        <v>#N/A</v>
      </c>
    </row>
    <row r="5444" spans="1:14" ht="20.25" x14ac:dyDescent="0.25">
      <c r="A5444" s="1">
        <v>161</v>
      </c>
      <c r="B5444" s="159"/>
      <c r="C5444" s="1" t="s">
        <v>3127</v>
      </c>
      <c r="D5444" s="1"/>
      <c r="E5444" s="1"/>
      <c r="F5444" s="1" t="s">
        <v>5907</v>
      </c>
      <c r="G5444" s="1">
        <v>132</v>
      </c>
      <c r="H5444" s="1" t="s">
        <v>19</v>
      </c>
      <c r="I5444" s="1" t="s">
        <v>3034</v>
      </c>
      <c r="J5444" s="1">
        <v>0.01</v>
      </c>
      <c r="K5444" s="1">
        <v>1.32</v>
      </c>
      <c r="L5444" s="42">
        <v>7</v>
      </c>
      <c r="M5444" s="237">
        <v>46280</v>
      </c>
      <c r="N5444" s="1" t="e">
        <f>VLOOKUP(B5444,MICRO!E:L,8,0)</f>
        <v>#N/A</v>
      </c>
    </row>
    <row r="5445" spans="1:14" ht="20.25" x14ac:dyDescent="0.25">
      <c r="A5445" s="1">
        <v>162</v>
      </c>
      <c r="B5445" s="159"/>
      <c r="C5445" s="1" t="s">
        <v>5795</v>
      </c>
      <c r="D5445" s="1"/>
      <c r="E5445" s="1"/>
      <c r="F5445" s="1" t="s">
        <v>5908</v>
      </c>
      <c r="G5445" s="1">
        <v>210</v>
      </c>
      <c r="H5445" s="1" t="s">
        <v>19</v>
      </c>
      <c r="I5445" s="1" t="s">
        <v>3034</v>
      </c>
      <c r="J5445" s="1">
        <v>0.05</v>
      </c>
      <c r="K5445" s="1">
        <v>10.5</v>
      </c>
      <c r="L5445" s="42">
        <v>7</v>
      </c>
      <c r="M5445" s="237">
        <v>46280</v>
      </c>
      <c r="N5445" s="1" t="e">
        <f>VLOOKUP(B5445,MICRO!E:L,8,0)</f>
        <v>#N/A</v>
      </c>
    </row>
    <row r="5446" spans="1:14" ht="20.25" x14ac:dyDescent="0.25">
      <c r="A5446" s="1">
        <v>163</v>
      </c>
      <c r="B5446" s="159"/>
      <c r="C5446" s="1" t="s">
        <v>3127</v>
      </c>
      <c r="D5446" s="1"/>
      <c r="E5446" s="1"/>
      <c r="F5446" s="1" t="s">
        <v>5909</v>
      </c>
      <c r="G5446" s="1">
        <v>132</v>
      </c>
      <c r="H5446" s="1" t="s">
        <v>19</v>
      </c>
      <c r="I5446" s="1" t="s">
        <v>3034</v>
      </c>
      <c r="J5446" s="1">
        <v>0.05</v>
      </c>
      <c r="K5446" s="1">
        <v>6.6000000000000005</v>
      </c>
      <c r="L5446" s="42">
        <v>7</v>
      </c>
      <c r="M5446" s="237">
        <v>46280</v>
      </c>
      <c r="N5446" s="1" t="e">
        <f>VLOOKUP(B5446,MICRO!E:L,8,0)</f>
        <v>#N/A</v>
      </c>
    </row>
    <row r="5447" spans="1:14" ht="20.25" x14ac:dyDescent="0.25">
      <c r="A5447" s="1">
        <v>164</v>
      </c>
      <c r="B5447" s="159"/>
      <c r="C5447" s="1" t="s">
        <v>5910</v>
      </c>
      <c r="D5447" s="1"/>
      <c r="E5447" s="1"/>
      <c r="F5447" s="1" t="s">
        <v>5911</v>
      </c>
      <c r="G5447" s="1">
        <v>36</v>
      </c>
      <c r="H5447" s="1" t="s">
        <v>19</v>
      </c>
      <c r="I5447" s="1" t="s">
        <v>3140</v>
      </c>
      <c r="J5447" s="1">
        <v>0.05</v>
      </c>
      <c r="K5447" s="1">
        <v>1.8</v>
      </c>
      <c r="L5447" s="42">
        <v>7</v>
      </c>
      <c r="M5447" s="237">
        <v>46280</v>
      </c>
      <c r="N5447" s="1" t="e">
        <f>VLOOKUP(B5447,MICRO!E:L,8,0)</f>
        <v>#N/A</v>
      </c>
    </row>
    <row r="5448" spans="1:14" ht="20.25" x14ac:dyDescent="0.25">
      <c r="A5448" s="1">
        <v>165</v>
      </c>
      <c r="B5448" s="159"/>
      <c r="C5448" s="1" t="s">
        <v>5910</v>
      </c>
      <c r="D5448" s="1"/>
      <c r="E5448" s="1"/>
      <c r="F5448" s="1" t="s">
        <v>5912</v>
      </c>
      <c r="G5448" s="1">
        <v>36</v>
      </c>
      <c r="H5448" s="1" t="s">
        <v>19</v>
      </c>
      <c r="I5448" s="1" t="s">
        <v>3140</v>
      </c>
      <c r="J5448" s="1">
        <v>0.01</v>
      </c>
      <c r="K5448" s="1">
        <v>0.36</v>
      </c>
      <c r="L5448" s="42">
        <v>7</v>
      </c>
      <c r="M5448" s="237">
        <v>46280</v>
      </c>
      <c r="N5448" s="1" t="e">
        <f>VLOOKUP(B5448,MICRO!E:L,8,0)</f>
        <v>#N/A</v>
      </c>
    </row>
    <row r="5449" spans="1:14" ht="20.25" x14ac:dyDescent="0.25">
      <c r="A5449" s="1">
        <v>166</v>
      </c>
      <c r="B5449" s="159"/>
      <c r="C5449" s="1" t="s">
        <v>3124</v>
      </c>
      <c r="D5449" s="1"/>
      <c r="E5449" s="1"/>
      <c r="F5449" s="1" t="s">
        <v>5913</v>
      </c>
      <c r="G5449" s="1">
        <v>2</v>
      </c>
      <c r="H5449" s="1" t="s">
        <v>19</v>
      </c>
      <c r="I5449" s="1" t="s">
        <v>3034</v>
      </c>
      <c r="J5449" s="1">
        <v>0.05</v>
      </c>
      <c r="K5449" s="1">
        <v>0.1</v>
      </c>
      <c r="L5449" s="42">
        <v>7</v>
      </c>
      <c r="M5449" s="237">
        <v>46280</v>
      </c>
      <c r="N5449" s="1" t="e">
        <f>VLOOKUP(B5449,MICRO!E:L,8,0)</f>
        <v>#N/A</v>
      </c>
    </row>
    <row r="5450" spans="1:14" ht="20.25" x14ac:dyDescent="0.25">
      <c r="A5450" s="1">
        <v>167</v>
      </c>
      <c r="B5450" s="159"/>
      <c r="C5450" s="1" t="s">
        <v>3124</v>
      </c>
      <c r="D5450" s="1"/>
      <c r="E5450" s="1"/>
      <c r="F5450" s="1" t="s">
        <v>5914</v>
      </c>
      <c r="G5450" s="1">
        <v>4</v>
      </c>
      <c r="H5450" s="1" t="s">
        <v>19</v>
      </c>
      <c r="I5450" s="1" t="s">
        <v>3034</v>
      </c>
      <c r="J5450" s="1">
        <v>0.02</v>
      </c>
      <c r="K5450" s="1">
        <v>0.08</v>
      </c>
      <c r="L5450" s="42">
        <v>7</v>
      </c>
      <c r="M5450" s="237">
        <v>46280</v>
      </c>
      <c r="N5450" s="1" t="e">
        <f>VLOOKUP(B5450,MICRO!E:L,8,0)</f>
        <v>#N/A</v>
      </c>
    </row>
    <row r="5451" spans="1:14" ht="20.25" x14ac:dyDescent="0.25">
      <c r="A5451" s="1">
        <v>168</v>
      </c>
      <c r="B5451" s="159"/>
      <c r="C5451" s="1" t="s">
        <v>3127</v>
      </c>
      <c r="D5451" s="1"/>
      <c r="E5451" s="1"/>
      <c r="F5451" s="1" t="s">
        <v>5915</v>
      </c>
      <c r="G5451" s="1">
        <v>140</v>
      </c>
      <c r="H5451" s="1" t="s">
        <v>19</v>
      </c>
      <c r="I5451" s="1" t="s">
        <v>3034</v>
      </c>
      <c r="J5451" s="1">
        <v>0.05</v>
      </c>
      <c r="K5451" s="1">
        <v>7</v>
      </c>
      <c r="L5451" s="42">
        <v>7</v>
      </c>
      <c r="M5451" s="237">
        <v>46280</v>
      </c>
      <c r="N5451" s="1" t="e">
        <f>VLOOKUP(B5451,MICRO!E:L,8,0)</f>
        <v>#N/A</v>
      </c>
    </row>
    <row r="5452" spans="1:14" ht="20.25" x14ac:dyDescent="0.25">
      <c r="A5452" s="1">
        <v>169</v>
      </c>
      <c r="B5452" s="159"/>
      <c r="C5452" s="1" t="s">
        <v>3127</v>
      </c>
      <c r="D5452" s="1"/>
      <c r="E5452" s="1"/>
      <c r="F5452" s="1" t="s">
        <v>5916</v>
      </c>
      <c r="G5452" s="1">
        <v>140</v>
      </c>
      <c r="H5452" s="1" t="s">
        <v>19</v>
      </c>
      <c r="I5452" s="1" t="s">
        <v>3034</v>
      </c>
      <c r="J5452" s="1">
        <v>0.02</v>
      </c>
      <c r="K5452" s="1">
        <v>2.8000000000000003</v>
      </c>
      <c r="L5452" s="42">
        <v>7</v>
      </c>
      <c r="M5452" s="237">
        <v>46280</v>
      </c>
      <c r="N5452" s="1" t="e">
        <f>VLOOKUP(B5452,MICRO!E:L,8,0)</f>
        <v>#N/A</v>
      </c>
    </row>
    <row r="5453" spans="1:14" ht="20.25" x14ac:dyDescent="0.25">
      <c r="A5453" s="1">
        <v>170</v>
      </c>
      <c r="B5453" s="159"/>
      <c r="C5453" s="1" t="s">
        <v>3127</v>
      </c>
      <c r="D5453" s="1"/>
      <c r="E5453" s="1"/>
      <c r="F5453" s="1" t="s">
        <v>5917</v>
      </c>
      <c r="G5453" s="1">
        <v>140</v>
      </c>
      <c r="H5453" s="1" t="s">
        <v>19</v>
      </c>
      <c r="I5453" s="1" t="s">
        <v>3034</v>
      </c>
      <c r="J5453" s="1">
        <v>0.01</v>
      </c>
      <c r="K5453" s="1">
        <v>1.4000000000000001</v>
      </c>
      <c r="L5453" s="42">
        <v>7</v>
      </c>
      <c r="M5453" s="237">
        <v>46280</v>
      </c>
      <c r="N5453" s="1" t="e">
        <f>VLOOKUP(B5453,MICRO!E:L,8,0)</f>
        <v>#N/A</v>
      </c>
    </row>
    <row r="5454" spans="1:14" ht="20.25" x14ac:dyDescent="0.25">
      <c r="A5454" s="1">
        <v>171</v>
      </c>
      <c r="B5454" s="159"/>
      <c r="C5454" s="1" t="s">
        <v>3296</v>
      </c>
      <c r="D5454" s="1"/>
      <c r="E5454" s="1"/>
      <c r="F5454" s="1" t="s">
        <v>5918</v>
      </c>
      <c r="G5454" s="1">
        <v>1</v>
      </c>
      <c r="H5454" s="1" t="s">
        <v>19</v>
      </c>
      <c r="I5454" s="1" t="s">
        <v>3034</v>
      </c>
      <c r="J5454" s="1">
        <v>0.05</v>
      </c>
      <c r="K5454" s="1">
        <v>0.05</v>
      </c>
      <c r="L5454" s="42">
        <v>7</v>
      </c>
      <c r="M5454" s="237">
        <v>46280</v>
      </c>
      <c r="N5454" s="1" t="e">
        <f>VLOOKUP(B5454,MICRO!E:L,8,0)</f>
        <v>#N/A</v>
      </c>
    </row>
    <row r="5455" spans="1:14" ht="20.25" x14ac:dyDescent="0.25">
      <c r="A5455" s="1">
        <v>172</v>
      </c>
      <c r="B5455" s="159"/>
      <c r="C5455" s="1" t="s">
        <v>3296</v>
      </c>
      <c r="D5455" s="1"/>
      <c r="E5455" s="1"/>
      <c r="F5455" s="1" t="s">
        <v>5919</v>
      </c>
      <c r="G5455" s="1">
        <v>2</v>
      </c>
      <c r="H5455" s="1" t="s">
        <v>19</v>
      </c>
      <c r="I5455" s="1" t="s">
        <v>3034</v>
      </c>
      <c r="J5455" s="1">
        <v>0.02</v>
      </c>
      <c r="K5455" s="1">
        <v>0.04</v>
      </c>
      <c r="L5455" s="42">
        <v>7</v>
      </c>
      <c r="M5455" s="237">
        <v>46280</v>
      </c>
      <c r="N5455" s="1" t="e">
        <f>VLOOKUP(B5455,MICRO!E:L,8,0)</f>
        <v>#N/A</v>
      </c>
    </row>
    <row r="5456" spans="1:14" ht="20.25" x14ac:dyDescent="0.25">
      <c r="A5456" s="1">
        <v>173</v>
      </c>
      <c r="B5456" s="159"/>
      <c r="C5456" s="1" t="s">
        <v>3296</v>
      </c>
      <c r="D5456" s="1"/>
      <c r="E5456" s="1"/>
      <c r="F5456" s="1" t="s">
        <v>5920</v>
      </c>
      <c r="G5456" s="1">
        <v>3</v>
      </c>
      <c r="H5456" s="1" t="s">
        <v>19</v>
      </c>
      <c r="I5456" s="1" t="s">
        <v>3034</v>
      </c>
      <c r="J5456" s="1">
        <v>0.01</v>
      </c>
      <c r="K5456" s="1">
        <v>0.03</v>
      </c>
      <c r="L5456" s="42">
        <v>7</v>
      </c>
      <c r="M5456" s="237">
        <v>46280</v>
      </c>
      <c r="N5456" s="1" t="e">
        <f>VLOOKUP(B5456,MICRO!E:L,8,0)</f>
        <v>#N/A</v>
      </c>
    </row>
    <row r="5457" spans="1:14" ht="20.25" x14ac:dyDescent="0.25">
      <c r="A5457" s="1">
        <v>174</v>
      </c>
      <c r="B5457" s="159"/>
      <c r="C5457" s="1" t="s">
        <v>3301</v>
      </c>
      <c r="D5457" s="1"/>
      <c r="E5457" s="1"/>
      <c r="F5457" s="1" t="s">
        <v>5921</v>
      </c>
      <c r="G5457" s="1">
        <v>6</v>
      </c>
      <c r="H5457" s="1" t="s">
        <v>19</v>
      </c>
      <c r="I5457" s="1" t="s">
        <v>3034</v>
      </c>
      <c r="J5457" s="1">
        <v>0.05</v>
      </c>
      <c r="K5457" s="1">
        <v>0.30000000000000004</v>
      </c>
      <c r="L5457" s="42">
        <v>7</v>
      </c>
      <c r="M5457" s="237">
        <v>46280</v>
      </c>
      <c r="N5457" s="1" t="e">
        <f>VLOOKUP(B5457,MICRO!E:L,8,0)</f>
        <v>#N/A</v>
      </c>
    </row>
    <row r="5458" spans="1:14" ht="20.25" x14ac:dyDescent="0.25">
      <c r="A5458" s="1">
        <v>175</v>
      </c>
      <c r="B5458" s="159"/>
      <c r="C5458" s="1" t="s">
        <v>3301</v>
      </c>
      <c r="D5458" s="1"/>
      <c r="E5458" s="1"/>
      <c r="F5458" s="1" t="s">
        <v>5922</v>
      </c>
      <c r="G5458" s="1">
        <v>6</v>
      </c>
      <c r="H5458" s="1" t="s">
        <v>19</v>
      </c>
      <c r="I5458" s="1" t="s">
        <v>3034</v>
      </c>
      <c r="J5458" s="1">
        <v>0.02</v>
      </c>
      <c r="K5458" s="1">
        <v>0.12</v>
      </c>
      <c r="L5458" s="42">
        <v>7</v>
      </c>
      <c r="M5458" s="237">
        <v>46280</v>
      </c>
      <c r="N5458" s="1" t="e">
        <f>VLOOKUP(B5458,MICRO!E:L,8,0)</f>
        <v>#N/A</v>
      </c>
    </row>
    <row r="5459" spans="1:14" ht="20.25" x14ac:dyDescent="0.25">
      <c r="A5459" s="1">
        <v>176</v>
      </c>
      <c r="B5459" s="159"/>
      <c r="C5459" s="1" t="s">
        <v>3301</v>
      </c>
      <c r="D5459" s="1"/>
      <c r="E5459" s="1"/>
      <c r="F5459" s="1" t="s">
        <v>5923</v>
      </c>
      <c r="G5459" s="1">
        <v>6</v>
      </c>
      <c r="H5459" s="1" t="s">
        <v>19</v>
      </c>
      <c r="I5459" s="1" t="s">
        <v>3034</v>
      </c>
      <c r="J5459" s="1">
        <v>0.01</v>
      </c>
      <c r="K5459" s="1">
        <v>0.06</v>
      </c>
      <c r="L5459" s="42">
        <v>7</v>
      </c>
      <c r="M5459" s="237">
        <v>46280</v>
      </c>
      <c r="N5459" s="1" t="e">
        <f>VLOOKUP(B5459,MICRO!E:L,8,0)</f>
        <v>#N/A</v>
      </c>
    </row>
    <row r="5460" spans="1:14" ht="20.25" x14ac:dyDescent="0.25">
      <c r="A5460" s="1">
        <v>177</v>
      </c>
      <c r="B5460" s="159"/>
      <c r="C5460" s="1" t="s">
        <v>5924</v>
      </c>
      <c r="D5460" s="1"/>
      <c r="E5460" s="1"/>
      <c r="F5460" s="1" t="s">
        <v>5925</v>
      </c>
      <c r="G5460" s="1">
        <v>29</v>
      </c>
      <c r="H5460" s="1" t="s">
        <v>19</v>
      </c>
      <c r="I5460" s="1" t="s">
        <v>3034</v>
      </c>
      <c r="J5460" s="1">
        <v>0.05</v>
      </c>
      <c r="K5460" s="1">
        <v>1.4500000000000002</v>
      </c>
      <c r="L5460" s="42">
        <v>7</v>
      </c>
      <c r="M5460" s="237">
        <v>46280</v>
      </c>
      <c r="N5460" s="1" t="e">
        <f>VLOOKUP(B5460,MICRO!E:L,8,0)</f>
        <v>#N/A</v>
      </c>
    </row>
    <row r="5461" spans="1:14" ht="20.25" x14ac:dyDescent="0.25">
      <c r="A5461" s="1">
        <v>178</v>
      </c>
      <c r="B5461" s="159"/>
      <c r="C5461" s="1" t="s">
        <v>5924</v>
      </c>
      <c r="D5461" s="1"/>
      <c r="E5461" s="1"/>
      <c r="F5461" s="1" t="s">
        <v>5926</v>
      </c>
      <c r="G5461" s="1">
        <v>29</v>
      </c>
      <c r="H5461" s="1" t="s">
        <v>19</v>
      </c>
      <c r="I5461" s="1" t="s">
        <v>3034</v>
      </c>
      <c r="J5461" s="1">
        <v>0.02</v>
      </c>
      <c r="K5461" s="1">
        <v>0.57999999999999996</v>
      </c>
      <c r="L5461" s="42">
        <v>7</v>
      </c>
      <c r="M5461" s="237">
        <v>46280</v>
      </c>
      <c r="N5461" s="1" t="e">
        <f>VLOOKUP(B5461,MICRO!E:L,8,0)</f>
        <v>#N/A</v>
      </c>
    </row>
    <row r="5462" spans="1:14" ht="20.25" x14ac:dyDescent="0.25">
      <c r="A5462" s="1">
        <v>179</v>
      </c>
      <c r="B5462" s="159"/>
      <c r="C5462" s="1" t="s">
        <v>5924</v>
      </c>
      <c r="D5462" s="1"/>
      <c r="E5462" s="1"/>
      <c r="F5462" s="1" t="s">
        <v>5927</v>
      </c>
      <c r="G5462" s="1">
        <v>29</v>
      </c>
      <c r="H5462" s="1" t="s">
        <v>19</v>
      </c>
      <c r="I5462" s="1" t="s">
        <v>3034</v>
      </c>
      <c r="J5462" s="1">
        <v>0.01</v>
      </c>
      <c r="K5462" s="1">
        <v>0.28999999999999998</v>
      </c>
      <c r="L5462" s="42">
        <v>7</v>
      </c>
      <c r="M5462" s="237">
        <v>46280</v>
      </c>
      <c r="N5462" s="1" t="e">
        <f>VLOOKUP(B5462,MICRO!E:L,8,0)</f>
        <v>#N/A</v>
      </c>
    </row>
    <row r="5463" spans="1:14" ht="20.25" x14ac:dyDescent="0.25">
      <c r="A5463" s="1">
        <v>180</v>
      </c>
      <c r="B5463" s="159"/>
      <c r="C5463" s="1" t="s">
        <v>5924</v>
      </c>
      <c r="D5463" s="1"/>
      <c r="E5463" s="1"/>
      <c r="F5463" s="1" t="s">
        <v>5928</v>
      </c>
      <c r="G5463" s="1">
        <v>12</v>
      </c>
      <c r="H5463" s="1" t="s">
        <v>19</v>
      </c>
      <c r="I5463" s="1" t="s">
        <v>3034</v>
      </c>
      <c r="J5463" s="1">
        <v>0.05</v>
      </c>
      <c r="K5463" s="1">
        <v>0.60000000000000009</v>
      </c>
      <c r="L5463" s="42">
        <v>7</v>
      </c>
      <c r="M5463" s="237">
        <v>46280</v>
      </c>
      <c r="N5463" s="1" t="e">
        <f>VLOOKUP(B5463,MICRO!E:L,8,0)</f>
        <v>#N/A</v>
      </c>
    </row>
    <row r="5464" spans="1:14" ht="20.25" x14ac:dyDescent="0.25">
      <c r="A5464" s="1">
        <v>181</v>
      </c>
      <c r="B5464" s="159"/>
      <c r="C5464" s="1" t="s">
        <v>5924</v>
      </c>
      <c r="D5464" s="1"/>
      <c r="E5464" s="1"/>
      <c r="F5464" s="1" t="s">
        <v>5929</v>
      </c>
      <c r="G5464" s="1">
        <v>12</v>
      </c>
      <c r="H5464" s="1" t="s">
        <v>19</v>
      </c>
      <c r="I5464" s="1" t="s">
        <v>3034</v>
      </c>
      <c r="J5464" s="1">
        <v>0.02</v>
      </c>
      <c r="K5464" s="1">
        <v>0.24</v>
      </c>
      <c r="L5464" s="42">
        <v>7</v>
      </c>
      <c r="M5464" s="237">
        <v>46280</v>
      </c>
      <c r="N5464" s="1" t="e">
        <f>VLOOKUP(B5464,MICRO!E:L,8,0)</f>
        <v>#N/A</v>
      </c>
    </row>
    <row r="5465" spans="1:14" ht="20.25" x14ac:dyDescent="0.25">
      <c r="A5465" s="1">
        <v>182</v>
      </c>
      <c r="B5465" s="159"/>
      <c r="C5465" s="1" t="s">
        <v>5924</v>
      </c>
      <c r="D5465" s="1"/>
      <c r="E5465" s="1"/>
      <c r="F5465" s="1" t="s">
        <v>5930</v>
      </c>
      <c r="G5465" s="1">
        <v>12</v>
      </c>
      <c r="H5465" s="1" t="s">
        <v>19</v>
      </c>
      <c r="I5465" s="1" t="s">
        <v>3034</v>
      </c>
      <c r="J5465" s="1">
        <v>0.01</v>
      </c>
      <c r="K5465" s="1">
        <v>0.12</v>
      </c>
      <c r="L5465" s="42">
        <v>7</v>
      </c>
      <c r="M5465" s="237">
        <v>46280</v>
      </c>
      <c r="N5465" s="1" t="e">
        <f>VLOOKUP(B5465,MICRO!E:L,8,0)</f>
        <v>#N/A</v>
      </c>
    </row>
    <row r="5466" spans="1:14" ht="20.25" x14ac:dyDescent="0.25">
      <c r="A5466" s="1">
        <v>183</v>
      </c>
      <c r="B5466" s="159"/>
      <c r="C5466" s="1" t="s">
        <v>3296</v>
      </c>
      <c r="D5466" s="1"/>
      <c r="E5466" s="1"/>
      <c r="F5466" s="1" t="s">
        <v>5931</v>
      </c>
      <c r="G5466" s="1">
        <v>2</v>
      </c>
      <c r="H5466" s="1" t="s">
        <v>19</v>
      </c>
      <c r="I5466" s="1" t="s">
        <v>3034</v>
      </c>
      <c r="J5466" s="1">
        <v>0.03</v>
      </c>
      <c r="K5466" s="1">
        <v>0.06</v>
      </c>
      <c r="L5466" s="42">
        <v>7</v>
      </c>
      <c r="M5466" s="237">
        <v>46280</v>
      </c>
      <c r="N5466" s="1" t="e">
        <f>VLOOKUP(B5466,MICRO!E:L,8,0)</f>
        <v>#N/A</v>
      </c>
    </row>
    <row r="5467" spans="1:14" ht="20.25" x14ac:dyDescent="0.25">
      <c r="A5467" s="1">
        <v>1</v>
      </c>
      <c r="B5467" s="159">
        <v>4531</v>
      </c>
      <c r="C5467" s="1" t="s">
        <v>5051</v>
      </c>
      <c r="D5467" s="1" t="s">
        <v>5052</v>
      </c>
      <c r="E5467" s="1" t="s">
        <v>2</v>
      </c>
      <c r="F5467" s="1" t="s">
        <v>5053</v>
      </c>
      <c r="G5467" s="1">
        <v>1</v>
      </c>
      <c r="H5467" s="1" t="s">
        <v>5932</v>
      </c>
      <c r="I5467" s="1" t="s">
        <v>3140</v>
      </c>
      <c r="J5467" s="1">
        <v>368.4</v>
      </c>
      <c r="K5467" s="1">
        <v>368.4</v>
      </c>
      <c r="L5467" s="42">
        <v>8</v>
      </c>
      <c r="M5467" s="237">
        <v>46280</v>
      </c>
      <c r="N5467" s="1" t="str">
        <f>VLOOKUP(B5467,MICRO!E:L,8,0)</f>
        <v>P-198</v>
      </c>
    </row>
    <row r="5468" spans="1:14" ht="20.25" x14ac:dyDescent="0.25">
      <c r="A5468" s="1">
        <v>2</v>
      </c>
      <c r="B5468" s="159">
        <v>4532</v>
      </c>
      <c r="C5468" s="1" t="s">
        <v>5051</v>
      </c>
      <c r="D5468" s="1" t="s">
        <v>5052</v>
      </c>
      <c r="E5468" s="1" t="s">
        <v>43</v>
      </c>
      <c r="F5468" s="1" t="s">
        <v>5054</v>
      </c>
      <c r="G5468" s="1">
        <v>1</v>
      </c>
      <c r="H5468" s="1" t="s">
        <v>5932</v>
      </c>
      <c r="I5468" s="1" t="s">
        <v>3140</v>
      </c>
      <c r="J5468" s="1">
        <v>368.7</v>
      </c>
      <c r="K5468" s="1">
        <v>368.7</v>
      </c>
      <c r="L5468" s="42">
        <v>8</v>
      </c>
      <c r="M5468" s="237">
        <v>46280</v>
      </c>
      <c r="N5468" s="1" t="str">
        <f>VLOOKUP(B5468,MICRO!E:L,8,0)</f>
        <v>P-198</v>
      </c>
    </row>
    <row r="5469" spans="1:14" ht="20.25" x14ac:dyDescent="0.25">
      <c r="A5469" s="1">
        <v>3</v>
      </c>
      <c r="B5469" s="159">
        <v>4530</v>
      </c>
      <c r="C5469" s="1" t="s">
        <v>5048</v>
      </c>
      <c r="D5469" s="1" t="s">
        <v>5049</v>
      </c>
      <c r="E5469" s="1" t="s">
        <v>2</v>
      </c>
      <c r="F5469" s="1" t="s">
        <v>5050</v>
      </c>
      <c r="G5469" s="1">
        <v>1</v>
      </c>
      <c r="H5469" s="1" t="s">
        <v>5932</v>
      </c>
      <c r="I5469" s="1" t="s">
        <v>3140</v>
      </c>
      <c r="J5469" s="1">
        <v>643.4</v>
      </c>
      <c r="K5469" s="1">
        <v>643.4</v>
      </c>
      <c r="L5469" s="42">
        <v>8</v>
      </c>
      <c r="M5469" s="237">
        <v>46280</v>
      </c>
      <c r="N5469" s="1" t="str">
        <f>VLOOKUP(B5469,MICRO!E:L,8,0)</f>
        <v>P-198</v>
      </c>
    </row>
    <row r="5470" spans="1:14" ht="20.25" x14ac:dyDescent="0.25">
      <c r="A5470" s="1">
        <v>4</v>
      </c>
      <c r="B5470" s="159">
        <v>4529</v>
      </c>
      <c r="C5470" s="1" t="s">
        <v>5045</v>
      </c>
      <c r="D5470" s="1" t="s">
        <v>5046</v>
      </c>
      <c r="E5470" s="1" t="s">
        <v>2</v>
      </c>
      <c r="F5470" s="1" t="s">
        <v>5047</v>
      </c>
      <c r="G5470" s="1">
        <v>1</v>
      </c>
      <c r="H5470" s="1" t="s">
        <v>5932</v>
      </c>
      <c r="I5470" s="1" t="s">
        <v>3140</v>
      </c>
      <c r="J5470" s="1">
        <v>886.6</v>
      </c>
      <c r="K5470" s="1">
        <v>886.6</v>
      </c>
      <c r="L5470" s="42">
        <v>8</v>
      </c>
      <c r="M5470" s="237">
        <v>46280</v>
      </c>
      <c r="N5470" s="1" t="str">
        <f>VLOOKUP(B5470,MICRO!E:L,8,0)</f>
        <v>P-198</v>
      </c>
    </row>
    <row r="5471" spans="1:14" ht="20.25" x14ac:dyDescent="0.25">
      <c r="A5471" s="1">
        <v>5</v>
      </c>
      <c r="B5471" s="159">
        <v>4527</v>
      </c>
      <c r="C5471" s="1" t="s">
        <v>5041</v>
      </c>
      <c r="D5471" s="1" t="s">
        <v>5042</v>
      </c>
      <c r="E5471" s="1" t="s">
        <v>2</v>
      </c>
      <c r="F5471" s="1" t="s">
        <v>5043</v>
      </c>
      <c r="G5471" s="1">
        <v>1</v>
      </c>
      <c r="H5471" s="1" t="s">
        <v>5932</v>
      </c>
      <c r="I5471" s="1" t="s">
        <v>3140</v>
      </c>
      <c r="J5471" s="1">
        <v>297.8</v>
      </c>
      <c r="K5471" s="1">
        <v>297.8</v>
      </c>
      <c r="L5471" s="42">
        <v>8</v>
      </c>
      <c r="M5471" s="237">
        <v>46280</v>
      </c>
      <c r="N5471" s="1" t="str">
        <f>VLOOKUP(B5471,MICRO!E:L,8,0)</f>
        <v>P-198</v>
      </c>
    </row>
    <row r="5472" spans="1:14" ht="20.25" x14ac:dyDescent="0.25">
      <c r="A5472" s="1">
        <v>6</v>
      </c>
      <c r="B5472" s="159">
        <v>4528</v>
      </c>
      <c r="C5472" s="1" t="s">
        <v>5041</v>
      </c>
      <c r="D5472" s="1" t="s">
        <v>5042</v>
      </c>
      <c r="E5472" s="1" t="s">
        <v>43</v>
      </c>
      <c r="F5472" s="1" t="s">
        <v>5044</v>
      </c>
      <c r="G5472" s="1">
        <v>1</v>
      </c>
      <c r="H5472" s="1" t="s">
        <v>5932</v>
      </c>
      <c r="I5472" s="1" t="s">
        <v>3140</v>
      </c>
      <c r="J5472" s="1">
        <v>297.8</v>
      </c>
      <c r="K5472" s="1">
        <v>297.8</v>
      </c>
      <c r="L5472" s="42">
        <v>8</v>
      </c>
      <c r="M5472" s="237">
        <v>46280</v>
      </c>
      <c r="N5472" s="1" t="str">
        <f>VLOOKUP(B5472,MICRO!E:L,8,0)</f>
        <v>P-198</v>
      </c>
    </row>
    <row r="5473" spans="1:14" ht="20.25" x14ac:dyDescent="0.25">
      <c r="A5473" s="1">
        <v>7</v>
      </c>
      <c r="B5473" s="159">
        <v>4633</v>
      </c>
      <c r="C5473" s="1" t="s">
        <v>5415</v>
      </c>
      <c r="D5473" s="1" t="s">
        <v>5229</v>
      </c>
      <c r="E5473" s="1" t="s">
        <v>2</v>
      </c>
      <c r="F5473" s="1" t="s">
        <v>5230</v>
      </c>
      <c r="G5473" s="1">
        <v>1</v>
      </c>
      <c r="H5473" s="1" t="s">
        <v>5932</v>
      </c>
      <c r="I5473" s="1" t="s">
        <v>3045</v>
      </c>
      <c r="J5473" s="1">
        <v>408.6</v>
      </c>
      <c r="K5473" s="1">
        <v>408.6</v>
      </c>
      <c r="L5473" s="42">
        <v>8</v>
      </c>
      <c r="M5473" s="237">
        <v>46280</v>
      </c>
      <c r="N5473" s="1" t="str">
        <f>VLOOKUP(B5473,MICRO!E:L,8,0)</f>
        <v>P-198</v>
      </c>
    </row>
    <row r="5474" spans="1:14" ht="20.25" x14ac:dyDescent="0.25">
      <c r="A5474" s="1">
        <v>8</v>
      </c>
      <c r="B5474" s="159">
        <v>4640</v>
      </c>
      <c r="C5474" s="1" t="s">
        <v>5281</v>
      </c>
      <c r="D5474" s="1" t="s">
        <v>5238</v>
      </c>
      <c r="E5474" s="1" t="s">
        <v>2</v>
      </c>
      <c r="F5474" s="1" t="s">
        <v>5239</v>
      </c>
      <c r="G5474" s="1">
        <v>1</v>
      </c>
      <c r="H5474" s="1" t="s">
        <v>5932</v>
      </c>
      <c r="I5474" s="1" t="s">
        <v>3045</v>
      </c>
      <c r="J5474" s="1">
        <v>204.2</v>
      </c>
      <c r="K5474" s="1">
        <v>204.2</v>
      </c>
      <c r="L5474" s="42">
        <v>8</v>
      </c>
      <c r="M5474" s="237">
        <v>46280</v>
      </c>
      <c r="N5474" s="1" t="str">
        <f>VLOOKUP(B5474,MICRO!E:L,8,0)</f>
        <v>P-198</v>
      </c>
    </row>
    <row r="5475" spans="1:14" ht="20.25" x14ac:dyDescent="0.25">
      <c r="A5475" s="1">
        <v>9</v>
      </c>
      <c r="B5475" s="159">
        <v>4661</v>
      </c>
      <c r="C5475" s="1" t="s">
        <v>5281</v>
      </c>
      <c r="D5475" s="1" t="s">
        <v>5238</v>
      </c>
      <c r="E5475" s="1" t="s">
        <v>43</v>
      </c>
      <c r="F5475" s="1" t="s">
        <v>5240</v>
      </c>
      <c r="G5475" s="1">
        <v>1</v>
      </c>
      <c r="H5475" s="1" t="s">
        <v>5932</v>
      </c>
      <c r="I5475" s="1" t="s">
        <v>3045</v>
      </c>
      <c r="J5475" s="1">
        <v>168.6</v>
      </c>
      <c r="K5475" s="1">
        <v>168.6</v>
      </c>
      <c r="L5475" s="42">
        <v>8</v>
      </c>
      <c r="M5475" s="237">
        <v>46280</v>
      </c>
      <c r="N5475" s="1" t="str">
        <f>VLOOKUP(B5475,MICRO!E:L,8,0)</f>
        <v>P-198</v>
      </c>
    </row>
    <row r="5476" spans="1:14" ht="20.25" x14ac:dyDescent="0.25">
      <c r="A5476" s="1">
        <v>10</v>
      </c>
      <c r="B5476" s="159">
        <v>4750</v>
      </c>
      <c r="C5476" s="1" t="s">
        <v>5281</v>
      </c>
      <c r="D5476" s="1" t="s">
        <v>5238</v>
      </c>
      <c r="E5476" s="1" t="s">
        <v>746</v>
      </c>
      <c r="F5476" s="1" t="s">
        <v>5416</v>
      </c>
      <c r="G5476" s="1">
        <v>1</v>
      </c>
      <c r="H5476" s="1" t="s">
        <v>5932</v>
      </c>
      <c r="I5476" s="1" t="s">
        <v>3045</v>
      </c>
      <c r="J5476" s="1">
        <v>36.4</v>
      </c>
      <c r="K5476" s="1">
        <v>36.4</v>
      </c>
      <c r="L5476" s="42">
        <v>8</v>
      </c>
      <c r="M5476" s="237">
        <v>46280</v>
      </c>
      <c r="N5476" s="1" t="str">
        <f>VLOOKUP(B5476,MICRO!E:L,8,0)</f>
        <v>P-198</v>
      </c>
    </row>
    <row r="5477" spans="1:14" ht="20.25" x14ac:dyDescent="0.25">
      <c r="A5477" s="1">
        <v>11</v>
      </c>
      <c r="B5477" s="159">
        <v>4627</v>
      </c>
      <c r="C5477" s="1" t="s">
        <v>5220</v>
      </c>
      <c r="D5477" s="1" t="s">
        <v>5221</v>
      </c>
      <c r="E5477" s="1" t="s">
        <v>2</v>
      </c>
      <c r="F5477" s="1" t="s">
        <v>5222</v>
      </c>
      <c r="G5477" s="1">
        <v>1</v>
      </c>
      <c r="H5477" s="1" t="s">
        <v>5932</v>
      </c>
      <c r="I5477" s="1" t="s">
        <v>3045</v>
      </c>
      <c r="J5477" s="1">
        <v>372</v>
      </c>
      <c r="K5477" s="1">
        <v>372</v>
      </c>
      <c r="L5477" s="42">
        <v>8</v>
      </c>
      <c r="M5477" s="237">
        <v>46280</v>
      </c>
      <c r="N5477" s="1" t="str">
        <f>VLOOKUP(B5477,MICRO!E:L,8,0)</f>
        <v>P-198</v>
      </c>
    </row>
    <row r="5478" spans="1:14" ht="20.25" x14ac:dyDescent="0.25">
      <c r="A5478" s="1">
        <v>12</v>
      </c>
      <c r="B5478" s="159">
        <v>4629</v>
      </c>
      <c r="C5478" s="1" t="s">
        <v>5220</v>
      </c>
      <c r="D5478" s="1" t="s">
        <v>5221</v>
      </c>
      <c r="E5478" s="1" t="s">
        <v>746</v>
      </c>
      <c r="F5478" s="1" t="s">
        <v>5224</v>
      </c>
      <c r="G5478" s="1">
        <v>8</v>
      </c>
      <c r="H5478" s="1" t="s">
        <v>5932</v>
      </c>
      <c r="I5478" s="1" t="s">
        <v>3045</v>
      </c>
      <c r="J5478" s="1">
        <v>2.1</v>
      </c>
      <c r="K5478" s="1">
        <v>16.8</v>
      </c>
      <c r="L5478" s="42">
        <v>8</v>
      </c>
      <c r="M5478" s="237">
        <v>46280</v>
      </c>
      <c r="N5478" s="1" t="str">
        <f>VLOOKUP(B5478,MICRO!E:L,8,0)</f>
        <v>P-198</v>
      </c>
    </row>
    <row r="5479" spans="1:14" ht="20.25" x14ac:dyDescent="0.25">
      <c r="A5479" s="1">
        <v>13</v>
      </c>
      <c r="B5479" s="159">
        <v>4630</v>
      </c>
      <c r="C5479" s="1" t="s">
        <v>5220</v>
      </c>
      <c r="D5479" s="1" t="s">
        <v>5221</v>
      </c>
      <c r="E5479" s="1" t="s">
        <v>1101</v>
      </c>
      <c r="F5479" s="1" t="s">
        <v>5225</v>
      </c>
      <c r="G5479" s="1">
        <v>2</v>
      </c>
      <c r="H5479" s="1" t="s">
        <v>5932</v>
      </c>
      <c r="I5479" s="1" t="s">
        <v>3045</v>
      </c>
      <c r="J5479" s="1">
        <v>3.2</v>
      </c>
      <c r="K5479" s="1">
        <v>3.2</v>
      </c>
      <c r="L5479" s="42">
        <v>8</v>
      </c>
      <c r="M5479" s="237">
        <v>46280</v>
      </c>
      <c r="N5479" s="1" t="str">
        <f>VLOOKUP(B5479,MICRO!E:L,8,0)</f>
        <v>P-198</v>
      </c>
    </row>
    <row r="5480" spans="1:14" ht="20.25" x14ac:dyDescent="0.25">
      <c r="A5480" s="1">
        <v>14</v>
      </c>
      <c r="B5480" s="159">
        <v>4631</v>
      </c>
      <c r="C5480" s="1" t="s">
        <v>5220</v>
      </c>
      <c r="D5480" s="1" t="s">
        <v>5221</v>
      </c>
      <c r="E5480" s="1" t="s">
        <v>100</v>
      </c>
      <c r="F5480" s="1" t="s">
        <v>5226</v>
      </c>
      <c r="G5480" s="1">
        <v>4</v>
      </c>
      <c r="H5480" s="1" t="s">
        <v>5932</v>
      </c>
      <c r="I5480" s="1" t="s">
        <v>3045</v>
      </c>
      <c r="J5480" s="1">
        <v>0.3</v>
      </c>
      <c r="K5480" s="1">
        <v>1.2</v>
      </c>
      <c r="L5480" s="42">
        <v>8</v>
      </c>
      <c r="M5480" s="237">
        <v>46280</v>
      </c>
      <c r="N5480" s="1" t="str">
        <f>VLOOKUP(B5480,MICRO!E:L,8,0)</f>
        <v>P-198</v>
      </c>
    </row>
    <row r="5481" spans="1:14" ht="20.25" x14ac:dyDescent="0.25">
      <c r="A5481" s="1">
        <v>15</v>
      </c>
      <c r="B5481" s="159">
        <v>4632</v>
      </c>
      <c r="C5481" s="1" t="s">
        <v>5220</v>
      </c>
      <c r="D5481" s="1" t="s">
        <v>5221</v>
      </c>
      <c r="E5481" s="1" t="s">
        <v>173</v>
      </c>
      <c r="F5481" s="1" t="s">
        <v>5227</v>
      </c>
      <c r="G5481" s="1">
        <v>2</v>
      </c>
      <c r="H5481" s="1" t="s">
        <v>5932</v>
      </c>
      <c r="I5481" s="1" t="s">
        <v>3045</v>
      </c>
      <c r="J5481" s="1">
        <v>14.4</v>
      </c>
      <c r="K5481" s="1">
        <v>28.8</v>
      </c>
      <c r="L5481" s="42">
        <v>8</v>
      </c>
      <c r="M5481" s="237">
        <v>46280</v>
      </c>
      <c r="N5481" s="1" t="str">
        <f>VLOOKUP(B5481,MICRO!E:L,8,0)</f>
        <v>P-198</v>
      </c>
    </row>
  </sheetData>
  <autoFilter ref="A1:O5283" xr:uid="{E826462E-1715-45FB-827E-B16DF1FB20B2}"/>
  <phoneticPr fontId="6" type="noConversion"/>
  <conditionalFormatting sqref="B764:B4406">
    <cfRule type="expression" dxfId="5" priority="5">
      <formula>$AH764="OK"</formula>
    </cfRule>
  </conditionalFormatting>
  <conditionalFormatting sqref="B4407:B4408 B4749:B5481">
    <cfRule type="expression" dxfId="4" priority="4">
      <formula>$AI4407="OK"</formula>
    </cfRule>
  </conditionalFormatting>
  <conditionalFormatting sqref="B4409:B4748">
    <cfRule type="expression" dxfId="3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74" zoomScale="85" zoomScaleNormal="85" workbookViewId="0">
      <selection activeCell="G387" sqref="G387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1074</v>
      </c>
      <c r="I333" s="113">
        <f>SUMIF(MICRO!AP:AP,O:O,MICRO!T:T)</f>
        <v>0</v>
      </c>
      <c r="J333" s="114">
        <f t="shared" si="120"/>
        <v>1</v>
      </c>
      <c r="K333" s="113">
        <f>SUMIF(MICRO!AP:AP,O:O,MICRO!X:X)</f>
        <v>1074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1074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1074</v>
      </c>
      <c r="I334" s="113">
        <f>SUMIF(MICRO!AP:AP,O:O,MICRO!T:T)</f>
        <v>0</v>
      </c>
      <c r="J334" s="114">
        <f t="shared" si="105"/>
        <v>1</v>
      </c>
      <c r="K334" s="113">
        <f>SUMIF(MICRO!AP:AP,O:O,MICRO!X:X)</f>
        <v>1074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1074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1332.5</v>
      </c>
      <c r="I335" s="113">
        <f>SUMIF(MICRO!AP:AP,O:O,MICRO!T:T)</f>
        <v>0</v>
      </c>
      <c r="J335" s="114">
        <f t="shared" ref="J335:J395" si="125">IF(G335 = 0,0,H335/G335)</f>
        <v>1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1332.5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1332.5</v>
      </c>
      <c r="I336" s="113">
        <f>SUMIF(MICRO!AP:AP,O:O,MICRO!T:T)</f>
        <v>0</v>
      </c>
      <c r="J336" s="114">
        <f t="shared" si="125"/>
        <v>1</v>
      </c>
      <c r="K336" s="113">
        <f>SUMIF(MICRO!AP:AP,O:O,MICRO!X:X)</f>
        <v>1512.1</v>
      </c>
      <c r="L336" s="114">
        <f t="shared" si="126"/>
        <v>1.1347842401500938</v>
      </c>
      <c r="M336" s="113">
        <f t="shared" si="127"/>
        <v>-179.59999999999991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1332.5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5705.5637499999993</v>
      </c>
      <c r="I357" s="113">
        <f>SUMIF(MICRO!AP:AP,O:O,MICRO!T:T)</f>
        <v>-1403.1</v>
      </c>
      <c r="J357" s="114">
        <f t="shared" si="130"/>
        <v>0.88755580704374348</v>
      </c>
      <c r="K357" s="113">
        <f>SUMIF(MICRO!AP:AP,O:O,MICRO!X:X)</f>
        <v>4808.9000000000005</v>
      </c>
      <c r="L357" s="114">
        <f t="shared" si="131"/>
        <v>0.7480710596727026</v>
      </c>
      <c r="M357" s="113">
        <f t="shared" si="132"/>
        <v>1619.4999999999982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215.80000000000004</v>
      </c>
      <c r="R357">
        <f>SUMIF(MICRO!AP:AP,O:O,MICRO!AU:AU)</f>
        <v>4809.5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1680.7</v>
      </c>
      <c r="H359" s="113">
        <f>SUMIF(MICRO!AP:AP,O:O,MICRO!R:R)</f>
        <v>1680.7</v>
      </c>
      <c r="I359" s="113">
        <f>SUMIF(MICRO!AP:AP,O:O,MICRO!T:T)</f>
        <v>0</v>
      </c>
      <c r="J359" s="114">
        <f t="shared" si="130"/>
        <v>1</v>
      </c>
      <c r="K359" s="113">
        <f>SUMIF(MICRO!AP:AP,O:O,MICRO!X:X)</f>
        <v>1680.7</v>
      </c>
      <c r="L359" s="114">
        <f t="shared" si="131"/>
        <v>1</v>
      </c>
      <c r="M359" s="113">
        <f t="shared" si="132"/>
        <v>0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1680.7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911.40000000000009</v>
      </c>
      <c r="I364" s="113">
        <f>SUMIF(MICRO!AP:AP,O:O,MICRO!T:T)</f>
        <v>0</v>
      </c>
      <c r="J364" s="114">
        <f t="shared" si="135"/>
        <v>1</v>
      </c>
      <c r="K364" s="113">
        <f>SUMIF(MICRO!AP:AP,O:O,MICRO!X:X)</f>
        <v>911.40000000000009</v>
      </c>
      <c r="L364" s="114">
        <f t="shared" si="136"/>
        <v>1</v>
      </c>
      <c r="M364" s="113">
        <f t="shared" si="137"/>
        <v>0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911.40000000000009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0</v>
      </c>
      <c r="R366">
        <f>SUMIF(MICRO!AP:AP,O:O,MICRO!AU:AU)</f>
        <v>4050.8000000000006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936.59999999999991</v>
      </c>
      <c r="L368" s="114">
        <f t="shared" si="136"/>
        <v>1</v>
      </c>
      <c r="M368" s="113">
        <f t="shared" si="137"/>
        <v>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0</v>
      </c>
      <c r="R368">
        <f>SUMIF(MICRO!AP:AP,O:O,MICRO!AU:AU)</f>
        <v>936.59999999999991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961.36874999999998</v>
      </c>
      <c r="I373" s="113">
        <f>SUMIF(MICRO!AP:AP,O:O,MICRO!T:T)</f>
        <v>-1709.1</v>
      </c>
      <c r="J373" s="114">
        <f t="shared" si="135"/>
        <v>0.5625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3236.5</v>
      </c>
      <c r="H375" s="113">
        <f>SUMIF(MICRO!AP:AP,O:O,MICRO!R:R)</f>
        <v>1820.53125</v>
      </c>
      <c r="I375" s="113">
        <f>SUMIF(MICRO!AP:AP,O:O,MICRO!T:T)</f>
        <v>-3236.5</v>
      </c>
      <c r="J375" s="114">
        <f t="shared" si="135"/>
        <v>0.5625</v>
      </c>
      <c r="K375" s="113">
        <f>SUMIF(MICRO!AP:AP,O:O,MICRO!X:X)</f>
        <v>0</v>
      </c>
      <c r="L375" s="114">
        <f t="shared" si="136"/>
        <v>0</v>
      </c>
      <c r="M375" s="113">
        <f t="shared" si="137"/>
        <v>3236.5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127.91250000000001</v>
      </c>
      <c r="I376" s="113">
        <f>SUMIF(MICRO!AP:AP,O:O,MICRO!T:T)</f>
        <v>-471.8</v>
      </c>
      <c r="J376" s="114">
        <f t="shared" si="135"/>
        <v>0.27111593895718528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97.199999999999989</v>
      </c>
      <c r="L382" s="114">
        <f t="shared" si="136"/>
        <v>1</v>
      </c>
      <c r="M382" s="113">
        <f t="shared" si="137"/>
        <v>0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97.199999999999989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135</v>
      </c>
      <c r="I383" s="113">
        <f>SUMIF(MICRO!AP:AP,O:O,MICRO!T:T)</f>
        <v>0</v>
      </c>
      <c r="J383" s="114">
        <f t="shared" si="135"/>
        <v>1</v>
      </c>
      <c r="K383" s="113">
        <f>SUMIF(MICRO!AP:AP,O:O,MICRO!X:X)</f>
        <v>135</v>
      </c>
      <c r="L383" s="114">
        <f t="shared" si="136"/>
        <v>1</v>
      </c>
      <c r="M383" s="113">
        <f t="shared" si="137"/>
        <v>0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0</v>
      </c>
      <c r="R383">
        <f>SUMIF(MICRO!AP:AP,O:O,MICRO!AU:AU)</f>
        <v>135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100.16499999999999</v>
      </c>
      <c r="I384" s="113">
        <f>SUMIF(MICRO!AP:AP,O:O,MICRO!T:T)</f>
        <v>-119.6</v>
      </c>
      <c r="J384" s="114">
        <f t="shared" si="135"/>
        <v>0.83750000000000002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8" t="s">
        <v>4834</v>
      </c>
      <c r="E385" s="111" t="str">
        <f>VLOOKUP(Tabela2[[#This Row],[TAG]],MICRO!J:L,3,0)</f>
        <v>P-207</v>
      </c>
      <c r="F385" s="109" t="s">
        <v>23</v>
      </c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str">
        <f t="shared" si="138"/>
        <v>P-207ROLOS</v>
      </c>
      <c r="O385" s="56" t="str">
        <f t="shared" si="139"/>
        <v>0102-TC09P-207ROLOS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8" t="s">
        <v>4834</v>
      </c>
      <c r="E386" s="111" t="str">
        <f>VLOOKUP(Tabela2[[#This Row],[TAG]],MICRO!J:L,3,0)</f>
        <v>P-207</v>
      </c>
      <c r="F386" s="109" t="s">
        <v>31</v>
      </c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str">
        <f t="shared" si="138"/>
        <v>P-207ESTRUTURA</v>
      </c>
      <c r="O386" s="56" t="str">
        <f t="shared" si="139"/>
        <v>0102-TC09P-207ESTRUTURA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8" t="s">
        <v>4834</v>
      </c>
      <c r="E387" s="111" t="str">
        <f>VLOOKUP(Tabela2[[#This Row],[TAG]],MICRO!J:L,3,0)</f>
        <v>P-207</v>
      </c>
      <c r="F387" s="109" t="s">
        <v>33</v>
      </c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str">
        <f t="shared" si="138"/>
        <v>P-207BASES ROLETES</v>
      </c>
      <c r="O387" s="56" t="str">
        <f t="shared" si="139"/>
        <v>0102-TC09P-207BASES ROLETES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2" priority="4">
      <formula>$AI366="OK"</formula>
    </cfRule>
  </conditionalFormatting>
  <conditionalFormatting sqref="D385:D387">
    <cfRule type="expression" dxfId="1" priority="1">
      <formula>$AI385="OK"</formula>
    </cfRule>
  </conditionalFormatting>
  <conditionalFormatting sqref="F192">
    <cfRule type="expression" dxfId="0" priority="7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2026-09-01T14:26:19Z</cp:lastPrinted>
  <dcterms:created xsi:type="dcterms:W3CDTF">2022-04-15T01:30:45Z</dcterms:created>
  <dcterms:modified xsi:type="dcterms:W3CDTF">2026-09-15T20:10:18Z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