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911" documentId="8_{FDD42E6F-94E1-48F3-8613-54A91AB43A68}" xr6:coauthVersionLast="47" xr6:coauthVersionMax="47" xr10:uidLastSave="{9CD2EA66-7FE3-4F03-A34F-BBDE685D5DAC}"/>
  <bookViews>
    <workbookView xWindow="-120" yWindow="-120" windowWidth="20730" windowHeight="1104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FiltrarBancodeDados" localSheetId="4" hidden="1">'LISTA DE EMBARQUE'!$A$1:$O$5283</definedName>
    <definedName name="_xlnm._FilterDatabase" localSheetId="4" hidden="1">'LISTA DE EMBARQUE'!$A$1:$O$5283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69" i="6" l="1"/>
  <c r="N5470" i="6"/>
  <c r="N5471" i="6"/>
  <c r="N5472" i="6"/>
  <c r="N5473" i="6"/>
  <c r="N5474" i="6"/>
  <c r="N5475" i="6"/>
  <c r="N5476" i="6"/>
  <c r="N5477" i="6"/>
  <c r="N5478" i="6"/>
  <c r="N5479" i="6"/>
  <c r="N5480" i="6"/>
  <c r="N5481" i="6"/>
  <c r="N5467" i="6"/>
  <c r="N5468" i="6"/>
  <c r="N5286" i="6"/>
  <c r="N5287" i="6"/>
  <c r="N5288" i="6"/>
  <c r="N5289" i="6"/>
  <c r="N5290" i="6"/>
  <c r="N5291" i="6"/>
  <c r="N5292" i="6"/>
  <c r="N5293" i="6"/>
  <c r="N5294" i="6"/>
  <c r="N5295" i="6"/>
  <c r="N5296" i="6"/>
  <c r="N5297" i="6"/>
  <c r="N5298" i="6"/>
  <c r="N5299" i="6"/>
  <c r="N5300" i="6"/>
  <c r="N5301" i="6"/>
  <c r="N5302" i="6"/>
  <c r="N5303" i="6"/>
  <c r="N5304" i="6"/>
  <c r="N5305" i="6"/>
  <c r="N5306" i="6"/>
  <c r="N5307" i="6"/>
  <c r="N5308" i="6"/>
  <c r="N5309" i="6"/>
  <c r="N5310" i="6"/>
  <c r="N5311" i="6"/>
  <c r="N5312" i="6"/>
  <c r="N5313" i="6"/>
  <c r="N5314" i="6"/>
  <c r="N5315" i="6"/>
  <c r="N5316" i="6"/>
  <c r="N5317" i="6"/>
  <c r="N5318" i="6"/>
  <c r="N5319" i="6"/>
  <c r="N5320" i="6"/>
  <c r="N5321" i="6"/>
  <c r="N5322" i="6"/>
  <c r="N5323" i="6"/>
  <c r="N5324" i="6"/>
  <c r="N5325" i="6"/>
  <c r="N5326" i="6"/>
  <c r="N5327" i="6"/>
  <c r="N5328" i="6"/>
  <c r="N5329" i="6"/>
  <c r="N5330" i="6"/>
  <c r="N5331" i="6"/>
  <c r="N5332" i="6"/>
  <c r="N5333" i="6"/>
  <c r="N5334" i="6"/>
  <c r="N5335" i="6"/>
  <c r="N5336" i="6"/>
  <c r="N5337" i="6"/>
  <c r="N5338" i="6"/>
  <c r="N5339" i="6"/>
  <c r="N5340" i="6"/>
  <c r="N5341" i="6"/>
  <c r="N5342" i="6"/>
  <c r="N5343" i="6"/>
  <c r="N5344" i="6"/>
  <c r="N5345" i="6"/>
  <c r="N5346" i="6"/>
  <c r="N5347" i="6"/>
  <c r="N5348" i="6"/>
  <c r="N5349" i="6"/>
  <c r="N5350" i="6"/>
  <c r="N5351" i="6"/>
  <c r="N5352" i="6"/>
  <c r="N5353" i="6"/>
  <c r="N5354" i="6"/>
  <c r="N5355" i="6"/>
  <c r="N5356" i="6"/>
  <c r="N5357" i="6"/>
  <c r="N5358" i="6"/>
  <c r="N5359" i="6"/>
  <c r="N5360" i="6"/>
  <c r="N5361" i="6"/>
  <c r="N5362" i="6"/>
  <c r="N5363" i="6"/>
  <c r="N5364" i="6"/>
  <c r="N5365" i="6"/>
  <c r="N5366" i="6"/>
  <c r="N5367" i="6"/>
  <c r="N5368" i="6"/>
  <c r="N5369" i="6"/>
  <c r="N5370" i="6"/>
  <c r="N5371" i="6"/>
  <c r="N5372" i="6"/>
  <c r="N5373" i="6"/>
  <c r="N5374" i="6"/>
  <c r="N5375" i="6"/>
  <c r="N5376" i="6"/>
  <c r="N5377" i="6"/>
  <c r="N5378" i="6"/>
  <c r="N5379" i="6"/>
  <c r="N5380" i="6"/>
  <c r="N5381" i="6"/>
  <c r="N5382" i="6"/>
  <c r="N5383" i="6"/>
  <c r="N5384" i="6"/>
  <c r="N5385" i="6"/>
  <c r="N5386" i="6"/>
  <c r="N5387" i="6"/>
  <c r="N5388" i="6"/>
  <c r="N5389" i="6"/>
  <c r="N5390" i="6"/>
  <c r="N5391" i="6"/>
  <c r="N5392" i="6"/>
  <c r="N5393" i="6"/>
  <c r="N5394" i="6"/>
  <c r="N5395" i="6"/>
  <c r="N5396" i="6"/>
  <c r="N5397" i="6"/>
  <c r="N5398" i="6"/>
  <c r="N5399" i="6"/>
  <c r="N5400" i="6"/>
  <c r="N5401" i="6"/>
  <c r="N5402" i="6"/>
  <c r="N5403" i="6"/>
  <c r="N5404" i="6"/>
  <c r="N5405" i="6"/>
  <c r="N5406" i="6"/>
  <c r="N5407" i="6"/>
  <c r="N5408" i="6"/>
  <c r="N5409" i="6"/>
  <c r="N5410" i="6"/>
  <c r="N5411" i="6"/>
  <c r="N5412" i="6"/>
  <c r="N5413" i="6"/>
  <c r="N5414" i="6"/>
  <c r="N5415" i="6"/>
  <c r="N5416" i="6"/>
  <c r="N5417" i="6"/>
  <c r="N5418" i="6"/>
  <c r="N5419" i="6"/>
  <c r="N5420" i="6"/>
  <c r="N5421" i="6"/>
  <c r="N5422" i="6"/>
  <c r="N5423" i="6"/>
  <c r="N5424" i="6"/>
  <c r="N5425" i="6"/>
  <c r="N5426" i="6"/>
  <c r="N5427" i="6"/>
  <c r="N5428" i="6"/>
  <c r="N5429" i="6"/>
  <c r="N5430" i="6"/>
  <c r="N5431" i="6"/>
  <c r="N5432" i="6"/>
  <c r="N5433" i="6"/>
  <c r="N5434" i="6"/>
  <c r="N5435" i="6"/>
  <c r="N5436" i="6"/>
  <c r="N5437" i="6"/>
  <c r="N5438" i="6"/>
  <c r="N5439" i="6"/>
  <c r="N5440" i="6"/>
  <c r="N5441" i="6"/>
  <c r="N5442" i="6"/>
  <c r="N5443" i="6"/>
  <c r="N5444" i="6"/>
  <c r="N5445" i="6"/>
  <c r="N5446" i="6"/>
  <c r="N5447" i="6"/>
  <c r="N5448" i="6"/>
  <c r="N5449" i="6"/>
  <c r="N5450" i="6"/>
  <c r="N5451" i="6"/>
  <c r="N5452" i="6"/>
  <c r="N5453" i="6"/>
  <c r="N5454" i="6"/>
  <c r="N5455" i="6"/>
  <c r="N5456" i="6"/>
  <c r="N5457" i="6"/>
  <c r="N5458" i="6"/>
  <c r="N5459" i="6"/>
  <c r="N5460" i="6"/>
  <c r="N5461" i="6"/>
  <c r="N5462" i="6"/>
  <c r="N5463" i="6"/>
  <c r="N5464" i="6"/>
  <c r="N5465" i="6"/>
  <c r="N5466" i="6"/>
  <c r="N5273" i="6"/>
  <c r="N5274" i="6"/>
  <c r="N5275" i="6"/>
  <c r="N5276" i="6"/>
  <c r="N5277" i="6"/>
  <c r="N5278" i="6"/>
  <c r="N5279" i="6"/>
  <c r="N5280" i="6"/>
  <c r="N5281" i="6"/>
  <c r="N5282" i="6"/>
  <c r="N5283" i="6"/>
  <c r="N5284" i="6"/>
  <c r="N5285" i="6"/>
  <c r="W1083" i="1"/>
  <c r="V1083" i="1"/>
  <c r="U1083" i="1"/>
  <c r="Y1083" i="1" s="1"/>
  <c r="Q1083" i="1"/>
  <c r="H1083" i="1"/>
  <c r="S1083" i="1" s="1"/>
  <c r="T1083" i="1" s="1"/>
  <c r="W1082" i="1"/>
  <c r="V1082" i="1"/>
  <c r="U1082" i="1"/>
  <c r="Y1082" i="1" s="1"/>
  <c r="Q1082" i="1"/>
  <c r="H1082" i="1"/>
  <c r="S1082" i="1" s="1"/>
  <c r="T1082" i="1" s="1"/>
  <c r="W1232" i="1"/>
  <c r="V1232" i="1"/>
  <c r="U1232" i="1"/>
  <c r="Y1232" i="1" s="1"/>
  <c r="Q1232" i="1"/>
  <c r="H1232" i="1"/>
  <c r="S1232" i="1" s="1"/>
  <c r="T1232" i="1" s="1"/>
  <c r="W1231" i="1"/>
  <c r="V1231" i="1"/>
  <c r="U1231" i="1"/>
  <c r="Y1231" i="1" s="1"/>
  <c r="Q1231" i="1"/>
  <c r="H1231" i="1"/>
  <c r="S1231" i="1" s="1"/>
  <c r="T1231" i="1" s="1"/>
  <c r="W1230" i="1"/>
  <c r="V1230" i="1"/>
  <c r="U1230" i="1"/>
  <c r="Y1230" i="1" s="1"/>
  <c r="Q1230" i="1"/>
  <c r="H1230" i="1"/>
  <c r="R1230" i="1" s="1"/>
  <c r="W1229" i="1"/>
  <c r="V1229" i="1"/>
  <c r="U1229" i="1"/>
  <c r="Y1229" i="1" s="1"/>
  <c r="Q1229" i="1"/>
  <c r="H1229" i="1"/>
  <c r="S1229" i="1" s="1"/>
  <c r="T1229" i="1" s="1"/>
  <c r="W1228" i="1"/>
  <c r="V1228" i="1"/>
  <c r="U1228" i="1"/>
  <c r="Y1228" i="1" s="1"/>
  <c r="Q1228" i="1"/>
  <c r="H1228" i="1"/>
  <c r="R1228" i="1" s="1"/>
  <c r="W1227" i="1"/>
  <c r="V1227" i="1"/>
  <c r="U1227" i="1"/>
  <c r="Y1227" i="1" s="1"/>
  <c r="Q1227" i="1"/>
  <c r="H1227" i="1"/>
  <c r="S1227" i="1" s="1"/>
  <c r="T1227" i="1" s="1"/>
  <c r="W1226" i="1"/>
  <c r="V1226" i="1"/>
  <c r="U1226" i="1"/>
  <c r="Y1226" i="1" s="1"/>
  <c r="Q1226" i="1"/>
  <c r="H1226" i="1"/>
  <c r="R1226" i="1" s="1"/>
  <c r="W1225" i="1"/>
  <c r="V1225" i="1"/>
  <c r="U1225" i="1"/>
  <c r="Y1225" i="1" s="1"/>
  <c r="Q1225" i="1"/>
  <c r="H1225" i="1"/>
  <c r="S1225" i="1" s="1"/>
  <c r="T1225" i="1" s="1"/>
  <c r="W1224" i="1"/>
  <c r="V1224" i="1"/>
  <c r="U1224" i="1"/>
  <c r="Y1224" i="1" s="1"/>
  <c r="Q1224" i="1"/>
  <c r="H1224" i="1"/>
  <c r="S1224" i="1" s="1"/>
  <c r="T1224" i="1" s="1"/>
  <c r="W1223" i="1"/>
  <c r="V1223" i="1"/>
  <c r="U1223" i="1"/>
  <c r="Y1223" i="1" s="1"/>
  <c r="Q1223" i="1"/>
  <c r="H1223" i="1"/>
  <c r="S1223" i="1" s="1"/>
  <c r="T1223" i="1" s="1"/>
  <c r="W1222" i="1"/>
  <c r="V1222" i="1"/>
  <c r="U1222" i="1"/>
  <c r="Y1222" i="1" s="1"/>
  <c r="Q1222" i="1"/>
  <c r="H1222" i="1"/>
  <c r="S1222" i="1" s="1"/>
  <c r="T1222" i="1" s="1"/>
  <c r="W1221" i="1"/>
  <c r="V1221" i="1"/>
  <c r="U1221" i="1"/>
  <c r="Y1221" i="1" s="1"/>
  <c r="Q1221" i="1"/>
  <c r="H1221" i="1"/>
  <c r="S1221" i="1" s="1"/>
  <c r="T1221" i="1" s="1"/>
  <c r="W1220" i="1"/>
  <c r="V1220" i="1"/>
  <c r="U1220" i="1"/>
  <c r="Y1220" i="1" s="1"/>
  <c r="Q1220" i="1"/>
  <c r="H1220" i="1"/>
  <c r="S1220" i="1" s="1"/>
  <c r="T1220" i="1" s="1"/>
  <c r="W1219" i="1"/>
  <c r="V1219" i="1"/>
  <c r="U1219" i="1"/>
  <c r="Y1219" i="1" s="1"/>
  <c r="Q1219" i="1"/>
  <c r="H1219" i="1"/>
  <c r="W1218" i="1"/>
  <c r="V1218" i="1"/>
  <c r="U1218" i="1"/>
  <c r="Y1218" i="1" s="1"/>
  <c r="Q1218" i="1"/>
  <c r="H1218" i="1"/>
  <c r="W1217" i="1"/>
  <c r="V1217" i="1"/>
  <c r="U1217" i="1"/>
  <c r="Y1217" i="1" s="1"/>
  <c r="Q1217" i="1"/>
  <c r="H1217" i="1"/>
  <c r="S1217" i="1" s="1"/>
  <c r="T1217" i="1" s="1"/>
  <c r="W1216" i="1"/>
  <c r="V1216" i="1"/>
  <c r="U1216" i="1"/>
  <c r="Y1216" i="1" s="1"/>
  <c r="Q1216" i="1"/>
  <c r="H1216" i="1"/>
  <c r="W1215" i="1"/>
  <c r="V1215" i="1"/>
  <c r="U1215" i="1"/>
  <c r="Y1215" i="1" s="1"/>
  <c r="Q1215" i="1"/>
  <c r="H1215" i="1"/>
  <c r="S1215" i="1" s="1"/>
  <c r="T1215" i="1" s="1"/>
  <c r="W1214" i="1"/>
  <c r="V1214" i="1"/>
  <c r="U1214" i="1"/>
  <c r="Y1214" i="1" s="1"/>
  <c r="Q1214" i="1"/>
  <c r="H1214" i="1"/>
  <c r="S1214" i="1" s="1"/>
  <c r="T1214" i="1" s="1"/>
  <c r="W1213" i="1"/>
  <c r="V1213" i="1"/>
  <c r="U1213" i="1"/>
  <c r="Y1213" i="1" s="1"/>
  <c r="Q1213" i="1"/>
  <c r="H1213" i="1"/>
  <c r="R1213" i="1" s="1"/>
  <c r="W1212" i="1"/>
  <c r="V1212" i="1"/>
  <c r="U1212" i="1"/>
  <c r="Y1212" i="1" s="1"/>
  <c r="Q1212" i="1"/>
  <c r="H1212" i="1"/>
  <c r="S1212" i="1" s="1"/>
  <c r="T1212" i="1" s="1"/>
  <c r="W1211" i="1"/>
  <c r="V1211" i="1"/>
  <c r="U1211" i="1"/>
  <c r="Y1211" i="1" s="1"/>
  <c r="Q1211" i="1"/>
  <c r="H1211" i="1"/>
  <c r="W1210" i="1"/>
  <c r="V1210" i="1"/>
  <c r="U1210" i="1"/>
  <c r="Y1210" i="1" s="1"/>
  <c r="Q1210" i="1"/>
  <c r="H1210" i="1"/>
  <c r="W1209" i="1"/>
  <c r="V1209" i="1"/>
  <c r="U1209" i="1"/>
  <c r="Y1209" i="1" s="1"/>
  <c r="Q1209" i="1"/>
  <c r="H1209" i="1"/>
  <c r="S1209" i="1" s="1"/>
  <c r="T1209" i="1" s="1"/>
  <c r="W1208" i="1"/>
  <c r="V1208" i="1"/>
  <c r="U1208" i="1"/>
  <c r="Y1208" i="1" s="1"/>
  <c r="Q1208" i="1"/>
  <c r="H1208" i="1"/>
  <c r="W1207" i="1"/>
  <c r="V1207" i="1"/>
  <c r="U1207" i="1"/>
  <c r="Y1207" i="1" s="1"/>
  <c r="Q1207" i="1"/>
  <c r="H1207" i="1"/>
  <c r="S1207" i="1" s="1"/>
  <c r="T1207" i="1" s="1"/>
  <c r="W1206" i="1"/>
  <c r="V1206" i="1"/>
  <c r="U1206" i="1"/>
  <c r="Y1206" i="1" s="1"/>
  <c r="Q1206" i="1"/>
  <c r="H1206" i="1"/>
  <c r="S1206" i="1" s="1"/>
  <c r="T1206" i="1" s="1"/>
  <c r="W1205" i="1"/>
  <c r="V1205" i="1"/>
  <c r="U1205" i="1"/>
  <c r="Y1205" i="1" s="1"/>
  <c r="Q1205" i="1"/>
  <c r="H1205" i="1"/>
  <c r="H1204" i="1"/>
  <c r="R1204" i="1" s="1"/>
  <c r="Q1204" i="1"/>
  <c r="U1204" i="1"/>
  <c r="X1204" i="1" s="1"/>
  <c r="V1204" i="1"/>
  <c r="W1204" i="1"/>
  <c r="W1203" i="1"/>
  <c r="V1203" i="1"/>
  <c r="U1203" i="1"/>
  <c r="X1203" i="1" s="1"/>
  <c r="Q1203" i="1"/>
  <c r="H1203" i="1"/>
  <c r="R1203" i="1" s="1"/>
  <c r="H1202" i="1"/>
  <c r="R1202" i="1" s="1"/>
  <c r="Q1202" i="1"/>
  <c r="U1202" i="1"/>
  <c r="X1202" i="1" s="1"/>
  <c r="V1202" i="1"/>
  <c r="W1202" i="1"/>
  <c r="W1201" i="1"/>
  <c r="V1201" i="1"/>
  <c r="U1201" i="1"/>
  <c r="Y1201" i="1" s="1"/>
  <c r="Q1201" i="1"/>
  <c r="H1201" i="1"/>
  <c r="S1201" i="1" s="1"/>
  <c r="T1201" i="1" s="1"/>
  <c r="W1200" i="1"/>
  <c r="V1200" i="1"/>
  <c r="U1200" i="1"/>
  <c r="Y1200" i="1" s="1"/>
  <c r="Q1200" i="1"/>
  <c r="H1200" i="1"/>
  <c r="S1200" i="1" s="1"/>
  <c r="T1200" i="1" s="1"/>
  <c r="W1199" i="1"/>
  <c r="V1199" i="1"/>
  <c r="U1199" i="1"/>
  <c r="Y1199" i="1" s="1"/>
  <c r="Q1199" i="1"/>
  <c r="H1199" i="1"/>
  <c r="W1198" i="1"/>
  <c r="V1198" i="1"/>
  <c r="U1198" i="1"/>
  <c r="Y1198" i="1" s="1"/>
  <c r="Q1198" i="1"/>
  <c r="H1198" i="1"/>
  <c r="S1198" i="1" s="1"/>
  <c r="T1198" i="1" s="1"/>
  <c r="W1197" i="1"/>
  <c r="V1197" i="1"/>
  <c r="U1197" i="1"/>
  <c r="Y1197" i="1" s="1"/>
  <c r="Q1197" i="1"/>
  <c r="H1197" i="1"/>
  <c r="S1197" i="1" s="1"/>
  <c r="T1197" i="1" s="1"/>
  <c r="W1196" i="1"/>
  <c r="V1196" i="1"/>
  <c r="U1196" i="1"/>
  <c r="Y1196" i="1" s="1"/>
  <c r="Q1196" i="1"/>
  <c r="H1196" i="1"/>
  <c r="R1196" i="1" s="1"/>
  <c r="W1195" i="1"/>
  <c r="V1195" i="1"/>
  <c r="U1195" i="1"/>
  <c r="Y1195" i="1" s="1"/>
  <c r="Q1195" i="1"/>
  <c r="H1195" i="1"/>
  <c r="W1194" i="1"/>
  <c r="V1194" i="1"/>
  <c r="U1194" i="1"/>
  <c r="Y1194" i="1" s="1"/>
  <c r="Q1194" i="1"/>
  <c r="H1194" i="1"/>
  <c r="S1194" i="1" s="1"/>
  <c r="T1194" i="1" s="1"/>
  <c r="W1193" i="1"/>
  <c r="V1193" i="1"/>
  <c r="U1193" i="1"/>
  <c r="Y1193" i="1" s="1"/>
  <c r="Q1193" i="1"/>
  <c r="H1193" i="1"/>
  <c r="W1192" i="1"/>
  <c r="V1192" i="1"/>
  <c r="U1192" i="1"/>
  <c r="Y1192" i="1" s="1"/>
  <c r="Q1192" i="1"/>
  <c r="H1192" i="1"/>
  <c r="W1191" i="1"/>
  <c r="V1191" i="1"/>
  <c r="U1191" i="1"/>
  <c r="Y1191" i="1" s="1"/>
  <c r="Q1191" i="1"/>
  <c r="H1191" i="1"/>
  <c r="S1191" i="1" s="1"/>
  <c r="T1191" i="1" s="1"/>
  <c r="W1190" i="1"/>
  <c r="V1190" i="1"/>
  <c r="U1190" i="1"/>
  <c r="Y1190" i="1" s="1"/>
  <c r="Q1190" i="1"/>
  <c r="H1190" i="1"/>
  <c r="S1190" i="1" s="1"/>
  <c r="T1190" i="1" s="1"/>
  <c r="W1189" i="1"/>
  <c r="V1189" i="1"/>
  <c r="U1189" i="1"/>
  <c r="Y1189" i="1" s="1"/>
  <c r="Q1189" i="1"/>
  <c r="H1189" i="1"/>
  <c r="S1189" i="1" s="1"/>
  <c r="T1189" i="1" s="1"/>
  <c r="W1188" i="1"/>
  <c r="V1188" i="1"/>
  <c r="U1188" i="1"/>
  <c r="X1188" i="1" s="1"/>
  <c r="Q1188" i="1"/>
  <c r="H1188" i="1"/>
  <c r="S1188" i="1" s="1"/>
  <c r="T1188" i="1" s="1"/>
  <c r="W1187" i="1"/>
  <c r="V1187" i="1"/>
  <c r="U1187" i="1"/>
  <c r="Y1187" i="1" s="1"/>
  <c r="Q1187" i="1"/>
  <c r="H1187" i="1"/>
  <c r="S1187" i="1" s="1"/>
  <c r="T1187" i="1" s="1"/>
  <c r="W1186" i="1"/>
  <c r="V1186" i="1"/>
  <c r="U1186" i="1"/>
  <c r="X1186" i="1" s="1"/>
  <c r="Q1186" i="1"/>
  <c r="H1186" i="1"/>
  <c r="S1186" i="1" s="1"/>
  <c r="T1186" i="1" s="1"/>
  <c r="W1185" i="1"/>
  <c r="V1185" i="1"/>
  <c r="U1185" i="1"/>
  <c r="Y1185" i="1" s="1"/>
  <c r="Q1185" i="1"/>
  <c r="H1185" i="1"/>
  <c r="S1185" i="1" s="1"/>
  <c r="T1185" i="1" s="1"/>
  <c r="W1184" i="1"/>
  <c r="V1184" i="1"/>
  <c r="U1184" i="1"/>
  <c r="X1184" i="1" s="1"/>
  <c r="Q1184" i="1"/>
  <c r="H1184" i="1"/>
  <c r="S1184" i="1" s="1"/>
  <c r="T1184" i="1" s="1"/>
  <c r="W1183" i="1"/>
  <c r="V1183" i="1"/>
  <c r="U1183" i="1"/>
  <c r="Y1183" i="1" s="1"/>
  <c r="Q1183" i="1"/>
  <c r="H1183" i="1"/>
  <c r="W1182" i="1"/>
  <c r="V1182" i="1"/>
  <c r="U1182" i="1"/>
  <c r="Y1182" i="1" s="1"/>
  <c r="Q1182" i="1"/>
  <c r="H1182" i="1"/>
  <c r="R1182" i="1" s="1"/>
  <c r="X1083" i="1" l="1"/>
  <c r="Z1083" i="1" s="1"/>
  <c r="R1083" i="1"/>
  <c r="R1082" i="1"/>
  <c r="X1082" i="1"/>
  <c r="Z1082" i="1" s="1"/>
  <c r="R1231" i="1"/>
  <c r="R1232" i="1"/>
  <c r="X1232" i="1"/>
  <c r="Z1232" i="1" s="1"/>
  <c r="X1231" i="1"/>
  <c r="Z1231" i="1" s="1"/>
  <c r="S1230" i="1"/>
  <c r="T1230" i="1" s="1"/>
  <c r="X1230" i="1"/>
  <c r="Z1230" i="1" s="1"/>
  <c r="S1228" i="1"/>
  <c r="T1228" i="1" s="1"/>
  <c r="R1225" i="1"/>
  <c r="R1229" i="1"/>
  <c r="X1229" i="1"/>
  <c r="Z1229" i="1" s="1"/>
  <c r="R1227" i="1"/>
  <c r="X1228" i="1"/>
  <c r="Z1228" i="1" s="1"/>
  <c r="X1227" i="1"/>
  <c r="Z1227" i="1" s="1"/>
  <c r="S1226" i="1"/>
  <c r="T1226" i="1" s="1"/>
  <c r="X1226" i="1"/>
  <c r="Z1226" i="1" s="1"/>
  <c r="X1225" i="1"/>
  <c r="Z1225" i="1" s="1"/>
  <c r="R1224" i="1"/>
  <c r="X1224" i="1"/>
  <c r="Z1224" i="1" s="1"/>
  <c r="R1223" i="1"/>
  <c r="X1223" i="1"/>
  <c r="Z1223" i="1" s="1"/>
  <c r="R1222" i="1"/>
  <c r="X1222" i="1"/>
  <c r="Z1222" i="1" s="1"/>
  <c r="R1221" i="1"/>
  <c r="X1221" i="1"/>
  <c r="Z1221" i="1" s="1"/>
  <c r="R1220" i="1"/>
  <c r="X1220" i="1"/>
  <c r="Z1220" i="1" s="1"/>
  <c r="R1219" i="1"/>
  <c r="S1219" i="1"/>
  <c r="T1219" i="1" s="1"/>
  <c r="X1219" i="1"/>
  <c r="Z1219" i="1" s="1"/>
  <c r="S1213" i="1"/>
  <c r="T1213" i="1" s="1"/>
  <c r="R1218" i="1"/>
  <c r="S1218" i="1"/>
  <c r="T1218" i="1" s="1"/>
  <c r="X1218" i="1"/>
  <c r="Z1218" i="1" s="1"/>
  <c r="R1217" i="1"/>
  <c r="X1217" i="1"/>
  <c r="Z1217" i="1" s="1"/>
  <c r="R1216" i="1"/>
  <c r="S1216" i="1"/>
  <c r="T1216" i="1" s="1"/>
  <c r="X1216" i="1"/>
  <c r="Z1216" i="1" s="1"/>
  <c r="R1215" i="1"/>
  <c r="X1215" i="1"/>
  <c r="Z1215" i="1" s="1"/>
  <c r="R1214" i="1"/>
  <c r="X1214" i="1"/>
  <c r="Z1214" i="1" s="1"/>
  <c r="X1213" i="1"/>
  <c r="Z1213" i="1" s="1"/>
  <c r="R1212" i="1"/>
  <c r="X1212" i="1"/>
  <c r="Z1212" i="1" s="1"/>
  <c r="R1211" i="1"/>
  <c r="S1211" i="1"/>
  <c r="T1211" i="1" s="1"/>
  <c r="X1211" i="1"/>
  <c r="Z1211" i="1" s="1"/>
  <c r="R1210" i="1"/>
  <c r="S1210" i="1"/>
  <c r="T1210" i="1" s="1"/>
  <c r="X1210" i="1"/>
  <c r="Z1210" i="1" s="1"/>
  <c r="R1209" i="1"/>
  <c r="X1209" i="1"/>
  <c r="Z1209" i="1" s="1"/>
  <c r="R1208" i="1"/>
  <c r="S1208" i="1"/>
  <c r="T1208" i="1" s="1"/>
  <c r="X1208" i="1"/>
  <c r="Z1208" i="1" s="1"/>
  <c r="R1207" i="1"/>
  <c r="X1207" i="1"/>
  <c r="Z1207" i="1" s="1"/>
  <c r="X1206" i="1"/>
  <c r="Z1206" i="1" s="1"/>
  <c r="R1206" i="1"/>
  <c r="R1205" i="1"/>
  <c r="S1205" i="1"/>
  <c r="T1205" i="1" s="1"/>
  <c r="X1205" i="1"/>
  <c r="Z1205" i="1" s="1"/>
  <c r="Z1203" i="1"/>
  <c r="Z1202" i="1"/>
  <c r="Z1204" i="1"/>
  <c r="Y1204" i="1"/>
  <c r="S1204" i="1"/>
  <c r="T1204" i="1" s="1"/>
  <c r="S1203" i="1"/>
  <c r="T1203" i="1" s="1"/>
  <c r="Y1203" i="1"/>
  <c r="Y1202" i="1"/>
  <c r="S1202" i="1"/>
  <c r="T1202" i="1" s="1"/>
  <c r="R1201" i="1"/>
  <c r="X1201" i="1"/>
  <c r="Z1201" i="1" s="1"/>
  <c r="X1200" i="1"/>
  <c r="Z1200" i="1" s="1"/>
  <c r="R1200" i="1"/>
  <c r="R1199" i="1"/>
  <c r="S1199" i="1"/>
  <c r="T1199" i="1" s="1"/>
  <c r="X1199" i="1"/>
  <c r="Z1199" i="1" s="1"/>
  <c r="R1198" i="1"/>
  <c r="X1198" i="1"/>
  <c r="Z1198" i="1" s="1"/>
  <c r="X1197" i="1"/>
  <c r="Z1197" i="1" s="1"/>
  <c r="R1197" i="1"/>
  <c r="Z1186" i="1"/>
  <c r="S1196" i="1"/>
  <c r="T1196" i="1" s="1"/>
  <c r="X1196" i="1"/>
  <c r="Z1196" i="1" s="1"/>
  <c r="X1195" i="1"/>
  <c r="Z1195" i="1" s="1"/>
  <c r="S1195" i="1"/>
  <c r="T1195" i="1" s="1"/>
  <c r="R1195" i="1"/>
  <c r="X1194" i="1"/>
  <c r="Z1194" i="1" s="1"/>
  <c r="R1194" i="1"/>
  <c r="R1193" i="1"/>
  <c r="S1193" i="1"/>
  <c r="T1193" i="1" s="1"/>
  <c r="X1193" i="1"/>
  <c r="Z1193" i="1" s="1"/>
  <c r="R1192" i="1"/>
  <c r="X1192" i="1"/>
  <c r="Z1192" i="1" s="1"/>
  <c r="S1192" i="1"/>
  <c r="T1192" i="1" s="1"/>
  <c r="X1191" i="1"/>
  <c r="Z1191" i="1" s="1"/>
  <c r="R1191" i="1"/>
  <c r="R1190" i="1"/>
  <c r="X1190" i="1"/>
  <c r="Z1190" i="1" s="1"/>
  <c r="X1189" i="1"/>
  <c r="Z1189" i="1" s="1"/>
  <c r="R1189" i="1"/>
  <c r="Y1188" i="1"/>
  <c r="R1188" i="1"/>
  <c r="Z1188" i="1"/>
  <c r="R1187" i="1"/>
  <c r="X1187" i="1"/>
  <c r="Z1187" i="1" s="1"/>
  <c r="Y1186" i="1"/>
  <c r="R1186" i="1"/>
  <c r="X1185" i="1"/>
  <c r="Z1185" i="1" s="1"/>
  <c r="R1185" i="1"/>
  <c r="Y1184" i="1"/>
  <c r="Z1184" i="1"/>
  <c r="R1184" i="1"/>
  <c r="R1183" i="1"/>
  <c r="X1183" i="1"/>
  <c r="Z1183" i="1" s="1"/>
  <c r="S1183" i="1"/>
  <c r="T1183" i="1" s="1"/>
  <c r="S1182" i="1"/>
  <c r="T1182" i="1" s="1"/>
  <c r="X1182" i="1"/>
  <c r="Z1182" i="1" s="1"/>
  <c r="W1181" i="1" l="1"/>
  <c r="V1181" i="1"/>
  <c r="U1181" i="1"/>
  <c r="Y1181" i="1" s="1"/>
  <c r="S1181" i="1"/>
  <c r="T1181" i="1" s="1"/>
  <c r="R1181" i="1"/>
  <c r="Q1181" i="1"/>
  <c r="W1180" i="1"/>
  <c r="V1180" i="1"/>
  <c r="U1180" i="1"/>
  <c r="Y1180" i="1" s="1"/>
  <c r="Q1180" i="1"/>
  <c r="H1180" i="1"/>
  <c r="S1180" i="1" s="1"/>
  <c r="T1180" i="1" s="1"/>
  <c r="W1179" i="1"/>
  <c r="V1179" i="1"/>
  <c r="U1179" i="1"/>
  <c r="X1179" i="1" s="1"/>
  <c r="Q1179" i="1"/>
  <c r="H1179" i="1"/>
  <c r="W1178" i="1"/>
  <c r="V1178" i="1"/>
  <c r="U1178" i="1"/>
  <c r="Y1178" i="1" s="1"/>
  <c r="Q1178" i="1"/>
  <c r="H1178" i="1"/>
  <c r="S1178" i="1" s="1"/>
  <c r="T1178" i="1" s="1"/>
  <c r="W1177" i="1"/>
  <c r="V1177" i="1"/>
  <c r="U1177" i="1"/>
  <c r="Y1177" i="1" s="1"/>
  <c r="Q1177" i="1"/>
  <c r="H1177" i="1"/>
  <c r="R1177" i="1" s="1"/>
  <c r="W1176" i="1"/>
  <c r="V1176" i="1"/>
  <c r="U1176" i="1"/>
  <c r="Y1176" i="1" s="1"/>
  <c r="Q1176" i="1"/>
  <c r="H1176" i="1"/>
  <c r="S1176" i="1" s="1"/>
  <c r="T1176" i="1" s="1"/>
  <c r="W1175" i="1"/>
  <c r="V1175" i="1"/>
  <c r="U1175" i="1"/>
  <c r="Y1175" i="1" s="1"/>
  <c r="Q1175" i="1"/>
  <c r="H1175" i="1"/>
  <c r="W1174" i="1"/>
  <c r="V1174" i="1"/>
  <c r="U1174" i="1"/>
  <c r="Y1174" i="1" s="1"/>
  <c r="Q1174" i="1"/>
  <c r="H1174" i="1"/>
  <c r="S1174" i="1" s="1"/>
  <c r="T1174" i="1" s="1"/>
  <c r="W1173" i="1"/>
  <c r="V1173" i="1"/>
  <c r="U1173" i="1"/>
  <c r="Y1173" i="1" s="1"/>
  <c r="Q1173" i="1"/>
  <c r="H1173" i="1"/>
  <c r="S1173" i="1" s="1"/>
  <c r="T1173" i="1" s="1"/>
  <c r="W1172" i="1"/>
  <c r="V1172" i="1"/>
  <c r="U1172" i="1"/>
  <c r="Y1172" i="1" s="1"/>
  <c r="Q1172" i="1"/>
  <c r="H1172" i="1"/>
  <c r="W1171" i="1"/>
  <c r="V1171" i="1"/>
  <c r="U1171" i="1"/>
  <c r="Y1171" i="1" s="1"/>
  <c r="Q1171" i="1"/>
  <c r="H1171" i="1"/>
  <c r="S1171" i="1" s="1"/>
  <c r="T1171" i="1" s="1"/>
  <c r="W1170" i="1"/>
  <c r="V1170" i="1"/>
  <c r="U1170" i="1"/>
  <c r="X1170" i="1" s="1"/>
  <c r="Q1170" i="1"/>
  <c r="H1170" i="1"/>
  <c r="S1170" i="1" s="1"/>
  <c r="T1170" i="1" s="1"/>
  <c r="Q1169" i="1"/>
  <c r="U1169" i="1"/>
  <c r="X1169" i="1" s="1"/>
  <c r="V1169" i="1"/>
  <c r="W1169" i="1"/>
  <c r="H1169" i="1"/>
  <c r="R1169" i="1" s="1"/>
  <c r="Q1168" i="1"/>
  <c r="U1168" i="1"/>
  <c r="Y1168" i="1" s="1"/>
  <c r="V1168" i="1"/>
  <c r="W1168" i="1"/>
  <c r="H1168" i="1"/>
  <c r="R1168" i="1" s="1"/>
  <c r="Q1167" i="1"/>
  <c r="U1167" i="1"/>
  <c r="X1167" i="1" s="1"/>
  <c r="V1167" i="1"/>
  <c r="W1167" i="1"/>
  <c r="H1167" i="1"/>
  <c r="R1167" i="1" s="1"/>
  <c r="Q1166" i="1"/>
  <c r="U1166" i="1"/>
  <c r="X1166" i="1" s="1"/>
  <c r="V1166" i="1"/>
  <c r="W1166" i="1"/>
  <c r="H1166" i="1"/>
  <c r="R1166" i="1" s="1"/>
  <c r="Q1165" i="1"/>
  <c r="U1165" i="1"/>
  <c r="Y1165" i="1" s="1"/>
  <c r="V1165" i="1"/>
  <c r="W1165" i="1"/>
  <c r="H1165" i="1"/>
  <c r="R1165" i="1" s="1"/>
  <c r="Q1164" i="1"/>
  <c r="U1164" i="1"/>
  <c r="Y1164" i="1" s="1"/>
  <c r="V1164" i="1"/>
  <c r="W1164" i="1"/>
  <c r="H1164" i="1"/>
  <c r="R1164" i="1" s="1"/>
  <c r="S1177" i="1" l="1"/>
  <c r="T1177" i="1" s="1"/>
  <c r="X1181" i="1"/>
  <c r="Z1181" i="1" s="1"/>
  <c r="Z1170" i="1"/>
  <c r="R1180" i="1"/>
  <c r="X1180" i="1"/>
  <c r="Z1180" i="1" s="1"/>
  <c r="Z1179" i="1"/>
  <c r="S1179" i="1"/>
  <c r="T1179" i="1" s="1"/>
  <c r="R1179" i="1"/>
  <c r="Y1179" i="1"/>
  <c r="R1178" i="1"/>
  <c r="X1178" i="1"/>
  <c r="Z1178" i="1" s="1"/>
  <c r="X1177" i="1"/>
  <c r="Z1177" i="1" s="1"/>
  <c r="X1176" i="1"/>
  <c r="Z1176" i="1" s="1"/>
  <c r="R1176" i="1"/>
  <c r="S1175" i="1"/>
  <c r="T1175" i="1" s="1"/>
  <c r="R1175" i="1"/>
  <c r="X1175" i="1"/>
  <c r="Z1175" i="1" s="1"/>
  <c r="X1174" i="1"/>
  <c r="Z1174" i="1" s="1"/>
  <c r="R1174" i="1"/>
  <c r="R1173" i="1"/>
  <c r="X1173" i="1"/>
  <c r="Z1173" i="1" s="1"/>
  <c r="R1172" i="1"/>
  <c r="S1172" i="1"/>
  <c r="T1172" i="1" s="1"/>
  <c r="X1172" i="1"/>
  <c r="Z1172" i="1" s="1"/>
  <c r="X1171" i="1"/>
  <c r="Z1171" i="1" s="1"/>
  <c r="R1171" i="1"/>
  <c r="R1170" i="1"/>
  <c r="Y1170" i="1"/>
  <c r="Y1169" i="1"/>
  <c r="S1169" i="1"/>
  <c r="T1169" i="1" s="1"/>
  <c r="Z1169" i="1"/>
  <c r="X1168" i="1"/>
  <c r="Z1168" i="1" s="1"/>
  <c r="S1168" i="1"/>
  <c r="T1168" i="1" s="1"/>
  <c r="Y1167" i="1"/>
  <c r="S1167" i="1"/>
  <c r="T1167" i="1" s="1"/>
  <c r="Z1167" i="1"/>
  <c r="Y1166" i="1"/>
  <c r="S1166" i="1"/>
  <c r="T1166" i="1" s="1"/>
  <c r="Z1166" i="1"/>
  <c r="X1165" i="1"/>
  <c r="Z1165" i="1" s="1"/>
  <c r="S1165" i="1"/>
  <c r="T1165" i="1" s="1"/>
  <c r="X1164" i="1"/>
  <c r="Z1164" i="1" s="1"/>
  <c r="S1164" i="1"/>
  <c r="T1164" i="1" s="1"/>
  <c r="N5251" i="6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3" i="1"/>
  <c r="V1163" i="1"/>
  <c r="U1163" i="1"/>
  <c r="Y1163" i="1" s="1"/>
  <c r="W1162" i="1"/>
  <c r="V1162" i="1"/>
  <c r="U1162" i="1"/>
  <c r="W1161" i="1"/>
  <c r="V1161" i="1"/>
  <c r="U1161" i="1"/>
  <c r="X1161" i="1" s="1"/>
  <c r="W1160" i="1"/>
  <c r="V1160" i="1"/>
  <c r="U1160" i="1"/>
  <c r="W1159" i="1"/>
  <c r="V1159" i="1"/>
  <c r="U1159" i="1"/>
  <c r="W1158" i="1"/>
  <c r="V1158" i="1"/>
  <c r="U1158" i="1"/>
  <c r="W1157" i="1"/>
  <c r="V1157" i="1"/>
  <c r="U1157" i="1"/>
  <c r="W1156" i="1"/>
  <c r="V1156" i="1"/>
  <c r="U1156" i="1"/>
  <c r="Y1156" i="1" s="1"/>
  <c r="W1155" i="1"/>
  <c r="V1155" i="1"/>
  <c r="U1155" i="1"/>
  <c r="W1154" i="1"/>
  <c r="V1154" i="1"/>
  <c r="U1154" i="1"/>
  <c r="W1153" i="1"/>
  <c r="V1153" i="1"/>
  <c r="U1153" i="1"/>
  <c r="W1152" i="1"/>
  <c r="V1152" i="1"/>
  <c r="U1152" i="1"/>
  <c r="W1151" i="1"/>
  <c r="V1151" i="1"/>
  <c r="U1151" i="1"/>
  <c r="W1150" i="1"/>
  <c r="V1150" i="1"/>
  <c r="U1150" i="1"/>
  <c r="W1149" i="1"/>
  <c r="V1149" i="1"/>
  <c r="U1149" i="1"/>
  <c r="Y1149" i="1" s="1"/>
  <c r="W1148" i="1"/>
  <c r="V1148" i="1"/>
  <c r="U1148" i="1"/>
  <c r="Y1148" i="1" s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W1110" i="1"/>
  <c r="V1110" i="1"/>
  <c r="U1110" i="1"/>
  <c r="Y1110" i="1" s="1"/>
  <c r="W1109" i="1"/>
  <c r="V1109" i="1"/>
  <c r="U1109" i="1"/>
  <c r="Y1109" i="1" s="1"/>
  <c r="W1108" i="1"/>
  <c r="V1108" i="1"/>
  <c r="U1108" i="1"/>
  <c r="X1108" i="1" s="1"/>
  <c r="W1107" i="1"/>
  <c r="V1107" i="1"/>
  <c r="U1107" i="1"/>
  <c r="X1107" i="1" s="1"/>
  <c r="W1106" i="1"/>
  <c r="V1106" i="1"/>
  <c r="U1106" i="1"/>
  <c r="Y1106" i="1" s="1"/>
  <c r="W1105" i="1"/>
  <c r="V1105" i="1"/>
  <c r="U1105" i="1"/>
  <c r="X1105" i="1" s="1"/>
  <c r="W1104" i="1"/>
  <c r="V1104" i="1"/>
  <c r="U1104" i="1"/>
  <c r="Y1104" i="1" s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V873" i="1"/>
  <c r="U873" i="1"/>
  <c r="W872" i="1"/>
  <c r="V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3" i="1"/>
  <c r="R1163" i="1"/>
  <c r="S1163" i="1"/>
  <c r="T1163" i="1" s="1"/>
  <c r="Q1111" i="1"/>
  <c r="Y1111" i="1"/>
  <c r="H1111" i="1"/>
  <c r="S1111" i="1" s="1"/>
  <c r="T1111" i="1" s="1"/>
  <c r="Q1110" i="1"/>
  <c r="H1110" i="1"/>
  <c r="R1110" i="1" s="1"/>
  <c r="Q1109" i="1"/>
  <c r="H1109" i="1"/>
  <c r="R1109" i="1" s="1"/>
  <c r="Q1108" i="1"/>
  <c r="H1108" i="1"/>
  <c r="S1108" i="1" s="1"/>
  <c r="T1108" i="1" s="1"/>
  <c r="Q1107" i="1"/>
  <c r="H1107" i="1"/>
  <c r="R1107" i="1" s="1"/>
  <c r="Q1106" i="1"/>
  <c r="H1106" i="1"/>
  <c r="S1106" i="1" s="1"/>
  <c r="T1106" i="1" s="1"/>
  <c r="Q1105" i="1"/>
  <c r="H1105" i="1"/>
  <c r="R1105" i="1" s="1"/>
  <c r="Q1104" i="1"/>
  <c r="H1104" i="1"/>
  <c r="R1104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3" i="1"/>
  <c r="H1113" i="1"/>
  <c r="Q1162" i="1"/>
  <c r="X1162" i="1"/>
  <c r="H1162" i="1"/>
  <c r="S1162" i="1" s="1"/>
  <c r="T1162" i="1" s="1"/>
  <c r="Q1161" i="1"/>
  <c r="H1161" i="1"/>
  <c r="S1161" i="1" s="1"/>
  <c r="T1161" i="1" s="1"/>
  <c r="Q1160" i="1"/>
  <c r="X1160" i="1"/>
  <c r="H1160" i="1"/>
  <c r="R1160" i="1" s="1"/>
  <c r="Q1159" i="1"/>
  <c r="X1159" i="1"/>
  <c r="H1159" i="1"/>
  <c r="S1159" i="1" s="1"/>
  <c r="T1159" i="1" s="1"/>
  <c r="Q1158" i="1"/>
  <c r="X1158" i="1"/>
  <c r="H1158" i="1"/>
  <c r="S1158" i="1" s="1"/>
  <c r="T1158" i="1" s="1"/>
  <c r="Q1157" i="1"/>
  <c r="X1157" i="1"/>
  <c r="H1157" i="1"/>
  <c r="R1157" i="1" s="1"/>
  <c r="Q1156" i="1"/>
  <c r="H1156" i="1"/>
  <c r="R1156" i="1" s="1"/>
  <c r="Q1155" i="1"/>
  <c r="X1155" i="1"/>
  <c r="H1155" i="1"/>
  <c r="S1155" i="1" s="1"/>
  <c r="T1155" i="1" s="1"/>
  <c r="Q1154" i="1"/>
  <c r="Y1154" i="1"/>
  <c r="H1154" i="1"/>
  <c r="S1154" i="1" s="1"/>
  <c r="T1154" i="1" s="1"/>
  <c r="Q1153" i="1"/>
  <c r="X1153" i="1"/>
  <c r="H1153" i="1"/>
  <c r="R1153" i="1" s="1"/>
  <c r="Q1152" i="1"/>
  <c r="X1152" i="1"/>
  <c r="H1152" i="1"/>
  <c r="S1152" i="1" s="1"/>
  <c r="T1152" i="1" s="1"/>
  <c r="Q1151" i="1"/>
  <c r="X1151" i="1"/>
  <c r="H1151" i="1"/>
  <c r="R1151" i="1" s="1"/>
  <c r="Q1150" i="1"/>
  <c r="Y1150" i="1"/>
  <c r="H1150" i="1"/>
  <c r="R1150" i="1" s="1"/>
  <c r="Q1149" i="1"/>
  <c r="H1149" i="1"/>
  <c r="R1149" i="1" s="1"/>
  <c r="Q1148" i="1"/>
  <c r="H1148" i="1"/>
  <c r="R1148" i="1" s="1"/>
  <c r="X1163" i="1" l="1"/>
  <c r="Z1163" i="1" s="1"/>
  <c r="Z1107" i="1"/>
  <c r="R1111" i="1"/>
  <c r="X1111" i="1"/>
  <c r="Z1111" i="1" s="1"/>
  <c r="X1110" i="1"/>
  <c r="Z1110" i="1" s="1"/>
  <c r="Z1108" i="1"/>
  <c r="S1110" i="1"/>
  <c r="T1110" i="1" s="1"/>
  <c r="S1109" i="1"/>
  <c r="T1109" i="1" s="1"/>
  <c r="X1109" i="1"/>
  <c r="Z1109" i="1" s="1"/>
  <c r="R1108" i="1"/>
  <c r="Y1108" i="1"/>
  <c r="S1107" i="1"/>
  <c r="T1107" i="1" s="1"/>
  <c r="Y1107" i="1"/>
  <c r="R1106" i="1"/>
  <c r="X1106" i="1"/>
  <c r="Z1106" i="1" s="1"/>
  <c r="Y1105" i="1"/>
  <c r="S1105" i="1"/>
  <c r="T1105" i="1" s="1"/>
  <c r="Z1105" i="1"/>
  <c r="X1104" i="1"/>
  <c r="Z1104" i="1" s="1"/>
  <c r="S1104" i="1"/>
  <c r="T1104" i="1" s="1"/>
  <c r="Z1162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3" i="1"/>
  <c r="Z1113" i="1" s="1"/>
  <c r="Y1113" i="1"/>
  <c r="R1113" i="1"/>
  <c r="S1113" i="1"/>
  <c r="T1113" i="1" s="1"/>
  <c r="Z1161" i="1"/>
  <c r="R1161" i="1"/>
  <c r="R1162" i="1"/>
  <c r="Y1162" i="1"/>
  <c r="Y1161" i="1"/>
  <c r="Y1160" i="1"/>
  <c r="S1160" i="1"/>
  <c r="T1160" i="1" s="1"/>
  <c r="Z1160" i="1"/>
  <c r="Z1159" i="1"/>
  <c r="Z1158" i="1"/>
  <c r="Z1152" i="1"/>
  <c r="R1158" i="1"/>
  <c r="R1159" i="1"/>
  <c r="Y1159" i="1"/>
  <c r="Y1158" i="1"/>
  <c r="Y1157" i="1"/>
  <c r="S1157" i="1"/>
  <c r="T1157" i="1" s="1"/>
  <c r="Z1157" i="1"/>
  <c r="X1156" i="1"/>
  <c r="Z1156" i="1" s="1"/>
  <c r="S1156" i="1"/>
  <c r="T1156" i="1" s="1"/>
  <c r="R1155" i="1"/>
  <c r="Z1155" i="1"/>
  <c r="Y1155" i="1"/>
  <c r="R1154" i="1"/>
  <c r="X1154" i="1"/>
  <c r="Z1154" i="1" s="1"/>
  <c r="S1153" i="1"/>
  <c r="T1153" i="1" s="1"/>
  <c r="Z1153" i="1"/>
  <c r="Y1153" i="1"/>
  <c r="R1152" i="1"/>
  <c r="Y1152" i="1"/>
  <c r="Y1151" i="1"/>
  <c r="S1151" i="1"/>
  <c r="T1151" i="1" s="1"/>
  <c r="Z1151" i="1"/>
  <c r="X1150" i="1"/>
  <c r="Z1150" i="1" s="1"/>
  <c r="S1150" i="1"/>
  <c r="T1150" i="1" s="1"/>
  <c r="X1149" i="1"/>
  <c r="Z1149" i="1" s="1"/>
  <c r="S1149" i="1"/>
  <c r="T1149" i="1" s="1"/>
  <c r="X1148" i="1"/>
  <c r="Z1148" i="1" s="1"/>
  <c r="S1148" i="1"/>
  <c r="T1148" i="1" s="1"/>
  <c r="H1147" i="1"/>
  <c r="R1147" i="1" s="1"/>
  <c r="Q1147" i="1"/>
  <c r="X1147" i="1"/>
  <c r="H1146" i="1"/>
  <c r="R1146" i="1" s="1"/>
  <c r="Q1146" i="1"/>
  <c r="Y1146" i="1"/>
  <c r="Q1145" i="1"/>
  <c r="Y1145" i="1"/>
  <c r="H1145" i="1"/>
  <c r="R1145" i="1" s="1"/>
  <c r="Q1144" i="1"/>
  <c r="Y1144" i="1"/>
  <c r="H1144" i="1"/>
  <c r="R1144" i="1" s="1"/>
  <c r="Q1143" i="1"/>
  <c r="Y1143" i="1"/>
  <c r="H1143" i="1"/>
  <c r="S1143" i="1" s="1"/>
  <c r="T1143" i="1" s="1"/>
  <c r="Q1142" i="1"/>
  <c r="Y1142" i="1"/>
  <c r="H1142" i="1"/>
  <c r="S1142" i="1" s="1"/>
  <c r="T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R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R1133" i="1" s="1"/>
  <c r="Q1132" i="1"/>
  <c r="Y1132" i="1"/>
  <c r="H1132" i="1"/>
  <c r="S1132" i="1" s="1"/>
  <c r="T1132" i="1" s="1"/>
  <c r="Q1131" i="1"/>
  <c r="Y1131" i="1"/>
  <c r="H1131" i="1"/>
  <c r="S1131" i="1" s="1"/>
  <c r="T1131" i="1" s="1"/>
  <c r="Q1130" i="1"/>
  <c r="Y1130" i="1"/>
  <c r="H1130" i="1"/>
  <c r="R1130" i="1" s="1"/>
  <c r="Q1129" i="1"/>
  <c r="Y1129" i="1"/>
  <c r="H1129" i="1"/>
  <c r="R1129" i="1" s="1"/>
  <c r="Q1128" i="1"/>
  <c r="Y1128" i="1"/>
  <c r="H1128" i="1"/>
  <c r="S1128" i="1" s="1"/>
  <c r="T1128" i="1" s="1"/>
  <c r="Q1127" i="1"/>
  <c r="Y1127" i="1"/>
  <c r="H1127" i="1"/>
  <c r="S1127" i="1" s="1"/>
  <c r="T1127" i="1" s="1"/>
  <c r="Q1126" i="1"/>
  <c r="Y1126" i="1"/>
  <c r="H1126" i="1"/>
  <c r="R1126" i="1" s="1"/>
  <c r="Q1125" i="1"/>
  <c r="Y1125" i="1"/>
  <c r="H1125" i="1"/>
  <c r="S1125" i="1" s="1"/>
  <c r="T1125" i="1" s="1"/>
  <c r="Q1124" i="1"/>
  <c r="Y1124" i="1"/>
  <c r="H1124" i="1"/>
  <c r="S1124" i="1" s="1"/>
  <c r="T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R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S1117" i="1" s="1"/>
  <c r="T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2" i="1"/>
  <c r="Y1112" i="1"/>
  <c r="H1112" i="1"/>
  <c r="R1112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3" i="1"/>
  <c r="Q1103" i="1"/>
  <c r="H1103" i="1"/>
  <c r="Y1102" i="1"/>
  <c r="Q1102" i="1"/>
  <c r="H1102" i="1"/>
  <c r="Y1101" i="1"/>
  <c r="Q1101" i="1"/>
  <c r="H1101" i="1"/>
  <c r="R1101" i="1" s="1"/>
  <c r="Y1100" i="1"/>
  <c r="Q1100" i="1"/>
  <c r="H1100" i="1"/>
  <c r="Y1099" i="1"/>
  <c r="Q1099" i="1"/>
  <c r="H1099" i="1"/>
  <c r="R1099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7" i="1" l="1"/>
  <c r="T1147" i="1" s="1"/>
  <c r="Z1147" i="1"/>
  <c r="Y1147" i="1"/>
  <c r="X1146" i="1"/>
  <c r="Z1146" i="1" s="1"/>
  <c r="S1146" i="1"/>
  <c r="T1146" i="1" s="1"/>
  <c r="X1145" i="1"/>
  <c r="Z1145" i="1" s="1"/>
  <c r="S1145" i="1"/>
  <c r="T1145" i="1" s="1"/>
  <c r="X1144" i="1"/>
  <c r="Z1144" i="1" s="1"/>
  <c r="S1144" i="1"/>
  <c r="T1144" i="1" s="1"/>
  <c r="R1143" i="1"/>
  <c r="X1143" i="1"/>
  <c r="Z1143" i="1" s="1"/>
  <c r="R1142" i="1"/>
  <c r="X1142" i="1"/>
  <c r="Z1142" i="1" s="1"/>
  <c r="R1141" i="1"/>
  <c r="X1141" i="1"/>
  <c r="Z1141" i="1" s="1"/>
  <c r="R1137" i="1"/>
  <c r="R1140" i="1"/>
  <c r="X1140" i="1"/>
  <c r="Z1140" i="1" s="1"/>
  <c r="R1139" i="1"/>
  <c r="X1139" i="1"/>
  <c r="Z1139" i="1" s="1"/>
  <c r="X1137" i="1"/>
  <c r="Z1137" i="1" s="1"/>
  <c r="X1138" i="1"/>
  <c r="Z1138" i="1" s="1"/>
  <c r="S1138" i="1"/>
  <c r="T1138" i="1" s="1"/>
  <c r="X1136" i="1"/>
  <c r="Z1136" i="1" s="1"/>
  <c r="S1136" i="1"/>
  <c r="T1136" i="1" s="1"/>
  <c r="R1135" i="1"/>
  <c r="X1135" i="1"/>
  <c r="Z1135" i="1" s="1"/>
  <c r="X1134" i="1"/>
  <c r="Z1134" i="1" s="1"/>
  <c r="S1134" i="1"/>
  <c r="T1134" i="1" s="1"/>
  <c r="X1133" i="1"/>
  <c r="Z1133" i="1" s="1"/>
  <c r="S1133" i="1"/>
  <c r="T1133" i="1" s="1"/>
  <c r="R1132" i="1"/>
  <c r="X1132" i="1"/>
  <c r="Z1132" i="1" s="1"/>
  <c r="R1131" i="1"/>
  <c r="X1131" i="1"/>
  <c r="Z1131" i="1" s="1"/>
  <c r="X1130" i="1"/>
  <c r="Z1130" i="1" s="1"/>
  <c r="S1130" i="1"/>
  <c r="T1130" i="1" s="1"/>
  <c r="X1129" i="1"/>
  <c r="Z1129" i="1" s="1"/>
  <c r="S1129" i="1"/>
  <c r="T1129" i="1" s="1"/>
  <c r="R1128" i="1"/>
  <c r="X1128" i="1"/>
  <c r="Z1128" i="1" s="1"/>
  <c r="R1127" i="1"/>
  <c r="X1127" i="1"/>
  <c r="Z1127" i="1" s="1"/>
  <c r="X1126" i="1"/>
  <c r="Z1126" i="1" s="1"/>
  <c r="S1126" i="1"/>
  <c r="T1126" i="1" s="1"/>
  <c r="R1125" i="1"/>
  <c r="X1125" i="1"/>
  <c r="Z1125" i="1" s="1"/>
  <c r="X1124" i="1"/>
  <c r="Z1124" i="1" s="1"/>
  <c r="R1124" i="1"/>
  <c r="R1123" i="1"/>
  <c r="X1123" i="1"/>
  <c r="Z1123" i="1" s="1"/>
  <c r="R1122" i="1"/>
  <c r="X1122" i="1"/>
  <c r="Z1122" i="1" s="1"/>
  <c r="X1121" i="1"/>
  <c r="Z1121" i="1" s="1"/>
  <c r="S1121" i="1"/>
  <c r="T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R1117" i="1"/>
  <c r="X1117" i="1"/>
  <c r="Z1117" i="1" s="1"/>
  <c r="R1116" i="1"/>
  <c r="X1116" i="1"/>
  <c r="Z1116" i="1" s="1"/>
  <c r="R1115" i="1"/>
  <c r="X1115" i="1"/>
  <c r="Z1115" i="1" s="1"/>
  <c r="R1114" i="1"/>
  <c r="X1114" i="1"/>
  <c r="Z1114" i="1" s="1"/>
  <c r="X1112" i="1"/>
  <c r="Z1112" i="1" s="1"/>
  <c r="S1112" i="1"/>
  <c r="T1112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3" i="1"/>
  <c r="S1103" i="1"/>
  <c r="T1103" i="1" s="1"/>
  <c r="X1103" i="1"/>
  <c r="Z1103" i="1" s="1"/>
  <c r="R1102" i="1"/>
  <c r="S1102" i="1"/>
  <c r="T1102" i="1" s="1"/>
  <c r="X1102" i="1"/>
  <c r="Z1102" i="1" s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Q1098" i="1"/>
  <c r="H1098" i="1"/>
  <c r="Q1097" i="1"/>
  <c r="H1097" i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8" i="1"/>
  <c r="X1098" i="1"/>
  <c r="Z1098" i="1" s="1"/>
  <c r="R1098" i="1"/>
  <c r="S1098" i="1"/>
  <c r="T1098" i="1" s="1"/>
  <c r="Y1097" i="1"/>
  <c r="X1097" i="1"/>
  <c r="Z1097" i="1" s="1"/>
  <c r="R1097" i="1"/>
  <c r="S1097" i="1"/>
  <c r="T1097" i="1" s="1"/>
  <c r="X1096" i="1"/>
  <c r="Z1096" i="1" s="1"/>
  <c r="Y1096" i="1"/>
  <c r="R1096" i="1"/>
  <c r="S1096" i="1"/>
  <c r="T1096" i="1" s="1"/>
  <c r="Y1095" i="1"/>
  <c r="X1095" i="1"/>
  <c r="Z1095" i="1" s="1"/>
  <c r="R1095" i="1"/>
  <c r="S1095" i="1"/>
  <c r="T1095" i="1" s="1"/>
  <c r="Y1094" i="1"/>
  <c r="X1094" i="1"/>
  <c r="Z1094" i="1" s="1"/>
  <c r="R1094" i="1"/>
  <c r="S1094" i="1"/>
  <c r="T1094" i="1" s="1"/>
  <c r="X1093" i="1"/>
  <c r="Z1093" i="1" s="1"/>
  <c r="Y1093" i="1"/>
  <c r="R1093" i="1"/>
  <c r="S1093" i="1"/>
  <c r="T1093" i="1" s="1"/>
  <c r="X1092" i="1"/>
  <c r="Z1092" i="1" s="1"/>
  <c r="Y1092" i="1"/>
  <c r="R1092" i="1"/>
  <c r="S1092" i="1"/>
  <c r="T1092" i="1" s="1"/>
  <c r="Y1091" i="1"/>
  <c r="X1091" i="1"/>
  <c r="Z1091" i="1" s="1"/>
  <c r="R1091" i="1"/>
  <c r="S1091" i="1"/>
  <c r="T1091" i="1" s="1"/>
  <c r="Y1090" i="1"/>
  <c r="X1090" i="1"/>
  <c r="Z1090" i="1" s="1"/>
  <c r="R1090" i="1"/>
  <c r="S1090" i="1"/>
  <c r="T1090" i="1" s="1"/>
  <c r="X1089" i="1"/>
  <c r="Z1089" i="1" s="1"/>
  <c r="Y1089" i="1"/>
  <c r="R1089" i="1"/>
  <c r="S1089" i="1"/>
  <c r="T1089" i="1" s="1"/>
  <c r="X1088" i="1"/>
  <c r="Z1088" i="1" s="1"/>
  <c r="Y1088" i="1"/>
  <c r="R1088" i="1"/>
  <c r="S1088" i="1"/>
  <c r="T1088" i="1" s="1"/>
  <c r="X1087" i="1"/>
  <c r="Z1087" i="1" s="1"/>
  <c r="Y1087" i="1"/>
  <c r="R1087" i="1"/>
  <c r="S1087" i="1"/>
  <c r="T1087" i="1" s="1"/>
  <c r="Y1086" i="1"/>
  <c r="X1086" i="1"/>
  <c r="Z1086" i="1" s="1"/>
  <c r="R1086" i="1"/>
  <c r="S1086" i="1"/>
  <c r="T1086" i="1" s="1"/>
  <c r="Y1085" i="1"/>
  <c r="X1085" i="1"/>
  <c r="Z1085" i="1" s="1"/>
  <c r="R1085" i="1"/>
  <c r="S1085" i="1"/>
  <c r="T1085" i="1" s="1"/>
  <c r="X1084" i="1"/>
  <c r="Z1084" i="1" s="1"/>
  <c r="Y1084" i="1"/>
  <c r="R1084" i="1"/>
  <c r="S1084" i="1"/>
  <c r="T1084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AU439" i="1" s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U440" i="1" l="1"/>
  <c r="AT440" i="1" s="1"/>
  <c r="AV443" i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<sst xmlns="http://schemas.openxmlformats.org/spreadsheetml/2006/main" count="34335" uniqueCount="5935">
  <si>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</si>
  <si>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</si>
  <si>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</si>
  <si>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</si>
  <si>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</si>
  <si>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</si>
  <si>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</si>
  <si>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</si>
  <si>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</si>
  <si>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</si>
  <si>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</si>
  <si>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</si>
  <si>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</si>
  <si>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</si>
  <si>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</si>
  <si>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</si>
  <si>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</si>
  <si>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</si>
  <si>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</si>
  <si>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</si>
  <si>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</si>
  <si>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</si>
  <si>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</si>
  <si>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</si>
  <si>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</si>
  <si>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</si>
  <si>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</si>
  <si>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</si>
  <si>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</si>
  <si>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</si>
  <si>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</si>
  <si>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</si>
  <si>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</si>
  <si>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</si>
  <si>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</si>
  <si>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</si>
  <si>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</si>
  <si>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</si>
  <si>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</si>
  <si>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</si>
  <si>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</si>
  <si>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</si>
  <si>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</si>
  <si>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</si>
  <si>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</si>
  <si>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</si>
  <si>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</si>
  <si>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</si>
  <si>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</si>
  <si>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</si>
  <si>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</si>
  <si>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</si>
  <si>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</si>
  <si>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</si>
  <si>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</si>
  <si>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</si>
  <si>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</si>
  <si>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</si>
  <si>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</si>
  <si>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</si>
  <si>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</si>
  <si>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</si>
  <si>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</si>
  <si>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</si>
  <si>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</si>
  <si>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</si>
  <si>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</si>
  <si>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</si>
  <si>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</si>
  <si>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</si>
  <si>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</si>
  <si>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</si>
  <si>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</si>
  <si>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</si>
  <si>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</si>
  <si>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</si>
  <si>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</si>
  <si>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</si>
  <si>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</si>
  <si>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</si>
  <si>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</si>
  <si>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</si>
  <si>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</si>
  <si>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</si>
  <si>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</si>
  <si>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</si>
  <si>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</si>
  <si>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</si>
  <si>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</si>
  <si>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</si>
  <si>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</si>
  <si>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</si>
  <si>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</si>
  <si>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</si>
  <si>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</si>
  <si>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</si>
  <si>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</si>
  <si>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</si>
  <si>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</si>
  <si>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</si>
  <si>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</si>
  <si>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</si>
  <si>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</si>
  <si>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</si>
  <si>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</si>
  <si>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</si>
  <si>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</si>
  <si>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</si>
  <si>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</si>
  <si>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</si>
  <si>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</si>
  <si>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</si>
  <si>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</si>
  <si>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</si>
  <si>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</si>
  <si>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</si>
  <si>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</si>
  <si>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</si>
  <si>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</si>
  <si>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</si>
  <si>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</si>
  <si>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</si>
  <si>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</si>
  <si>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</si>
  <si>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</si>
  <si>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</si>
  <si>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</si>
  <si>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</si>
  <si>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</si>
  <si>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</si>
  <si>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</si>
  <si>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</si>
  <si>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</si>
  <si>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</si>
  <si>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</si>
  <si>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</si>
  <si>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</si>
  <si>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</si>
  <si>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</si>
  <si>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</si>
  <si>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</si>
  <si>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</si>
  <si>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</si>
  <si>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</si>
  <si>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</si>
  <si>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</si>
  <si>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</si>
  <si>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</si>
  <si>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</si>
  <si>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</si>
  <si>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</si>
  <si>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</si>
  <si>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</si>
  <si>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</si>
  <si>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</si>
  <si>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</si>
  <si>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</si>
  <si>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</si>
  <si>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</si>
  <si>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</si>
  <si>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</si>
  <si>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</si>
  <si>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</si>
  <si>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</si>
  <si>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</si>
  <si>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</si>
  <si>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</si>
  <si>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</si>
  <si>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</si>
  <si>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</si>
  <si>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</si>
  <si>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</si>
  <si>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</si>
  <si>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</si>
  <si>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</si>
  <si>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</si>
  <si>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</si>
  <si>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</si>
  <si>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</si>
  <si>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</si>
  <si>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</si>
  <si>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</si>
  <si>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</si>
  <si>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</si>
  <si>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</si>
  <si>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</si>
  <si>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</si>
  <si>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</si>
  <si>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</si>
  <si>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</si>
  <si>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</si>
  <si>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</si>
  <si>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</si>
  <si>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</si>
  <si>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</si>
  <si>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</si>
  <si>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</si>
  <si>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</si>
  <si>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</si>
  <si>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</si>
  <si>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</si>
  <si>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</si>
  <si>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</si>
  <si>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</si>
  <si>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</si>
  <si>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</si>
  <si>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</si>
  <si>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</si>
  <si>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</si>
  <si>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</si>
  <si>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</si>
  <si>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</si>
  <si>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</si>
  <si>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</si>
  <si>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</si>
  <si>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</si>
  <si>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</si>
  <si>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</si>
  <si>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</si>
  <si>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</si>
  <si>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</si>
  <si>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</si>
  <si>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</si>
  <si>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</si>
  <si>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</si>
  <si>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</si>
  <si>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</si>
  <si>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</si>
  <si>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</si>
  <si>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</si>
  <si>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</si>
  <si>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</si>
  <si>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</si>
  <si>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</si>
  <si>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</si>
  <si>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</si>
  <si>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</si>
  <si>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</si>
  <si>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</si>
  <si>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</si>
  <si>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</si>
  <si>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</si>
  <si>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</si>
  <si>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</si>
  <si>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</si>
  <si>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</si>
  <si>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</si>
  <si>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</si>
  <si>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</si>
  <si>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</si>
  <si>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</si>
  <si>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</si>
  <si>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</si>
  <si>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</si>
  <si>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</si>
  <si>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</si>
  <si>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</si>
  <si>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</si>
  <si>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</si>
  <si>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</si>
  <si>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</si>
  <si>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</si>
  <si>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</si>
  <si>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</si>
  <si>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</si>
  <si>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</si>
  <si>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</si>
  <si>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</si>
  <si>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</si>
  <si>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</si>
  <si>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</si>
  <si>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</si>
  <si>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</si>
  <si>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</si>
  <si>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</si>
  <si>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</si>
  <si>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</si>
  <si>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</si>
  <si>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</si>
  <si>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</si>
  <si>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</si>
  <si>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</si>
  <si>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</si>
  <si>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</si>
  <si>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</si>
  <si>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</si>
  <si>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</si>
  <si>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</si>
  <si>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</si>
  <si>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</si>
  <si>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</si>
  <si>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</si>
  <si>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</si>
  <si>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</si>
  <si>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</si>
  <si>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</si>
  <si>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</si>
  <si>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</si>
  <si>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</si>
  <si>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</si>
  <si>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</si>
  <si>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</si>
  <si>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</si>
  <si>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</si>
  <si>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</si>
  <si>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</si>
  <si>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</si>
  <si>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</si>
  <si>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</si>
  <si>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</si>
  <si>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</si>
  <si>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</si>
  <si>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</si>
  <si>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</si>
  <si>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</si>
  <si>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</si>
  <si>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</si>
  <si>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</si>
  <si>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</si>
  <si>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</si>
  <si>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</si>
  <si>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</si>
  <si>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</si>
  <si>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</si>
  <si>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</si>
  <si>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</si>
  <si>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</si>
  <si>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</si>
  <si>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</si>
  <si>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</si>
  <si>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</si>
  <si>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</si>
  <si>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</si>
  <si>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</si>
  <si>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</si>
  <si>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</si>
  <si>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</si>
  <si>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</si>
  <si>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</si>
  <si>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</si>
  <si>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</si>
  <si>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</si>
  <si>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</si>
  <si>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</si>
  <si>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</si>
  <si>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</si>
  <si>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</si>
  <si>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</si>
  <si>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</si>
  <si>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</si>
  <si>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</si>
  <si>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</si>
  <si>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</si>
  <si>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</si>
  <si>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</si>
  <si>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</si>
  <si>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</si>
  <si>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</si>
  <si>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</si>
  <si>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</si>
  <si>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</si>
  <si>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</si>
  <si>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</si>
  <si>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</si>
  <si>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</si>
  <si>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</si>
  <si>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</si>
  <si>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</si>
  <si>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</si>
  <si>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</si>
  <si>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</si>
  <si>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</si>
  <si>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</si>
  <si>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</si>
  <si>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</si>
  <si>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</si>
  <si>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</si>
  <si>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</si>
  <si>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</si>
  <si>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</si>
  <si>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</si>
  <si>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</si>
  <si>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</si>
  <si>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</si>
  <si>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</si>
  <si>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</si>
  <si>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</si>
  <si>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</si>
  <si>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</si>
  <si>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</si>
  <si>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</si>
  <si>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</si>
  <si>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</si>
  <si>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</si>
  <si>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</si>
  <si>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</si>
  <si>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</si>
  <si>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</si>
  <si>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</si>
  <si>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</si>
  <si>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</si>
  <si>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</si>
  <si>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</si>
  <si>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</si>
  <si>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</si>
  <si>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</si>
  <si>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</si>
  <si>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</si>
  <si>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</si>
  <si>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</si>
  <si>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</si>
  <si>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</si>
  <si>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</si>
  <si>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</si>
  <si>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</si>
  <si>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</si>
  <si>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</si>
  <si>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</si>
  <si>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</si>
  <si>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</si>
  <si>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</si>
  <si>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</si>
  <si>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</si>
  <si>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</si>
  <si>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</si>
  <si>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</si>
  <si>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</si>
  <si>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</si>
  <si>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</si>
  <si>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</si>
  <si>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</si>
  <si>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</si>
  <si>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</si>
  <si>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</si>
  <si>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</si>
  <si>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</si>
  <si>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</si>
  <si>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</si>
  <si>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</si>
  <si>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</si>
  <si>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</si>
  <si>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</si>
  <si>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</si>
  <si>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</si>
  <si>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</si>
  <si>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</si>
  <si>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</si>
  <si>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</si>
  <si>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</si>
  <si>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</si>
  <si>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</si>
  <si>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</si>
  <si>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</si>
  <si>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</si>
  <si>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</si>
  <si>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</si>
  <si>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</si>
  <si>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</si>
  <si>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</si>
  <si>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</si>
  <si>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</si>
  <si>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</si>
  <si>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</si>
  <si>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</si>
  <si>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</si>
  <si>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</si>
  <si>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</si>
  <si>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</si>
  <si>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</si>
  <si>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</si>
  <si>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</si>
  <si>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</si>
  <si>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</si>
  <si>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</si>
  <si>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</si>
  <si>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</si>
  <si>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</si>
  <si>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</si>
  <si>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</si>
  <si>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</si>
  <si>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</si>
  <si>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</si>
  <si>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</si>
  <si>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</si>
  <si>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</si>
  <si>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</si>
  <si>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</si>
  <si>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</si>
  <si>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</si>
  <si>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</si>
  <si>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</si>
  <si>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</si>
  <si>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</si>
  <si>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</si>
  <si>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</si>
  <si>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</si>
  <si>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</si>
  <si>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</si>
  <si>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</si>
  <si>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</si>
  <si>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</si>
  <si>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</si>
  <si>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</si>
  <si>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</si>
  <si>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</si>
  <si>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</si>
  <si>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</si>
  <si>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</si>
  <si>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</si>
  <si>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</si>
  <si>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</si>
  <si>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</si>
  <si>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</si>
  <si>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</si>
  <si>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</si>
  <si>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</si>
  <si>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</si>
  <si>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</si>
  <si>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</si>
  <si>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</si>
  <si>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</si>
  <si>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</si>
  <si>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</si>
  <si>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</si>
  <si>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</si>
  <si>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</si>
  <si>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</si>
  <si>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</si>
  <si>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</si>
  <si>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</si>
  <si>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</si>
  <si>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</si>
  <si>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</si>
  <si>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</si>
  <si>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</si>
  <si>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</si>
  <si>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</si>
  <si>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</si>
  <si>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</si>
  <si>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</si>
  <si>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</si>
  <si>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</si>
  <si>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</si>
  <si>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</si>
  <si>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</si>
  <si>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</si>
  <si>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</si>
  <si>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</si>
  <si>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</si>
  <si>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</si>
  <si>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</si>
  <si>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</si>
  <si>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</si>
  <si>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</si>
  <si>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</si>
  <si>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</si>
  <si>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</si>
  <si>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</si>
  <si>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</si>
  <si>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</si>
  <si>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</si>
  <si>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</si>
  <si>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</si>
  <si>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</si>
  <si>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</si>
  <si>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</si>
  <si>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</si>
  <si>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</si>
  <si>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</si>
  <si>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</si>
  <si>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</si>
  <si>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</si>
  <si>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</si>
  <si>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</si>
  <si>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</si>
  <si>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</si>
  <si>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</si>
  <si>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</si>
  <si>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</si>
  <si>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</si>
  <si>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</si>
  <si>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</si>
  <si>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</si>
  <si>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</si>
  <si>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</si>
  <si>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</si>
  <si>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</si>
  <si>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</si>
  <si>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</si>
  <si>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</si>
  <si>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</si>
  <si>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</si>
  <si>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</si>
  <si>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</si>
  <si>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</si>
  <si>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</si>
  <si>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</si>
  <si>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</si>
  <si>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</si>
  <si>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</si>
  <si>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</si>
  <si>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</si>
  <si>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</si>
  <si>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</si>
  <si>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</si>
  <si>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</si>
  <si>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</si>
  <si>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</si>
  <si>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</si>
  <si>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</si>
  <si>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</si>
  <si>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</si>
  <si>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</si>
  <si>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</si>
  <si>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</si>
  <si>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</si>
  <si>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</si>
  <si>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</si>
  <si>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</si>
  <si>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</si>
  <si>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</si>
  <si>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</si>
  <si>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</si>
  <si>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</si>
  <si>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</si>
  <si>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</si>
  <si>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</si>
  <si>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</si>
  <si>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</si>
  <si>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</si>
  <si>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</si>
  <si>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</si>
  <si>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</si>
  <si>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</si>
  <si>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</si>
  <si>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</si>
  <si>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</si>
  <si>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</si>
  <si>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</si>
  <si>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</si>
  <si>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</si>
  <si>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</si>
  <si>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</si>
  <si>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</si>
  <si>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</si>
  <si>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</si>
  <si>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</si>
  <si>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</si>
  <si>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</si>
  <si>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</si>
  <si>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</si>
  <si>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</si>
  <si>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</si>
  <si>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</si>
  <si>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</si>
  <si>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</si>
  <si>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</si>
  <si>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</si>
  <si>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</si>
  <si>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</si>
  <si>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</si>
  <si>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</si>
  <si>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</si>
  <si>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</si>
  <si>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</si>
  <si>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</si>
  <si>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</si>
  <si>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</si>
  <si>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</si>
  <si>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</si>
  <si>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</si>
  <si>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</si>
  <si>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</si>
  <si>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</si>
  <si>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</si>
  <si>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</si>
  <si>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</si>
  <si>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</si>
  <si>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</si>
  <si>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</si>
  <si>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</si>
  <si>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</si>
  <si>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</si>
  <si>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</si>
  <si>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</si>
  <si>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</si>
  <si>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</si>
  <si>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</si>
  <si>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</si>
  <si>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</si>
  <si>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</si>
  <si>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</si>
  <si>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</si>
  <si>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</si>
  <si>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</si>
  <si>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</si>
  <si>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</si>
  <si>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</si>
  <si>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</si>
  <si>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</si>
  <si>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</si>
  <si>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</si>
  <si>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</si>
  <si>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</si>
  <si>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</si>
  <si>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</si>
  <si>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</si>
  <si>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</si>
  <si>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</si>
  <si>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</si>
  <si>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</si>
  <si>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</si>
  <si>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</si>
  <si>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</si>
  <si>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</si>
  <si>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</si>
  <si>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</si>
  <si>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</si>
  <si>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</si>
  <si>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</si>
  <si>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</si>
  <si>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</si>
  <si>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</si>
  <si>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</si>
  <si>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</si>
  <si>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</si>
  <si>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</si>
  <si>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</si>
  <si>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</si>
  <si>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</si>
  <si>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</si>
  <si>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</si>
  <si>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</si>
  <si>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</si>
  <si>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</si>
  <si>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</si>
  <si>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</si>
  <si>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</si>
  <si>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</si>
  <si>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</si>
  <si>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</si>
  <si>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</si>
  <si>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</si>
  <si>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</si>
  <si>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</si>
  <si>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</si>
  <si>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</si>
  <si>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</si>
  <si>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</si>
  <si>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</si>
  <si>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</si>
  <si>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</si>
  <si>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</si>
  <si>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</si>
  <si>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</si>
  <si>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</si>
  <si>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</si>
  <si>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</si>
  <si>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</si>
  <si>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</si>
  <si>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</si>
  <si>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</si>
  <si>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</si>
  <si>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</si>
  <si>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</si>
  <si>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</si>
  <si>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</si>
  <si>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</si>
  <si>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</si>
  <si>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</si>
  <si>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</si>
  <si>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</si>
  <si>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</si>
  <si>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</si>
  <si>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</si>
  <si>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</si>
  <si>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</si>
  <si>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</si>
  <si>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</si>
  <si>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</si>
  <si>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</si>
  <si>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</si>
  <si>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</si>
  <si>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</si>
  <si>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</si>
  <si>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</si>
  <si>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</si>
  <si>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</si>
  <si>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</si>
  <si>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</si>
  <si>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</si>
  <si>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</si>
  <si>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</si>
  <si>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</si>
  <si>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</si>
  <si>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</si>
  <si>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</si>
  <si>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</si>
  <si>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</si>
  <si>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</si>
  <si>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</si>
  <si>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</si>
  <si>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</si>
  <si>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</si>
  <si>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</si>
  <si>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</si>
  <si>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</si>
  <si>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</si>
  <si>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</si>
  <si>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</si>
  <si>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</si>
  <si>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</si>
  <si>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</si>
  <si>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</si>
  <si>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</si>
  <si>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</si>
  <si>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</si>
  <si>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</si>
  <si>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</si>
  <si>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</si>
  <si>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</si>
  <si>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</si>
  <si>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</si>
  <si>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</si>
  <si>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</si>
  <si>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</si>
  <si>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</si>
  <si>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</si>
  <si>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</si>
  <si>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</si>
  <si>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</si>
  <si>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</si>
  <si>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</si>
  <si>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</si>
  <si>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</si>
  <si>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</si>
  <si>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</si>
  <si>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</si>
  <si>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</si>
  <si>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</si>
  <si>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</si>
  <si>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</si>
  <si>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</si>
  <si>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</si>
  <si>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</si>
  <si>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</si>
  <si>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</si>
  <si>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</si>
  <si>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</si>
  <si>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</si>
  <si>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</si>
  <si>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</si>
  <si>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</si>
  <si>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</si>
  <si>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</si>
  <si>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</si>
  <si>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</si>
  <si>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</si>
  <si>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</si>
  <si>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</si>
  <si>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</si>
  <si>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</si>
  <si>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</si>
  <si>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</si>
  <si>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</si>
  <si>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</si>
  <si>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</si>
  <si>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</si>
  <si>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</si>
  <si>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</si>
  <si>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</si>
  <si>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</si>
  <si>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</si>
  <si>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</si>
  <si>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</si>
  <si>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</si>
  <si>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</si>
  <si>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</si>
  <si>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</si>
  <si>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</si>
  <si>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</si>
  <si>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</si>
  <si>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</si>
  <si>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</si>
  <si>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</si>
  <si>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</si>
  <si>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</si>
  <si>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</si>
  <si>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</si>
  <si>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</si>
  <si>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</si>
  <si>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</si>
  <si>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</si>
  <si>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</si>
  <si>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</si>
  <si>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</si>
  <si>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</si>
  <si>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</si>
  <si>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</si>
  <si>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</si>
  <si>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</si>
  <si>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</si>
  <si>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</si>
  <si>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</si>
  <si>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</si>
  <si>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</si>
  <si>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</si>
  <si>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</si>
  <si>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</si>
  <si>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</si>
  <si>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</si>
  <si>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</si>
  <si>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</si>
  <si>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</si>
  <si>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</si>
  <si>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</si>
  <si>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</si>
  <si>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</si>
  <si>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</si>
  <si>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</si>
  <si>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</si>
  <si>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</si>
  <si>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</si>
  <si>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</si>
  <si>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</si>
  <si>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</si>
  <si>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</si>
  <si>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</si>
  <si>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</si>
  <si>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</si>
  <si>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</si>
  <si>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</si>
  <si>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</si>
  <si>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</si>
  <si>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</si>
  <si>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</si>
  <si>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</si>
  <si>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</si>
  <si>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</si>
  <si>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</si>
  <si>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</si>
  <si>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</si>
  <si>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</si>
  <si>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</si>
  <si>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</si>
  <si>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</si>
  <si>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</si>
  <si>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</si>
  <si>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</si>
  <si>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</si>
  <si>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</si>
  <si>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</si>
  <si>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</si>
  <si>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</si>
  <si>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</si>
  <si>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</si>
  <si>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</si>
  <si>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</si>
  <si>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</si>
  <si>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</si>
  <si>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</si>
  <si>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</si>
  <si>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</si>
  <si>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</si>
  <si>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</si>
  <si>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</si>
  <si>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</si>
  <si>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</si>
  <si>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</si>
  <si>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</si>
  <si>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</si>
  <si>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</si>
  <si>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</si>
  <si>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</si>
  <si>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</si>
  <si>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</si>
  <si>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</si>
  <si>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</si>
  <si>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</si>
  <si>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</si>
  <si>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</si>
  <si>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</si>
  <si>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</si>
  <si>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</si>
  <si>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</si>
  <si>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</si>
  <si>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</si>
  <si>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</si>
  <si>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</si>
  <si>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</si>
  <si>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</si>
  <si>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</si>
  <si>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</si>
  <si>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</si>
  <si>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</si>
  <si>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</si>
  <si>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</si>
  <si>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</si>
  <si>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</si>
  <si>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</si>
  <si>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</si>
  <si>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</si>
  <si>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</si>
  <si>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</si>
  <si>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</si>
  <si>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</si>
  <si>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</si>
  <si>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</si>
  <si>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</si>
  <si>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</si>
  <si>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</si>
  <si>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</si>
  <si>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</si>
  <si>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</si>
  <si>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</si>
  <si>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</si>
  <si>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</si>
  <si>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</si>
  <si>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</si>
  <si>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</si>
  <si>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</si>
  <si>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</si>
  <si>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</si>
  <si>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</si>
  <si>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</si>
  <si>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</si>
  <si>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</si>
  <si>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</si>
  <si>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</si>
  <si>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</si>
  <si>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</si>
  <si>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</si>
  <si>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</si>
  <si>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</si>
  <si>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</si>
  <si>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</si>
  <si>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</si>
  <si>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</si>
  <si>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</si>
  <si>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</si>
  <si>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</si>
  <si>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</si>
  <si>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</si>
  <si>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</si>
  <si>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</si>
  <si>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</si>
  <si>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</si>
  <si>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</si>
  <si>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</si>
  <si>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</si>
  <si>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</si>
  <si>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</si>
  <si>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</si>
  <si>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</si>
  <si>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</si>
  <si>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</si>
  <si>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</si>
  <si>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</si>
  <si>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</si>
  <si>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</si>
  <si>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</si>
  <si>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</si>
  <si>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</si>
  <si>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</si>
  <si>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</si>
  <si>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</si>
  <si>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</si>
  <si>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</si>
  <si>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</si>
  <si>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</si>
  <si>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</si>
  <si>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</si>
  <si>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</si>
  <si>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</si>
  <si>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</si>
  <si>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</si>
  <si>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</si>
  <si>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</si>
  <si>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</si>
  <si>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</si>
  <si>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</si>
  <si>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</si>
  <si>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</si>
  <si>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</si>
  <si>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</si>
  <si>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</si>
  <si>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</si>
  <si>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</si>
  <si>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</si>
  <si>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</si>
  <si>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</si>
  <si>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</si>
  <si>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</si>
  <si>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</si>
  <si>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</si>
  <si>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</si>
  <si>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</si>
  <si>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</si>
  <si>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</si>
  <si>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</si>
  <si>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</si>
  <si>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</si>
  <si>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</si>
  <si>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</si>
  <si>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</si>
  <si>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</si>
  <si>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</si>
  <si>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</si>
  <si>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</si>
  <si>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</si>
  <si>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</si>
  <si>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</si>
  <si>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</si>
  <si>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</si>
  <si>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</si>
  <si>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</si>
  <si>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</si>
  <si>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</si>
  <si>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</si>
  <si>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</si>
  <si>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</si>
  <si>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</si>
  <si>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</si>
  <si>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</si>
  <si>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</si>
  <si>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</si>
  <si>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</si>
  <si>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</si>
  <si>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</si>
  <si>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</si>
  <si>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</si>
  <si>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</si>
  <si>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</si>
  <si>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</si>
  <si>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</si>
  <si>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</si>
  <si>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</si>
  <si>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</si>
  <si>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</si>
  <si>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</si>
  <si>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</si>
  <si>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</si>
  <si>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</si>
  <si>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</si>
  <si>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</si>
  <si>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</si>
  <si>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</si>
  <si>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</si>
  <si>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</si>
  <si>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</si>
  <si>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</si>
  <si>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</si>
  <si>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</si>
  <si>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</si>
  <si>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</si>
  <si>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</si>
  <si>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</si>
  <si>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</si>
  <si>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</si>
  <si>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</si>
  <si>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</si>
  <si>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</si>
  <si>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</si>
  <si>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</si>
  <si>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</si>
  <si>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</si>
  <si>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</si>
  <si>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</si>
  <si>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</si>
  <si>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</si>
  <si>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</si>
  <si>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</si>
  <si>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</si>
  <si>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</si>
  <si>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</si>
  <si>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</si>
  <si>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</si>
  <si>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</si>
  <si>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</si>
  <si>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</si>
  <si>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</si>
  <si>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</si>
  <si>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</si>
  <si>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</si>
  <si>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</si>
  <si>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</si>
  <si>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</si>
  <si>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</si>
  <si>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</si>
  <si>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</si>
  <si>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</si>
  <si>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</si>
  <si>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</si>
  <si>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</si>
  <si>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</si>
  <si>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</si>
  <si>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</si>
  <si>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</si>
  <si>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</si>
  <si>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</si>
  <si>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</si>
  <si>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</si>
  <si>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</si>
  <si>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</si>
  <si>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</si>
  <si>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</si>
  <si>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</si>
  <si>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</si>
  <si>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</si>
  <si>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</si>
  <si>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</si>
  <si>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</si>
  <si>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</si>
  <si>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</si>
  <si>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</si>
  <si>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</si>
  <si>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</si>
  <si>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</si>
  <si>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</si>
  <si>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</si>
  <si>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</si>
  <si>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</si>
  <si>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</si>
  <si>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</si>
  <si>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</si>
  <si>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</si>
  <si>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</si>
  <si>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</si>
  <si>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</si>
  <si>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</si>
  <si>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</si>
  <si>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</si>
  <si>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</si>
  <si>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</si>
  <si>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</si>
  <si>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</si>
  <si>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</si>
  <si>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</si>
  <si>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</si>
  <si>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</si>
  <si>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</si>
  <si>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</si>
  <si>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</si>
  <si>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</si>
  <si>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</si>
  <si>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</si>
  <si>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</si>
  <si>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</si>
  <si>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</si>
  <si>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</si>
  <si>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</si>
  <si>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</si>
  <si>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</si>
  <si>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</si>
  <si>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</si>
  <si>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</si>
  <si>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</si>
  <si>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</si>
  <si>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</si>
  <si>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</si>
  <si>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</si>
  <si>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</si>
  <si>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</si>
  <si>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</si>
  <si>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</si>
  <si>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</si>
  <si>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</si>
  <si>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</si>
  <si>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</si>
  <si>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</si>
  <si>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</si>
  <si>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</si>
  <si>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</si>
  <si>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</si>
  <si>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</si>
  <si>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</si>
  <si>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</si>
  <si>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</si>
  <si>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</si>
  <si>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</si>
  <si>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</si>
  <si>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</si>
  <si>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</si>
  <si>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</si>
  <si>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</si>
  <si>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</si>
  <si>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</si>
  <si>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</si>
  <si>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</si>
  <si>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</si>
  <si>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</si>
  <si>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</si>
  <si>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</si>
  <si>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</si>
  <si>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</si>
  <si>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</si>
  <si>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</si>
  <si>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</si>
  <si>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</si>
  <si>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</si>
  <si>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</si>
  <si>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</si>
  <si>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</si>
  <si>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</si>
  <si>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</si>
  <si>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</si>
  <si>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</si>
  <si>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</si>
  <si>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</si>
  <si>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</si>
  <si>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</si>
  <si>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</si>
  <si>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</si>
  <si>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</si>
  <si>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</si>
  <si>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</si>
  <si>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</si>
  <si>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</si>
  <si>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</si>
  <si>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</si>
  <si>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</si>
  <si>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</si>
  <si>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</si>
  <si>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</si>
  <si>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</si>
  <si>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</si>
  <si>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</si>
  <si>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</si>
  <si>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</si>
  <si>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</si>
  <si>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</si>
  <si>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</si>
  <si>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</si>
  <si>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</si>
  <si>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</si>
  <si>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</si>
  <si>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</si>
  <si>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</si>
  <si>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</si>
  <si>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</si>
  <si>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</si>
  <si>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</si>
  <si>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</si>
  <si>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</si>
  <si>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</si>
  <si>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</si>
  <si>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</si>
  <si>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</si>
  <si>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</si>
  <si>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</si>
  <si>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</si>
  <si>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</si>
  <si>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</si>
  <si>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</si>
  <si>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</si>
  <si>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</si>
  <si>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</si>
  <si>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</si>
  <si>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</si>
  <si>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</si>
  <si>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</si>
  <si>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</si>
  <si>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</si>
  <si>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</si>
  <si>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</si>
  <si>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</si>
  <si>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</si>
  <si>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</si>
  <si>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</si>
  <si>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</si>
  <si>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</si>
  <si>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</si>
  <si>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</si>
  <si>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</si>
  <si>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</si>
  <si>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</si>
  <si>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</si>
  <si>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</si>
  <si>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</si>
  <si>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</si>
  <si>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</si>
  <si>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</si>
  <si>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</si>
  <si>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</si>
  <si>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</si>
  <si>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</si>
  <si>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</si>
  <si>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</si>
  <si>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</si>
  <si>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</si>
  <si>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</si>
  <si>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</si>
  <si>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</si>
  <si>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</si>
  <si>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</si>
  <si>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</si>
  <si>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</si>
  <si>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</si>
  <si>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</si>
  <si>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</si>
  <si>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</si>
  <si>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</si>
  <si>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</si>
  <si>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</si>
  <si>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</si>
  <si>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</si>
  <si>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</si>
  <si>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</si>
  <si>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</si>
  <si>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</si>
  <si>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</si>
  <si>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</si>
  <si>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</si>
  <si>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</si>
  <si>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</si>
  <si>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</si>
  <si>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</si>
  <si>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</si>
  <si>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</si>
  <si>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</si>
  <si>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</si>
  <si>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</si>
  <si>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</si>
  <si>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</si>
  <si>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</si>
  <si>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</si>
  <si>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</si>
  <si>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</si>
  <si>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</si>
  <si>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</si>
  <si>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</si>
  <si>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</si>
  <si>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</si>
  <si>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</si>
  <si>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</si>
  <si>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</si>
  <si>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</si>
  <si>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</si>
  <si>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</si>
  <si>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</si>
  <si>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</si>
  <si>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</si>
  <si>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</si>
  <si>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</si>
  <si>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</si>
  <si>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</si>
  <si>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</si>
  <si>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</si>
  <si>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</si>
  <si>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</si>
  <si>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</si>
  <si>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</si>
  <si>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</si>
  <si>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</si>
  <si>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</si>
  <si>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</si>
  <si>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</si>
  <si>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</si>
  <si>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</si>
  <si>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</si>
  <si>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</si>
  <si>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</si>
  <si>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</si>
  <si>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</si>
  <si>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</si>
  <si>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</si>
  <si>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</si>
  <si>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</si>
  <si>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</si>
  <si>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</si>
  <si>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</si>
  <si>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</si>
  <si>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</si>
  <si>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</si>
  <si>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</si>
  <si>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</si>
  <si>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</si>
  <si>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</si>
  <si>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</si>
  <si>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</si>
  <si>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</si>
  <si>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</si>
  <si>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</si>
  <si>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</si>
  <si>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</si>
  <si>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</si>
  <si>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</si>
  <si>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</si>
  <si>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</si>
  <si>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</si>
  <si>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</si>
  <si>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</si>
  <si>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</si>
  <si>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</si>
  <si>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</si>
  <si>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</si>
  <si>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</si>
  <si>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</si>
  <si>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</si>
  <si>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</si>
  <si>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</si>
  <si>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</si>
  <si>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</si>
  <si>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</si>
  <si>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</si>
  <si>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</si>
  <si>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</si>
  <si>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</si>
  <si>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</si>
  <si>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</si>
  <si>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</si>
  <si>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</si>
  <si>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</si>
  <si>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</si>
  <si>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</si>
  <si>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</si>
  <si>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</si>
  <si>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</si>
  <si>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</si>
  <si>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</si>
  <si>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</si>
  <si>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</si>
  <si>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</si>
  <si>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</si>
  <si>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</si>
  <si>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</si>
  <si>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</si>
  <si>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</si>
  <si>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</si>
  <si>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</si>
  <si>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</si>
  <si>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</si>
  <si>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</si>
  <si>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</si>
  <si>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</si>
  <si>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</si>
  <si>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</si>
  <si>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</si>
  <si>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</si>
  <si>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</si>
  <si>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</si>
  <si>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</si>
  <si>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</si>
  <si>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</si>
  <si>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</si>
  <si>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</si>
  <si>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</si>
  <si>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</si>
  <si>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</si>
  <si>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</si>
  <si>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</si>
  <si>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</si>
  <si>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</si>
  <si>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</si>
  <si>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</si>
  <si>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</si>
  <si>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</si>
  <si>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</si>
  <si>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</si>
  <si>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</si>
  <si>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</si>
  <si>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</si>
  <si>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</si>
  <si>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</si>
  <si>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</si>
  <si>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</si>
  <si>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</si>
  <si>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</si>
  <si>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</si>
  <si>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</si>
  <si>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</si>
  <si>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</si>
  <si>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</si>
  <si>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</si>
  <si>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</si>
  <si>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</si>
  <si>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</si>
  <si>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</si>
  <si>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</si>
  <si>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</si>
  <si>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</si>
  <si>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</si>
  <si>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</si>
  <si>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</si>
  <si>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</si>
  <si>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</si>
  <si>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</si>
  <si>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</si>
  <si>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</si>
  <si>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</si>
  <si>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</si>
  <si>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</si>
  <si>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</si>
  <si>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</si>
  <si>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</si>
  <si>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</si>
  <si>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</si>
  <si>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</si>
  <si>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</si>
  <si>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</si>
  <si>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</si>
  <si>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</si>
  <si>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</si>
  <si>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</si>
  <si>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</si>
  <si>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</si>
  <si>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</si>
  <si>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</si>
  <si>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</si>
  <si>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</si>
  <si>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</si>
  <si>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</si>
  <si>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</si>
  <si>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</si>
  <si>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</si>
  <si>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</si>
  <si>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</si>
  <si>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</si>
  <si>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</si>
  <si>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</si>
  <si>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</si>
  <si>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</si>
  <si>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</si>
  <si>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</si>
  <si>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</si>
  <si>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</si>
  <si>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</si>
  <si>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</si>
  <si>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</si>
  <si>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</si>
  <si>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</si>
  <si>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</si>
  <si>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</si>
  <si>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</si>
  <si>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</si>
  <si>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</si>
  <si>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</si>
  <si>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</si>
  <si>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</si>
  <si>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</si>
  <si>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</si>
  <si>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</si>
  <si>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</si>
  <si>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</si>
  <si>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</si>
  <si>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</si>
  <si>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</si>
  <si>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</si>
  <si>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</si>
  <si>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</si>
  <si>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</si>
  <si>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</si>
  <si>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</si>
  <si>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</si>
  <si>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</si>
  <si>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</si>
  <si>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</si>
  <si>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</si>
  <si>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</si>
  <si>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</si>
  <si>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</si>
  <si>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</si>
  <si>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</si>
  <si>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</si>
  <si>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</si>
  <si>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</si>
  <si>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</si>
  <si>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</si>
  <si>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</si>
  <si>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</si>
  <si>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</si>
  <si>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</si>
  <si>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</si>
  <si>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</si>
  <si>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</si>
  <si>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</si>
  <si>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</si>
  <si>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</si>
  <si>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</si>
  <si>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</si>
  <si>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</si>
  <si>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</si>
  <si>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</si>
  <si>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</si>
  <si>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</si>
  <si>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</si>
  <si>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</si>
  <si>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</si>
  <si>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</si>
  <si>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</si>
  <si>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</si>
  <si>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</si>
  <si>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</si>
  <si>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</si>
  <si>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</si>
  <si>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</si>
  <si>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</si>
  <si>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</si>
  <si>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</si>
  <si>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</si>
  <si>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</si>
  <si>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</si>
  <si>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</si>
  <si>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</si>
  <si>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</si>
  <si>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</si>
  <si>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</si>
  <si>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</si>
  <si>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</si>
  <si>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</si>
  <si>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</si>
  <si>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</si>
  <si>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</si>
  <si>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</si>
  <si>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</si>
  <si>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</si>
  <si>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</si>
  <si>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</si>
  <si>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</si>
  <si>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</si>
  <si>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</si>
  <si>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</si>
  <si>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</si>
  <si>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</si>
  <si>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</si>
  <si>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</si>
  <si>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</si>
  <si>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</si>
  <si>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</si>
  <si>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</si>
  <si>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</si>
  <si>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</si>
  <si>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</si>
  <si>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</si>
  <si>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</si>
  <si>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</si>
  <si>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</si>
  <si>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</si>
  <si>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</si>
  <si>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</si>
  <si>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</si>
  <si>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</si>
  <si>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</si>
  <si>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</si>
  <si>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</si>
  <si>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</si>
  <si>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</si>
  <si>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</si>
  <si>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</si>
  <si>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</si>
  <si>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</si>
  <si>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</si>
  <si>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</si>
  <si>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</si>
  <si>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</si>
  <si>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</si>
  <si>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</si>
  <si>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</si>
  <si>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</si>
  <si>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</si>
  <si>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</si>
  <si>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</si>
  <si>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</si>
  <si>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</si>
  <si>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</si>
  <si>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</si>
  <si>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</si>
  <si>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</si>
  <si>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</si>
  <si>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</si>
  <si>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</si>
  <si>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</si>
  <si>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</si>
  <si>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</si>
  <si>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</si>
  <si>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</si>
  <si>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</si>
  <si>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</si>
  <si>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</si>
  <si>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</si>
  <si>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</si>
  <si>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</si>
  <si>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</si>
  <si>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</si>
  <si>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</si>
  <si>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</si>
  <si>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</si>
  <si>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</si>
  <si>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</si>
  <si>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</si>
  <si>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</si>
  <si>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</si>
  <si>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</si>
  <si>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</si>
  <si>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</si>
  <si>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</si>
  <si>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</si>
  <si>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</si>
  <si>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</si>
  <si>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</si>
  <si>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</si>
  <si>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</si>
  <si>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</si>
  <si>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</si>
  <si>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</si>
  <si>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</si>
  <si>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</si>
  <si>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</si>
  <si>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</si>
  <si>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</si>
  <si>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</si>
  <si>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</si>
  <si>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</si>
  <si>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</si>
  <si>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</si>
  <si>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</si>
  <si>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</si>
  <si>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</si>
  <si>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</si>
  <si>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</si>
  <si>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</si>
  <si>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</si>
  <si>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</si>
  <si>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</si>
  <si>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</si>
  <si>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</si>
  <si>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</si>
  <si>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</si>
  <si>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</si>
  <si>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</si>
  <si>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</si>
  <si>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</si>
  <si>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</si>
  <si>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</si>
  <si>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</si>
  <si>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</si>
  <si>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</si>
  <si>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</si>
  <si>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</si>
  <si>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</si>
  <si>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</si>
  <si>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</si>
  <si>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</si>
  <si>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</si>
  <si>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</si>
  <si>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</si>
  <si>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</si>
  <si>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</si>
  <si>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</si>
  <si>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</si>
  <si>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</si>
  <si>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</si>
  <si>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</si>
  <si>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</si>
  <si>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</si>
  <si>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</si>
  <si>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</si>
  <si>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</si>
  <si>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</si>
  <si>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</si>
  <si>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</si>
  <si>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</si>
  <si>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</si>
  <si>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</si>
  <si>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</si>
  <si>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</si>
  <si>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</si>
  <si>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</si>
  <si>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</si>
  <si>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</si>
  <si>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</si>
  <si>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</si>
  <si>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</si>
  <si>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</si>
  <si>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</si>
  <si>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</si>
  <si>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</si>
  <si>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</si>
  <si>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</si>
  <si>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</si>
  <si>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</si>
  <si>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</si>
  <si>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</si>
  <si>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</si>
  <si>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</si>
  <si>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</si>
  <si>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</si>
  <si>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</si>
  <si>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</si>
  <si>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</si>
  <si>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</si>
  <si>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</si>
  <si>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</si>
  <si>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</si>
  <si>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</si>
  <si>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</si>
  <si>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</si>
  <si>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</si>
  <si>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</si>
  <si>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</si>
  <si>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</si>
  <si>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</si>
  <si>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</si>
  <si>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</si>
  <si>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</si>
  <si>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</si>
  <si>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</si>
  <si>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</si>
  <si>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</si>
  <si>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</si>
  <si>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</si>
  <si>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</si>
  <si>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</si>
  <si>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</si>
  <si>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</si>
  <si>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</si>
  <si>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</si>
  <si>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</si>
  <si>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</si>
  <si>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</si>
  <si>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</si>
  <si>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</si>
  <si>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</si>
  <si>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</si>
  <si>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</si>
  <si>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</si>
  <si>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</si>
  <si>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</si>
  <si>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</si>
  <si>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</si>
  <si>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</si>
  <si>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</si>
  <si>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</si>
  <si>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</si>
  <si>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</si>
  <si>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</si>
  <si>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</si>
  <si>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</si>
  <si>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</si>
  <si>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</si>
  <si>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</si>
  <si>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</si>
  <si>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</si>
  <si>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</si>
  <si>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</si>
  <si>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</si>
  <si>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</si>
  <si>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</si>
  <si>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</si>
  <si>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</si>
  <si>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</si>
  <si>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</si>
  <si>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</si>
  <si>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</si>
  <si>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</si>
  <si>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</si>
  <si>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</si>
  <si>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</si>
  <si>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</si>
  <si>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</si>
  <si>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</si>
  <si>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</si>
  <si>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</si>
  <si>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</si>
  <si>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</si>
  <si>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</si>
  <si>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</si>
  <si>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</si>
  <si>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</si>
  <si>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</si>
  <si>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</si>
  <si>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</si>
  <si>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</si>
  <si>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</si>
  <si>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</si>
  <si>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</si>
  <si>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</si>
  <si>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</si>
  <si>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</si>
  <si>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</si>
  <si>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</si>
  <si>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</si>
  <si>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</si>
  <si>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</si>
  <si>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</si>
  <si>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</si>
  <si>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</si>
  <si>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</si>
  <si>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</si>
  <si>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</si>
  <si>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</si>
  <si>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</si>
  <si>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</si>
  <si>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</si>
  <si>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</si>
  <si>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</si>
  <si>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</si>
  <si>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</si>
  <si>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</si>
  <si>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</si>
  <si>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</si>
  <si>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</si>
  <si>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</si>
  <si>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</si>
  <si>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</si>
  <si>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</si>
  <si>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</si>
  <si>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</si>
  <si>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</si>
  <si>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</si>
  <si>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</si>
  <si>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</si>
  <si>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</si>
  <si>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</si>
  <si>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</si>
  <si>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</si>
  <si>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</si>
  <si>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</si>
  <si>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</si>
  <si>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</si>
  <si>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</si>
  <si>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</si>
  <si>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</si>
  <si>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</si>
  <si>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</si>
  <si>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</si>
  <si>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</si>
  <si>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</si>
  <si>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</si>
  <si>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</si>
  <si>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</si>
  <si>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</si>
  <si>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</si>
  <si>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</si>
  <si>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</si>
  <si>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</si>
  <si>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</si>
  <si>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</si>
  <si>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</si>
  <si>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</si>
  <si>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</si>
  <si>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</si>
  <si>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</si>
  <si>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</si>
  <si>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</si>
  <si>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</si>
  <si>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</si>
  <si>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</si>
  <si>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</si>
  <si>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</si>
  <si>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</si>
  <si>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</si>
  <si>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</si>
  <si>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</si>
  <si>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</si>
  <si>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</si>
  <si>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</si>
  <si>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</si>
  <si>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</si>
  <si>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</si>
  <si>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</si>
  <si>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</si>
  <si>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</si>
  <si>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</si>
  <si>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</si>
  <si>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</si>
  <si>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</si>
  <si>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</si>
  <si>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</si>
  <si>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</si>
  <si>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</si>
  <si>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</si>
  <si>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</si>
  <si>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</si>
  <si>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</si>
  <si>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</si>
  <si>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</si>
  <si>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</si>
  <si>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</si>
  <si>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</si>
  <si>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</si>
  <si>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</si>
  <si>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</si>
  <si>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</si>
  <si>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</si>
  <si>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</si>
  <si>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</si>
  <si>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</si>
  <si>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</si>
  <si>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</si>
  <si>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</si>
  <si>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</si>
  <si>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</si>
  <si>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</si>
  <si>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</si>
  <si>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</si>
  <si>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</si>
  <si>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</si>
  <si>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</si>
  <si>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</si>
  <si>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</si>
  <si>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</si>
  <si>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</si>
  <si>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</si>
  <si>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</si>
  <si>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</si>
  <si>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</si>
  <si>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</si>
  <si>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</si>
  <si>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</si>
  <si>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</si>
  <si>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</si>
  <si>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</si>
  <si>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</si>
  <si>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</si>
  <si>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</si>
  <si>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</si>
  <si>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</si>
  <si>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</si>
  <si>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</si>
  <si>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</si>
  <si>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</si>
  <si>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</si>
  <si>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</si>
  <si>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</si>
  <si>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</si>
  <si>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</si>
  <si>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</si>
  <si>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</si>
  <si>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</si>
  <si>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</si>
  <si>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</si>
  <si>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</si>
  <si>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</si>
  <si>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</si>
  <si>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</si>
  <si>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</si>
  <si>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</si>
  <si>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</si>
  <si>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</si>
  <si>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</si>
  <si>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</si>
  <si>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</si>
  <si>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</si>
  <si>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</si>
  <si>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</si>
  <si>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</si>
  <si>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</si>
  <si>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</si>
  <si>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</si>
  <si>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</si>
  <si>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</si>
  <si>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</si>
  <si>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</si>
  <si>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</si>
  <si>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</si>
  <si>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</si>
  <si>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</si>
  <si>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</si>
  <si>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</si>
  <si>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</si>
  <si>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</si>
  <si>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</si>
  <si>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</si>
  <si>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</si>
  <si>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</si>
  <si>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</si>
  <si>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</si>
  <si>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</si>
  <si>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</si>
  <si>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</si>
  <si>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</si>
  <si>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</si>
  <si>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</si>
  <si>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</si>
  <si>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</si>
  <si>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</si>
  <si>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</si>
  <si>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</si>
  <si>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</si>
  <si>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</si>
  <si>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</si>
  <si>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</si>
  <si>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</si>
  <si>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</si>
  <si>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</si>
  <si>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</si>
  <si>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</si>
  <si>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</si>
  <si>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</si>
  <si>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</si>
  <si>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</si>
  <si>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</si>
  <si>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</si>
  <si>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</si>
  <si>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</si>
  <si>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</si>
  <si>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</si>
  <si>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</si>
  <si>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</si>
  <si>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</si>
  <si>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</si>
  <si>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</si>
  <si>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</si>
  <si>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</si>
  <si>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</si>
  <si>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</si>
  <si>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</si>
  <si>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</si>
  <si>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</si>
  <si>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</si>
  <si>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</si>
  <si>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</si>
  <si>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</si>
  <si>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</si>
  <si>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</si>
  <si>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</si>
  <si>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</si>
  <si>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</si>
  <si>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</si>
  <si>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</si>
  <si>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</si>
  <si>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</si>
  <si>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</si>
  <si>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</si>
  <si>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</si>
  <si>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</si>
  <si>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</si>
  <si>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</si>
  <si>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</si>
  <si>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</si>
  <si>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</si>
  <si>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</si>
  <si>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</si>
  <si>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</si>
  <si>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</si>
  <si>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</si>
  <si>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</si>
  <si>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</si>
  <si>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</si>
  <si>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</si>
  <si>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</si>
  <si>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</si>
  <si>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</si>
  <si>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</si>
  <si>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</si>
  <si>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</si>
  <si>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</si>
  <si>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</si>
  <si>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</si>
  <si>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</si>
  <si>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</si>
  <si>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</si>
  <si>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</si>
  <si>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</si>
  <si>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</si>
  <si>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</si>
  <si>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</si>
  <si>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</si>
  <si>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</si>
  <si>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</si>
  <si>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</si>
  <si>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</si>
  <si>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</si>
  <si>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</si>
  <si>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</si>
  <si>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</si>
  <si>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</si>
  <si>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</si>
  <si>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</si>
  <si>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</si>
  <si>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</si>
  <si>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</si>
  <si>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</si>
  <si>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</si>
  <si>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</si>
  <si>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</si>
  <si>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</si>
  <si>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</si>
  <si>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</si>
  <si>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</si>
  <si>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</si>
  <si>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</si>
  <si>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</si>
  <si>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</si>
  <si>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</si>
  <si>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</si>
  <si>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</si>
  <si>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</si>
  <si>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</si>
  <si>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</si>
  <si>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</si>
  <si>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</si>
  <si>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</si>
  <si>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</si>
  <si>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</si>
  <si>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</si>
  <si>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</si>
  <si>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</si>
  <si>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</si>
  <si>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</si>
  <si>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</si>
  <si>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</si>
  <si>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</si>
  <si>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</si>
  <si>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</si>
  <si>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</si>
  <si>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</si>
  <si>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</si>
  <si>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</si>
  <si>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</si>
  <si>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</si>
  <si>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</si>
  <si>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</si>
  <si>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</si>
  <si>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</si>
  <si>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</si>
  <si>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</si>
  <si>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</si>
  <si>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</si>
  <si>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</si>
  <si>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</si>
  <si>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</si>
  <si>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</si>
  <si>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</si>
  <si>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</si>
  <si>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</si>
  <si>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</si>
  <si>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</si>
  <si>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</si>
  <si>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</si>
  <si>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</si>
  <si>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</si>
  <si>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</si>
  <si>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</si>
  <si>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</si>
  <si>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</si>
  <si>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</si>
  <si>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</si>
  <si>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</si>
  <si>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</si>
  <si>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</si>
  <si>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</si>
  <si>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</si>
  <si>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</si>
  <si>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</si>
  <si>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</si>
  <si>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</si>
  <si>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</si>
  <si>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</si>
  <si>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</si>
  <si>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</si>
  <si>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</si>
  <si>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</si>
  <si>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</si>
  <si>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</si>
  <si>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</si>
  <si>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</si>
  <si>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</si>
  <si>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</si>
  <si>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</si>
  <si>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</si>
  <si>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</si>
  <si>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</si>
  <si>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</si>
  <si>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</si>
  <si>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</si>
  <si>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</si>
  <si>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</si>
  <si>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</si>
  <si>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</si>
  <si>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</si>
  <si>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</si>
  <si>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</si>
  <si>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</si>
  <si>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</si>
  <si>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</si>
  <si>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</si>
  <si>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</si>
  <si>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</si>
  <si>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</si>
  <si>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</si>
  <si>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</si>
  <si>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</si>
  <si>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</si>
  <si>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</si>
  <si>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</si>
  <si>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</si>
  <si>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</si>
  <si>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</si>
  <si>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</si>
  <si>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</si>
  <si>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</si>
  <si>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</si>
  <si>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</si>
  <si>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</si>
  <si>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</si>
  <si>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</si>
  <si>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</si>
  <si>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</si>
  <si>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</si>
  <si>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</si>
  <si>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</si>
  <si>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</si>
  <si>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</si>
  <si>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</si>
  <si>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</si>
  <si>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</si>
  <si>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</si>
  <si>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</si>
  <si>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</si>
  <si>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</si>
  <si>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</si>
  <si>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</si>
  <si>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</si>
  <si>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</si>
  <si>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</si>
  <si>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</si>
  <si>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</si>
  <si>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</si>
  <si>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</si>
  <si>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</si>
  <si>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</si>
  <si>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</si>
  <si>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</si>
  <si>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</si>
  <si>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</si>
  <si>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</si>
  <si>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</si>
  <si>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</si>
  <si>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</si>
  <si>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</si>
  <si>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</si>
  <si>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</si>
  <si>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</si>
  <si>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</si>
  <si>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</si>
  <si>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</si>
  <si>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</si>
  <si>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</si>
  <si>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</si>
  <si>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</si>
  <si>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</si>
  <si>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</si>
  <si>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</si>
  <si>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</si>
  <si>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</si>
  <si>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</si>
  <si>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</si>
  <si>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</si>
  <si>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</si>
  <si>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</si>
  <si>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</si>
  <si>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</si>
  <si>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</si>
  <si>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</si>
  <si>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</si>
  <si>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</si>
  <si>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</si>
  <si>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</si>
  <si>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</si>
  <si>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</si>
  <si>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</si>
  <si>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</si>
  <si>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</si>
  <si>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</si>
  <si>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</si>
  <si>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</si>
  <si>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</si>
  <si>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</si>
  <si>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</si>
  <si>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</si>
  <si>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</si>
  <si>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</si>
  <si>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</si>
  <si>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</si>
  <si>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</si>
  <si>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</si>
  <si>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</si>
  <si>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</si>
  <si>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</si>
  <si>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</si>
  <si>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</si>
  <si>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</si>
  <si>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</si>
  <si>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</si>
  <si>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</si>
  <si>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</si>
  <si>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</si>
  <si>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</si>
  <si>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</si>
  <si>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</si>
  <si>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</si>
  <si>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</si>
  <si>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</si>
  <si>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</si>
  <si>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</si>
  <si>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</si>
  <si>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</si>
  <si>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</si>
  <si>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</si>
  <si>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</si>
  <si>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</si>
  <si>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</si>
  <si>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</si>
  <si>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</si>
  <si>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</si>
  <si>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</si>
  <si>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</si>
  <si>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</si>
  <si>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</si>
  <si>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</si>
  <si>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</si>
  <si>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</si>
  <si>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</si>
  <si>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</si>
  <si>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</si>
  <si>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</si>
  <si>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</si>
  <si>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</si>
  <si>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</si>
  <si>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</si>
  <si>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</si>
  <si>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</si>
  <si>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</si>
  <si>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</si>
  <si>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</si>
  <si>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</si>
  <si>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</si>
  <si>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</si>
  <si>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</si>
  <si>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</si>
  <si>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</si>
  <si>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</si>
  <si>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</si>
  <si>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</si>
  <si>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</si>
  <si>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</si>
  <si>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</si>
  <si>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</si>
  <si>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</si>
  <si>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</si>
  <si>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</si>
  <si>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</si>
  <si>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</si>
  <si>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</si>
  <si>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</si>
  <si>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</si>
  <si>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</si>
  <si>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</si>
  <si>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</si>
  <si>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</si>
  <si>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</si>
  <si>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</si>
  <si>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</si>
  <si>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</si>
  <si>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</si>
  <si>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</si>
  <si>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</si>
  <si>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</si>
  <si>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</si>
  <si>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</si>
  <si>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</si>
  <si>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</si>
  <si>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</si>
  <si>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</si>
  <si>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</si>
  <si>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</si>
  <si>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</si>
  <si>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</si>
  <si>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</si>
  <si>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</si>
  <si>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</si>
  <si>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</si>
  <si>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</si>
  <si>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</si>
  <si>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</si>
  <si>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</si>
  <si>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</si>
  <si>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</si>
  <si>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</si>
  <si>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</si>
  <si>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</si>
  <si>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</si>
  <si>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</si>
  <si>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</si>
  <si>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</si>
  <si>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</si>
  <si>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</si>
  <si>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</si>
  <si>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</si>
  <si>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</si>
  <si>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</si>
  <si>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</si>
  <si>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</si>
  <si>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</si>
  <si>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</si>
  <si>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</si>
  <si>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</si>
  <si>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</si>
  <si>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</si>
  <si>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</si>
  <si>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</si>
  <si>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</si>
  <si>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</si>
  <si>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</si>
  <si>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</si>
  <si>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</si>
  <si>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</si>
  <si>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</si>
  <si>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</si>
  <si>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</si>
  <si>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</si>
  <si>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</si>
  <si>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</si>
  <si>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</si>
  <si>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</si>
  <si>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</si>
  <si>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</si>
  <si>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</si>
  <si>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</si>
  <si>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</si>
  <si>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</si>
  <si>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</si>
  <si>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</si>
  <si>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</si>
  <si>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</si>
  <si>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</si>
  <si>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</si>
  <si>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</si>
  <si>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</si>
  <si>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</si>
  <si>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</si>
  <si>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</si>
  <si>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</si>
  <si>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</si>
  <si>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</si>
  <si>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</si>
  <si>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</si>
  <si>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</si>
  <si>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</si>
  <si>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</si>
  <si>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</si>
  <si>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</si>
  <si>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</si>
  <si>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</si>
  <si>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</si>
  <si>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</si>
  <si>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</si>
  <si>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</si>
  <si>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</si>
  <si>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</si>
  <si>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</si>
  <si>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</si>
  <si>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</si>
  <si>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</si>
  <si>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</si>
  <si>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</si>
  <si>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</si>
  <si>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</si>
  <si>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</si>
  <si>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</si>
  <si>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</si>
  <si>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</si>
  <si>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</si>
  <si>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</si>
  <si>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</si>
  <si>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</si>
  <si>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</si>
  <si>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</si>
  <si>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</si>
  <si>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</si>
  <si>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</si>
  <si>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</si>
  <si>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</si>
  <si>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</si>
  <si>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</si>
  <si>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</si>
  <si>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</si>
  <si>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</si>
  <si>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</si>
  <si>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</si>
  <si>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</si>
  <si>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</si>
  <si>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</si>
  <si>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</si>
  <si>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</si>
  <si>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</si>
  <si>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</si>
  <si>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</si>
  <si>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</si>
  <si>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</si>
  <si>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</si>
  <si>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</si>
  <si>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</si>
  <si>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</si>
  <si>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</si>
  <si>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</si>
  <si>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</si>
  <si>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</si>
  <si>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</si>
  <si>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</si>
  <si>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</si>
  <si>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</si>
  <si>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</si>
  <si>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</si>
  <si>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</si>
  <si>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</si>
  <si>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</si>
  <si>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</si>
  <si>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</si>
  <si>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</si>
  <si>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</si>
  <si>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</si>
  <si>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</si>
  <si>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</si>
  <si>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</si>
  <si>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</si>
  <si>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</si>
  <si>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</si>
  <si>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</si>
  <si>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</si>
  <si>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</si>
  <si>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</si>
  <si>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</si>
  <si>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</si>
  <si>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</si>
  <si>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</si>
  <si>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</si>
  <si>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</si>
  <si>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</si>
  <si>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</si>
  <si>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</si>
  <si>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</si>
  <si>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</si>
  <si>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</si>
  <si>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</si>
  <si>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</si>
  <si>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</si>
  <si>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</si>
  <si>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</si>
  <si>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</si>
  <si>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</si>
  <si>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</si>
  <si>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</si>
  <si>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</si>
  <si>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</si>
  <si>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</si>
  <si>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</si>
  <si>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</si>
  <si>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</si>
  <si>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</si>
  <si>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</si>
  <si>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</si>
  <si>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</si>
  <si>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</si>
  <si>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</si>
  <si>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</si>
  <si>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</si>
  <si>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</si>
  <si>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</si>
  <si>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</si>
  <si>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</si>
  <si>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</si>
  <si>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</si>
  <si>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</si>
  <si>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</si>
  <si>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</si>
  <si>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</si>
  <si>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</si>
  <si>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</si>
  <si>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</si>
  <si>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</si>
  <si>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</si>
  <si>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</si>
  <si>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</si>
  <si>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</si>
  <si>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</si>
  <si>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</si>
  <si>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</si>
  <si>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</si>
  <si>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</si>
  <si>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</si>
  <si>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</si>
  <si>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</si>
  <si>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</si>
  <si>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</si>
  <si>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</si>
  <si>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</si>
  <si>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</si>
  <si>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</si>
  <si>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</si>
  <si>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</si>
  <si>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</si>
  <si>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</si>
  <si>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</si>
  <si>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</si>
  <si>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</si>
  <si>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</si>
  <si>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</si>
  <si>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</si>
  <si>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</si>
  <si>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</si>
  <si>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</si>
  <si>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</si>
  <si>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</si>
  <si>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</si>
  <si>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</si>
  <si>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</si>
  <si>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</si>
  <si>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</si>
  <si>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</si>
  <si>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</si>
  <si>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</si>
  <si>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</si>
  <si>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</si>
  <si>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</si>
  <si>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</si>
  <si>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</si>
  <si>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</si>
  <si>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</si>
  <si>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</si>
  <si>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</si>
  <si>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</si>
  <si>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</si>
  <si>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</si>
  <si>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</si>
  <si>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</si>
  <si>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</si>
  <si>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</si>
  <si>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</si>
  <si>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</si>
  <si>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</si>
  <si>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</si>
  <si>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</si>
  <si>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</si>
  <si>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</si>
  <si>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</si>
  <si>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</si>
  <si>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</si>
  <si>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</si>
  <si>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</si>
  <si>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</si>
  <si>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</si>
  <si>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</si>
  <si>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</si>
  <si>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</si>
  <si>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</si>
  <si>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</si>
  <si>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</si>
  <si>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</si>
  <si>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</si>
  <si>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</si>
  <si>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</si>
  <si>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</si>
  <si>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</si>
  <si>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</si>
  <si>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</si>
  <si>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</si>
  <si>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</si>
  <si>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</si>
  <si>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</si>
  <si>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</si>
  <si>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</si>
  <si>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</si>
  <si>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</si>
  <si>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</si>
  <si>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</si>
  <si>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</si>
  <si>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</si>
  <si>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</si>
  <si>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</si>
  <si>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</si>
  <si>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</si>
  <si>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</si>
  <si>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</si>
  <si>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</si>
  <si>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</si>
  <si>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</si>
  <si>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</si>
  <si>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</si>
  <si>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</si>
  <si>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</si>
  <si>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</si>
  <si>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</si>
  <si>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</si>
  <si>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</si>
  <si>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</si>
  <si>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</si>
  <si>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</si>
  <si>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</si>
  <si>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</si>
  <si>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</si>
  <si>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</si>
  <si>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</si>
  <si>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</si>
  <si>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</si>
  <si>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</si>
  <si>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</si>
  <si>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</si>
  <si>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</si>
  <si>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</si>
  <si>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</si>
  <si>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</si>
  <si>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</si>
  <si>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</si>
  <si>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</si>
  <si>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</si>
  <si>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</si>
  <si>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</si>
  <si>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</si>
  <si>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</si>
  <si>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</si>
  <si>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</si>
  <si>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</si>
  <si>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</si>
  <si>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</si>
  <si>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</si>
  <si>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</si>
  <si>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</si>
  <si>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</si>
  <si>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</si>
  <si>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</si>
  <si>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</si>
  <si>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</si>
  <si>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</si>
  <si>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</si>
  <si>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</si>
  <si>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</si>
  <si>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</si>
  <si>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</si>
  <si>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</si>
  <si>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</si>
  <si>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</si>
  <si>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</si>
  <si>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</si>
  <si>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</si>
  <si>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</si>
  <si>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</si>
  <si>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</si>
  <si>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</si>
  <si>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</si>
  <si>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</si>
  <si>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</si>
  <si>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</si>
  <si>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</si>
  <si>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</si>
  <si>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</si>
  <si>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</si>
  <si>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</si>
  <si>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</si>
  <si>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</si>
  <si>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</si>
  <si>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</si>
  <si>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</si>
  <si>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</si>
  <si>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</si>
  <si>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</si>
  <si>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</si>
  <si>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</si>
  <si>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</si>
  <si>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</si>
  <si>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</si>
  <si>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</si>
  <si>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</si>
  <si>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</si>
  <si>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</si>
  <si>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</si>
  <si>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</si>
  <si>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</si>
  <si>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</si>
  <si>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</si>
  <si>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</si>
  <si>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</si>
  <si>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</si>
  <si>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</si>
  <si>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</si>
  <si>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</si>
  <si>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</si>
  <si>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</si>
  <si>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</si>
  <si>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</si>
  <si>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</si>
  <si>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</si>
  <si>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</si>
  <si>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</si>
  <si>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</si>
  <si>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</si>
  <si>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</si>
  <si>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</si>
  <si>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</si>
  <si>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</si>
  <si>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</si>
  <si>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</si>
  <si>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</si>
  <si>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</si>
  <si>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</si>
  <si>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</si>
  <si>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</si>
  <si>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</si>
  <si>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</si>
  <si>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</si>
  <si>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</si>
  <si>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</si>
  <si>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</si>
  <si>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</si>
  <si>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</si>
  <si>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</si>
  <si>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</si>
  <si>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</si>
  <si>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</si>
  <si>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</si>
  <si>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</si>
  <si>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</si>
  <si>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</si>
  <si>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</si>
  <si>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</si>
  <si>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</si>
  <si>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</si>
  <si>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</si>
  <si>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</si>
  <si>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</si>
  <si>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</si>
  <si>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</si>
  <si>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</si>
  <si>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</si>
  <si>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</si>
  <si>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</si>
  <si>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</si>
  <si>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</si>
  <si>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</si>
  <si>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</si>
  <si>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</si>
  <si>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</si>
  <si>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</si>
  <si>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</si>
  <si>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</si>
  <si>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</si>
  <si>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</si>
  <si>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</si>
  <si>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</si>
  <si>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</si>
  <si>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</si>
  <si>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</si>
  <si>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</si>
  <si>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</si>
  <si>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</si>
  <si>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</si>
  <si>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</si>
  <si>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</si>
  <si>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</si>
  <si>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</si>
  <si>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</si>
  <si>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</si>
  <si>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</si>
  <si>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</si>
  <si>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</si>
  <si>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</si>
  <si>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</si>
  <si>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</si>
  <si>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</si>
  <si>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</si>
  <si>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</si>
  <si>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</si>
  <si>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</si>
  <si>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</si>
  <si>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</si>
  <si>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</si>
  <si>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</si>
  <si>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</si>
  <si>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</si>
  <si>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</si>
  <si>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</si>
  <si>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</si>
  <si>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</si>
  <si>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</si>
  <si>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</si>
  <si>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</si>
  <si>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</si>
  <si>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</si>
  <si>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</si>
  <si>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</si>
  <si>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</si>
  <si>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</si>
  <si>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</si>
  <si>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</si>
  <si>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</si>
  <si>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</si>
  <si>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</si>
  <si>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</si>
  <si>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</si>
  <si>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</si>
  <si>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</si>
  <si>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</si>
  <si>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</si>
  <si>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</si>
  <si>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</si>
  <si>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</si>
  <si>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</si>
  <si>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</si>
  <si>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</si>
  <si>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</si>
  <si>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</si>
  <si>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</si>
  <si>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</si>
  <si>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</si>
  <si>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</si>
  <si>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</si>
  <si>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</si>
  <si>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</si>
  <si>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</si>
  <si>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</si>
  <si>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</si>
  <si>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</si>
  <si>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</si>
  <si>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</si>
  <si>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</si>
  <si>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</si>
  <si>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</si>
  <si>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</si>
  <si>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</si>
  <si>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</si>
  <si>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</si>
  <si>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</si>
  <si>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</si>
  <si>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</si>
  <si>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</si>
  <si>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</si>
  <si>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</si>
  <si>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</si>
  <si>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</si>
  <si>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</si>
  <si>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</si>
  <si>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</si>
  <si>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</si>
  <si>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</si>
  <si>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</si>
  <si>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</si>
  <si>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</si>
  <si>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</si>
  <si>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</si>
  <si>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</si>
  <si>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</si>
  <si>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</si>
  <si>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</si>
  <si>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</si>
  <si>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</si>
  <si>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</si>
  <si>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</si>
  <si>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</si>
  <si>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</si>
  <si>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</si>
  <si>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</si>
  <si>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</si>
  <si>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</si>
  <si>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</si>
  <si>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</si>
  <si>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</si>
  <si>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</si>
  <si>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</si>
  <si>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</si>
  <si>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</si>
  <si>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</si>
  <si>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</si>
  <si>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</si>
  <si>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</si>
  <si>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</si>
  <si>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</si>
  <si>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</si>
  <si>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</si>
  <si>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</si>
  <si>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</si>
  <si>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</si>
  <si>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</si>
  <si>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</si>
  <si>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</si>
  <si>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</si>
  <si>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</si>
  <si>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</si>
  <si>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</si>
  <si>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</si>
  <si>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</si>
  <si>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</si>
  <si>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</si>
  <si>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</si>
  <si>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</si>
  <si>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</si>
  <si>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</si>
  <si>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</si>
  <si>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</si>
  <si>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</si>
  <si>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</si>
  <si>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</si>
  <si>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</si>
  <si>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</si>
  <si>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</si>
  <si>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</si>
  <si>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</si>
  <si>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</si>
  <si>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</si>
  <si>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</si>
  <si>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</si>
  <si>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</si>
  <si>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</si>
  <si>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</si>
  <si>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</si>
  <si>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</si>
  <si>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</si>
  <si>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</si>
  <si>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</si>
  <si>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</si>
  <si>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</si>
  <si>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</si>
  <si>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</si>
  <si>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</si>
  <si>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</si>
  <si>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</si>
  <si>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</si>
  <si>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</si>
  <si>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</si>
  <si>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</si>
  <si>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</si>
  <si>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</si>
  <si>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</si>
  <si>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</si>
  <si>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</si>
  <si>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</si>
  <si>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</si>
  <si>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</si>
  <si>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</si>
  <si>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</si>
  <si>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</si>
  <si>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</si>
  <si>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</si>
  <si>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</si>
  <si>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</si>
  <si>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</si>
  <si>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</si>
  <si>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</si>
  <si>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</si>
  <si>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</si>
  <si>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</si>
  <si>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</si>
  <si>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</si>
  <si>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</si>
  <si>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</si>
  <si>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</si>
  <si>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</si>
  <si>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</si>
  <si>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</si>
  <si>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</si>
  <si>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</si>
  <si>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</si>
  <si>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</si>
  <si>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</si>
  <si>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</si>
  <si>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</si>
  <si>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</si>
  <si>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</si>
  <si>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</si>
  <si>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</si>
  <si>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</si>
  <si>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</si>
  <si>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</si>
  <si>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</si>
  <si>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</si>
  <si>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</si>
  <si>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</si>
  <si>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</si>
  <si>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</si>
  <si>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</si>
  <si>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</si>
  <si>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</si>
  <si>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</si>
  <si>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</si>
  <si>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</si>
  <si>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</si>
  <si>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</si>
  <si>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</si>
  <si>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</si>
  <si>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</si>
  <si>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</si>
  <si>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</si>
  <si>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</si>
  <si>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</si>
  <si>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</si>
  <si>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</si>
  <si>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</si>
  <si>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</si>
  <si>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</si>
  <si>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</si>
  <si>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</si>
  <si>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</si>
  <si>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</si>
  <si>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</si>
  <si>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</si>
  <si>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</si>
  <si>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</si>
  <si>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</si>
  <si>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</si>
  <si>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</si>
  <si>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</si>
  <si>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</si>
  <si>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</si>
  <si>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</si>
  <si>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</si>
  <si>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</si>
  <si>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</si>
  <si>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</si>
  <si>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</si>
  <si>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</si>
  <si>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</si>
  <si>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</si>
  <si>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</si>
  <si>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</si>
  <si>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</si>
  <si>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</si>
  <si>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</si>
  <si>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</si>
  <si>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</si>
  <si>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</si>
  <si>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</si>
  <si>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</si>
  <si>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</si>
  <si>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</si>
  <si>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</si>
  <si>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</si>
  <si>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</si>
  <si>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</si>
  <si>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</si>
  <si>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</si>
  <si>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</si>
  <si>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</si>
  <si>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</si>
  <si>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</si>
  <si>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</si>
  <si>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</si>
  <si>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</si>
  <si>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</si>
  <si>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</si>
  <si>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</si>
  <si>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</si>
  <si>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</si>
  <si>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</si>
  <si>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</si>
  <si>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</si>
  <si>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</si>
  <si>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</si>
  <si>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</si>
  <si>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</si>
  <si>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</si>
  <si>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</si>
  <si>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</si>
  <si>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</si>
  <si>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</si>
  <si>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</si>
  <si>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</si>
  <si>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</si>
  <si>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</si>
  <si>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</si>
  <si>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</si>
  <si>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</si>
  <si>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</si>
  <si>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</si>
  <si>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</si>
  <si>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</si>
  <si>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</si>
  <si>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</si>
  <si>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</si>
  <si>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</si>
  <si>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</si>
  <si>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</si>
  <si>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</si>
  <si>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</si>
  <si>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</si>
  <si>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</si>
  <si>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</si>
  <si>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</si>
  <si>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</si>
  <si>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</si>
  <si>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</si>
  <si>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</si>
  <si>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</si>
  <si>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</si>
  <si>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</si>
  <si>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</si>
  <si>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</si>
  <si>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</si>
  <si>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</si>
  <si>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</si>
  <si>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</si>
  <si>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</si>
  <si>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</si>
  <si>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</si>
  <si>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</si>
  <si>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</si>
  <si>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</si>
  <si>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</si>
  <si>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</si>
  <si>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</si>
  <si>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</si>
  <si>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</si>
  <si>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</si>
  <si>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</si>
  <si>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</si>
  <si>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</si>
  <si>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</si>
  <si>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</si>
  <si>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</si>
  <si>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</si>
  <si>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</si>
  <si>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</si>
  <si>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</si>
  <si>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</si>
  <si>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</si>
  <si>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</si>
  <si>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</si>
  <si>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</si>
  <si>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</si>
  <si>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</si>
  <si>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</si>
  <si>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</si>
  <si>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</si>
  <si>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</si>
  <si>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</si>
  <si>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</si>
  <si>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</si>
  <si>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</si>
  <si>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</si>
  <si>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</si>
  <si>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</si>
  <si>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</si>
  <si>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</si>
  <si>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</si>
  <si>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</si>
  <si>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</si>
  <si>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</si>
  <si>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</si>
  <si>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</si>
  <si>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</si>
  <si>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</si>
  <si>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</si>
  <si>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</si>
  <si>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</si>
  <si>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</si>
  <si>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</si>
  <si>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</si>
  <si>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</si>
  <si>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</si>
  <si>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</si>
  <si>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</si>
  <si>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</si>
  <si>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</si>
  <si>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</si>
  <si>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</si>
  <si>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</si>
  <si>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</si>
  <si>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</si>
  <si>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</si>
  <si>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</si>
  <si>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</si>
  <si>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</si>
  <si>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</si>
  <si>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</si>
  <si>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</si>
  <si>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</si>
  <si>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</si>
  <si>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</si>
  <si>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</si>
  <si>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</si>
  <si>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</si>
  <si>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</si>
  <si>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</si>
  <si>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</si>
  <si>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</si>
  <si>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</si>
  <si>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</si>
  <si>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</si>
  <si>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</si>
  <si>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</si>
  <si>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</si>
  <si>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</si>
  <si>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</si>
  <si>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</si>
  <si>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</si>
  <si>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</si>
  <si>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</si>
  <si>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</si>
  <si>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</si>
  <si>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</si>
  <si>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</si>
  <si>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</si>
  <si>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</si>
  <si>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</si>
  <si>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</si>
  <si>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</si>
  <si>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</si>
  <si>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</si>
  <si>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</si>
  <si>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</si>
  <si>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</si>
  <si>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</si>
  <si>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</si>
  <si>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</si>
  <si>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</si>
  <si>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</si>
  <si>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</si>
  <si>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</si>
  <si>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</si>
  <si>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</si>
  <si>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</si>
  <si>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</si>
  <si>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</si>
  <si>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</si>
  <si>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</si>
  <si>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</si>
  <si>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</si>
  <si>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</si>
  <si>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</si>
  <si>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</si>
  <si>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</si>
  <si>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</si>
  <si>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</si>
  <si>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</si>
  <si>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</si>
  <si>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</si>
  <si>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</si>
  <si>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</si>
  <si>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</si>
  <si>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</si>
  <si>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</si>
  <si>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</si>
  <si>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</si>
  <si>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</si>
  <si>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</si>
  <si>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</si>
  <si>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</si>
  <si>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</si>
  <si>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</si>
  <si>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</si>
  <si>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</si>
  <si>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</si>
  <si>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</si>
  <si>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</si>
  <si>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</si>
  <si>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</si>
  <si>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</si>
  <si>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</si>
  <si>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</si>
  <si>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</si>
  <si>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</si>
  <si>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</si>
  <si>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</si>
  <si>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</si>
  <si>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</si>
  <si>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</si>
  <si>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</si>
  <si>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</si>
  <si>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</si>
  <si>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</si>
  <si>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</si>
  <si>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</si>
  <si>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</si>
  <si>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</si>
  <si>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</si>
  <si>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</si>
  <si>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</si>
  <si>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</si>
  <si>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</si>
  <si>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</si>
  <si>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</si>
  <si>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</si>
  <si>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</si>
  <si>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</si>
  <si>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</si>
  <si>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</si>
  <si>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</si>
  <si>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</si>
  <si>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</si>
  <si>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</si>
  <si>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</si>
  <si>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</si>
  <si>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</si>
  <si>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</si>
  <si>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</si>
  <si>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</si>
  <si>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</si>
  <si>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</si>
  <si>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</si>
  <si>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</si>
  <si>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</si>
  <si>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</si>
  <si>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</si>
  <si>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</si>
  <si>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</si>
  <si>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</si>
  <si>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</si>
  <si>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</si>
  <si>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</si>
  <si>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</si>
  <si>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</si>
  <si>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</si>
  <si>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</si>
  <si>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</si>
  <si>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</si>
  <si>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</si>
  <si>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</si>
  <si>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</si>
  <si>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</si>
  <si>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</si>
  <si>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</si>
  <si>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</si>
  <si>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</si>
  <si>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</si>
  <si>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</si>
  <si>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</si>
  <si>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</si>
  <si>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</si>
  <si>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</si>
  <si>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</si>
  <si>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</si>
  <si>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</si>
  <si>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</si>
  <si>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</si>
  <si>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</si>
  <si>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</si>
  <si>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</si>
  <si>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</si>
  <si>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</si>
  <si>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</si>
  <si>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</si>
  <si>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</si>
  <si>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</si>
  <si>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</si>
  <si>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</si>
  <si>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</si>
  <si>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</si>
  <si>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</si>
  <si>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</si>
  <si>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</si>
  <si>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</si>
  <si>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</si>
  <si>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</si>
  <si>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</si>
  <si>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</si>
  <si>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</si>
  <si>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</si>
  <si>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</si>
  <si>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</si>
  <si>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</si>
  <si>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</si>
  <si>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</si>
  <si>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</si>
  <si>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</si>
  <si>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</si>
  <si>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</si>
  <si>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</si>
  <si>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</si>
  <si>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</si>
  <si>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</si>
  <si>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</si>
  <si>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</si>
  <si>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</si>
  <si>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</si>
  <si>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</si>
  <si>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</si>
  <si>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</si>
  <si>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</si>
  <si>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</si>
  <si>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</si>
  <si>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</si>
  <si>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</si>
  <si>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</si>
  <si>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</si>
  <si>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</si>
  <si>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</si>
  <si>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</si>
  <si>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</si>
  <si>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</si>
  <si>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</si>
  <si>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</si>
  <si>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</si>
  <si>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</si>
  <si>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</si>
  <si>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</si>
  <si>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</si>
  <si>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</si>
  <si>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</si>
  <si>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</si>
  <si>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</si>
  <si>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</si>
  <si>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</si>
  <si>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</si>
  <si>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</si>
  <si>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</si>
  <si>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</si>
  <si>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</si>
  <si>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</si>
  <si>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</si>
  <si>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</si>
  <si>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</si>
  <si>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</si>
  <si>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</si>
  <si>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</si>
  <si>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</si>
  <si>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</si>
  <si>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</si>
  <si>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</si>
  <si>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</si>
  <si>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</si>
  <si>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</si>
  <si>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</si>
  <si>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</si>
  <si>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</si>
  <si>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</si>
  <si>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</si>
  <si>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</si>
  <si>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</si>
  <si>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</si>
  <si>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</si>
  <si>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</si>
  <si>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</si>
  <si>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</si>
  <si>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</si>
  <si>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</si>
  <si>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</si>
  <si>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</si>
  <si>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</si>
  <si>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</si>
  <si>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</si>
  <si>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</si>
  <si>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</si>
  <si>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</si>
  <si>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</si>
  <si>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</si>
  <si>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</si>
  <si>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</si>
  <si>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</si>
  <si>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</si>
  <si>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</si>
  <si>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</si>
  <si>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</si>
  <si>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</si>
  <si>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</si>
  <si>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</si>
  <si>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</si>
  <si>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</si>
  <si>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</si>
  <si>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</si>
  <si>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</si>
  <si>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</si>
  <si>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</si>
  <si>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</si>
  <si>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</si>
  <si>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</si>
  <si>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</si>
  <si>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</si>
  <si>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</si>
  <si>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</si>
  <si>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</si>
  <si>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</si>
  <si>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</si>
  <si>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</si>
  <si>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</si>
  <si>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</si>
  <si>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</si>
  <si>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</si>
  <si>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</si>
  <si>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</si>
  <si>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</si>
  <si>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</si>
  <si>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</si>
  <si>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</si>
  <si>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</si>
  <si>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</si>
  <si>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</si>
  <si>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</si>
  <si>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</si>
  <si>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</si>
  <si>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</si>
  <si>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</si>
  <si>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</si>
  <si>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</si>
  <si>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</si>
  <si>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</si>
  <si>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</si>
  <si>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</si>
  <si>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</si>
  <si>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</si>
  <si>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</si>
  <si>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</si>
  <si>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</si>
  <si>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</si>
  <si>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</si>
  <si>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</si>
  <si>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</si>
  <si>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</si>
  <si>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</si>
  <si>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</si>
  <si>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</si>
  <si>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</si>
  <si>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</si>
  <si>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</si>
  <si>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</si>
  <si>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</si>
  <si>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</si>
  <si>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</si>
  <si>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</si>
  <si>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</si>
  <si>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</si>
  <si>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</si>
  <si>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</si>
  <si>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</si>
  <si>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</si>
  <si>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</si>
  <si>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</si>
  <si>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</si>
  <si>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</si>
  <si>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</si>
  <si>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</si>
  <si>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</si>
  <si>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</si>
  <si>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</si>
  <si>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</si>
  <si>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</si>
  <si>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</si>
  <si>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</si>
  <si>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</si>
  <si>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</si>
  <si>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</si>
  <si>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</si>
  <si>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</si>
  <si>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</si>
  <si>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</si>
  <si>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</si>
  <si>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</si>
  <si>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</si>
  <si>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</si>
  <si>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</si>
  <si>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</si>
  <si>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</si>
  <si>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</si>
  <si>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</si>
  <si>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</si>
  <si>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</si>
  <si>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</si>
  <si>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</si>
  <si>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</si>
  <si>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</si>
  <si>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</si>
  <si>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</si>
  <si>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</si>
  <si>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</si>
  <si>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</si>
  <si>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</si>
  <si>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</si>
  <si>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</si>
  <si>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</si>
  <si>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</si>
  <si>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</si>
  <si>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</si>
  <si>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</si>
  <si>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</si>
  <si>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</si>
  <si>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</si>
  <si>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</si>
  <si>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</si>
  <si>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</si>
  <si>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</si>
  <si>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</si>
  <si>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</si>
  <si>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</si>
  <si>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</si>
  <si>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</si>
  <si>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</si>
  <si>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</si>
  <si>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</si>
  <si>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</si>
  <si>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</si>
  <si>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</si>
  <si>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</si>
  <si>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</si>
  <si>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</si>
  <si>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</si>
  <si>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</si>
  <si>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</si>
  <si>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</si>
  <si>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</si>
  <si>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</si>
  <si>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</si>
  <si>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</si>
  <si>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</si>
  <si>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</si>
  <si>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</si>
  <si>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</si>
  <si>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</si>
  <si>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</si>
  <si>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</si>
  <si>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</si>
  <si>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</si>
  <si>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</si>
  <si>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</si>
  <si>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</si>
  <si>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</si>
  <si>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</si>
  <si>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</si>
  <si>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</si>
  <si>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</si>
  <si>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</si>
  <si>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</si>
  <si>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</si>
  <si>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</si>
  <si>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</si>
  <si>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</si>
  <si>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</si>
  <si>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</si>
  <si>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</si>
  <si>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</si>
  <si>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</si>
  <si>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</si>
  <si>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</si>
  <si>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</si>
  <si>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</si>
  <si>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</si>
  <si>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</si>
  <si>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</si>
  <si>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</si>
  <si>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</si>
  <si>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</si>
  <si>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</si>
  <si>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</si>
  <si>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</si>
  <si>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</si>
  <si>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</si>
  <si>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</si>
  <si>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</si>
  <si>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</si>
  <si>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</si>
  <si>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</si>
  <si>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</si>
  <si>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</si>
  <si>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</si>
  <si>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</si>
  <si>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</si>
  <si>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</si>
  <si>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</si>
  <si>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</si>
  <si>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</si>
  <si>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</si>
  <si>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</si>
  <si>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</si>
  <si>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</si>
  <si>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</si>
  <si>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</si>
  <si>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</si>
  <si>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</si>
  <si>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</si>
  <si>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</si>
  <si>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</si>
  <si>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</si>
  <si>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</si>
  <si>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</si>
  <si>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</si>
  <si>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</si>
  <si>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</si>
  <si>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</si>
  <si>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</si>
  <si>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</si>
  <si>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</si>
  <si>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</si>
  <si>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</si>
  <si>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</si>
  <si>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</si>
  <si>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</si>
  <si>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</si>
  <si>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</si>
  <si>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</si>
  <si>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</si>
  <si>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</si>
  <si>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</si>
  <si>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</si>
  <si>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</si>
  <si>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</si>
  <si>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</si>
  <si>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</si>
  <si>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</si>
  <si>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</si>
  <si>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</si>
  <si>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</si>
  <si>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</si>
  <si>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</si>
  <si>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</si>
  <si>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</si>
  <si>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</si>
  <si>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</si>
  <si>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</si>
  <si>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</si>
  <si>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</si>
  <si>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</si>
  <si>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</si>
  <si>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</si>
  <si>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</si>
  <si>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</si>
  <si>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</si>
  <si>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</si>
  <si>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</si>
  <si>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</si>
  <si>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</si>
  <si>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</si>
  <si>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</si>
  <si>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</si>
  <si>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</si>
  <si>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</si>
  <si>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</si>
  <si>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</si>
  <si>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</si>
  <si>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</si>
  <si>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</si>
  <si>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</si>
  <si>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</si>
  <si>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</si>
  <si>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</si>
  <si>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</si>
  <si>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</si>
  <si>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</si>
  <si>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</si>
  <si>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</si>
  <si>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</si>
  <si>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</si>
  <si>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</si>
  <si>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</si>
  <si>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</si>
  <si>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</si>
  <si>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</si>
  <si>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</si>
  <si>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</si>
  <si>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</si>
  <si>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</si>
  <si>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</si>
  <si>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</si>
  <si>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</si>
  <si>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</si>
  <si>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</si>
  <si>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</si>
  <si>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</si>
  <si>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</si>
  <si>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</si>
  <si>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</si>
  <si>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</si>
  <si>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</si>
  <si>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</si>
  <si>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</si>
  <si>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</si>
  <si>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</si>
  <si>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</si>
  <si>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</si>
  <si>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</si>
  <si>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</si>
  <si>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</si>
  <si>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</si>
  <si>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</si>
  <si>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</si>
  <si>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</si>
  <si>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</si>
  <si>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</si>
  <si>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</si>
  <si>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</si>
  <si>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</si>
  <si>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</si>
  <si>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</si>
  <si>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</si>
  <si>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</si>
  <si>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</si>
  <si>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</si>
  <si>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</si>
  <si>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</si>
  <si>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</si>
  <si>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</si>
  <si>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</si>
  <si>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</si>
  <si>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</si>
  <si>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</si>
  <si>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</si>
  <si>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</si>
  <si>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</si>
  <si>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</si>
  <si>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</si>
  <si>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</si>
  <si>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</si>
  <si>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</si>
  <si>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</si>
  <si>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</si>
  <si>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</si>
  <si>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</si>
  <si>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</si>
  <si>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</si>
  <si>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</si>
  <si>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</si>
  <si>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</si>
  <si>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</si>
  <si>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</si>
  <si>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</si>
  <si>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</si>
  <si>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</si>
  <si>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</si>
  <si>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</si>
  <si>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</si>
  <si>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</si>
  <si>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</si>
  <si>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</si>
  <si>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</si>
  <si>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</si>
  <si>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</si>
  <si>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</si>
  <si>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</si>
  <si>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</si>
  <si>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</si>
  <si>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</si>
  <si>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</si>
  <si>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</si>
  <si>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</si>
  <si>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</si>
  <si>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</si>
  <si>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</si>
  <si>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</si>
  <si>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</si>
  <si>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</si>
  <si>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</si>
  <si>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</si>
  <si>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</si>
  <si>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</si>
  <si>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</si>
  <si>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</si>
  <si>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</si>
  <si>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</si>
  <si>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</si>
  <si>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</si>
  <si>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</si>
  <si>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</si>
  <si>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</si>
  <si>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</si>
  <si>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</si>
  <si>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</si>
  <si>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</si>
  <si>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</si>
  <si>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</si>
  <si>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</si>
  <si>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</si>
  <si>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</si>
  <si>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</si>
  <si>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</si>
  <si>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</si>
  <si>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</si>
  <si>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</si>
  <si>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</si>
  <si>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</si>
  <si>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</si>
  <si>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</si>
  <si>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</si>
  <si>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</si>
  <si>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</si>
  <si>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</si>
  <si>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</si>
  <si>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</si>
  <si>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</si>
  <si>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</si>
  <si>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</si>
  <si>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</si>
  <si>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</si>
  <si>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</si>
  <si>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</si>
  <si>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</si>
  <si>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</si>
  <si>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</si>
  <si>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</si>
  <si>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</si>
  <si>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</si>
  <si>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</si>
  <si>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</si>
  <si>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</si>
  <si>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</si>
  <si>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</si>
  <si>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</si>
  <si>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</si>
  <si>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</si>
  <si>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</si>
  <si>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</si>
  <si>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</si>
  <si>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</si>
  <si>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</si>
  <si>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</si>
  <si>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</si>
  <si>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</si>
  <si>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</si>
  <si>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</si>
  <si>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</si>
  <si>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</si>
  <si>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</si>
  <si>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</si>
  <si>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</si>
  <si>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</si>
  <si>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</si>
  <si>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</si>
  <si>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</si>
  <si>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</si>
  <si>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</si>
  <si>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</si>
  <si>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</si>
  <si>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</si>
  <si>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</si>
  <si>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</si>
  <si>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</si>
  <si>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</si>
  <si>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</si>
  <si>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</si>
  <si>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</si>
  <si>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</si>
  <si>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</si>
  <si>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</si>
  <si>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</si>
  <si>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</si>
  <si>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</si>
  <si>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</si>
  <si>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</si>
  <si>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</si>
  <si>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</si>
  <si>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</si>
  <si>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</si>
  <si>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</si>
  <si>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</si>
  <si>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</si>
  <si>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</si>
  <si>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</si>
  <si>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</si>
  <si>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</si>
  <si>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</si>
  <si>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</si>
  <si>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</si>
  <si>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</si>
  <si>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</si>
  <si>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</si>
  <si>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</si>
  <si>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</si>
  <si>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</si>
  <si>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</si>
  <si>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</si>
  <si>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</si>
  <si>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</si>
  <si>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</si>
  <si>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</si>
  <si>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</si>
  <si>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</si>
  <si>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</si>
  <si>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</si>
  <si>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</si>
  <si>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</si>
  <si>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</si>
  <si>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</si>
  <si>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</si>
  <si>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</si>
  <si>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</si>
  <si>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</si>
  <si>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</si>
  <si>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</si>
  <si>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</si>
  <si>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</si>
  <si>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</si>
  <si>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</si>
  <si>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</si>
  <si>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</si>
  <si>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</si>
  <si>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</si>
  <si>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</si>
  <si>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</si>
  <si>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</si>
  <si>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</si>
  <si>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</si>
  <si>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</si>
  <si>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</si>
  <si>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</si>
  <si>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</si>
  <si>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</si>
  <si>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</si>
  <si>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</si>
  <si>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</si>
  <si>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</si>
  <si>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</si>
  <si>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</si>
  <si>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</si>
  <si>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</si>
  <si>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</si>
  <si>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</si>
  <si>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</si>
  <si>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</si>
  <si>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</si>
  <si>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</si>
  <si>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</si>
  <si>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</si>
  <si>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</si>
  <si>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</si>
  <si>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</si>
  <si>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</si>
  <si>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</si>
  <si>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</si>
  <si>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</si>
  <si>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</si>
  <si>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</si>
  <si>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</si>
  <si>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</si>
  <si>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</si>
  <si>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</si>
  <si>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</si>
  <si>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</si>
  <si>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</si>
  <si>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</si>
  <si>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</si>
  <si>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</si>
  <si>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</si>
  <si>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</si>
  <si>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</si>
  <si>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</si>
  <si>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</si>
  <si>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</si>
  <si>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</si>
  <si>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</si>
  <si>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</si>
  <si>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</si>
  <si>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</si>
  <si>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</si>
  <si>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</si>
  <si>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</si>
  <si>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</si>
  <si>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</si>
  <si>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</si>
  <si>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</si>
  <si>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</si>
  <si>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</si>
  <si>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</si>
  <si>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</si>
  <si>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</si>
  <si>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</si>
  <si>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</si>
  <si>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</si>
  <si>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</si>
  <si>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</si>
  <si>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</si>
  <si>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</si>
  <si>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</si>
  <si>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</si>
  <si>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</si>
  <si>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</si>
  <si>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</si>
  <si>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</si>
  <si>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</si>
  <si>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</si>
  <si>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</si>
  <si>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</si>
  <si>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</si>
  <si>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</si>
  <si>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</si>
  <si>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</si>
  <si>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</si>
  <si>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</si>
  <si>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</si>
  <si>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</si>
  <si>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</si>
  <si>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</si>
  <si>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</si>
  <si>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</si>
  <si>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</si>
  <si>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</si>
  <si>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</si>
  <si>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</si>
  <si>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</si>
  <si>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</si>
  <si>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</si>
  <si>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</si>
  <si>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</si>
  <si>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</si>
  <si>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</si>
  <si>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</si>
  <si>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</si>
  <si>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</si>
  <si>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</si>
  <si>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</si>
  <si>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</si>
  <si>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</si>
  <si>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</si>
  <si>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</si>
  <si>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</si>
  <si>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</si>
  <si>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</si>
  <si>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</si>
  <si>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</si>
  <si>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</si>
  <si>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</si>
  <si>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</si>
  <si>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</si>
  <si>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</si>
  <si>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</si>
  <si>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</si>
  <si>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</si>
  <si>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</si>
  <si>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</si>
  <si>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</si>
  <si>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</si>
  <si>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</si>
  <si>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</si>
  <si>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</si>
  <si>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</si>
  <si>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</si>
  <si>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</si>
  <si>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</si>
  <si>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</si>
  <si>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</si>
  <si>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</si>
  <si>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</si>
  <si>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</si>
  <si>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</si>
  <si>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</si>
  <si>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</si>
  <si>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</si>
  <si>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</si>
  <si>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</si>
  <si>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</si>
  <si>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</si>
  <si>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</si>
  <si>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</si>
  <si>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</si>
  <si>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</si>
  <si>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</si>
  <si>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</si>
  <si>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</si>
  <si>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</si>
  <si>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</si>
  <si>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</si>
  <si>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</si>
  <si>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</si>
  <si>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</si>
  <si>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</si>
  <si>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</si>
  <si>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</si>
  <si>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</si>
  <si>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</si>
  <si>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</si>
  <si>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</si>
  <si>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</si>
  <si>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</si>
  <si>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</si>
  <si>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</si>
  <si>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</si>
  <si>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</si>
  <si>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</si>
  <si>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</si>
  <si>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</si>
  <si>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</si>
  <si>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</si>
  <si>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</si>
  <si>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</si>
  <si>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</si>
  <si>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</si>
  <si>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</si>
  <si>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</si>
  <si>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</si>
  <si>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</si>
  <si>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</si>
  <si>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</si>
  <si>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</si>
  <si>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</si>
  <si>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</si>
  <si>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</si>
  <si>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</si>
  <si>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</si>
  <si>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</si>
  <si>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</si>
  <si>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</si>
  <si>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</si>
  <si>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</si>
  <si>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</si>
  <si>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</si>
  <si>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</si>
  <si>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</si>
  <si>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</si>
  <si>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</si>
  <si>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</si>
  <si>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</si>
  <si>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</si>
  <si>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</si>
  <si>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</si>
  <si>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</si>
  <si>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</si>
  <si>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</si>
  <si>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</si>
  <si>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</si>
  <si>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</si>
  <si>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</si>
  <si>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</si>
  <si>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</si>
  <si>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</si>
  <si>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</si>
  <si>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</si>
  <si>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</si>
  <si>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</si>
  <si>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</si>
  <si>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</si>
  <si>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</si>
  <si>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</si>
  <si>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</si>
  <si>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</si>
  <si>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</si>
  <si>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</si>
  <si>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</si>
  <si>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</si>
  <si>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</si>
  <si>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</si>
  <si>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</si>
  <si>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</si>
  <si>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</si>
  <si>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</si>
  <si>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</si>
  <si>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</si>
  <si>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</si>
  <si>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</si>
  <si>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</si>
  <si>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</si>
  <si>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</si>
  <si>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</si>
  <si>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</si>
  <si>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</si>
  <si>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</si>
  <si>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</si>
  <si>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</si>
  <si>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</si>
  <si>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</si>
  <si>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</si>
  <si>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</si>
  <si>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</si>
  <si>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</si>
  <si>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</si>
  <si>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</si>
  <si>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</si>
  <si>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</si>
  <si>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</si>
  <si>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</si>
  <si>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</si>
  <si>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</si>
  <si>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</si>
  <si>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</si>
  <si>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</si>
  <si>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</si>
  <si>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</si>
  <si>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</si>
  <si>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</si>
  <si>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</si>
  <si>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</si>
  <si>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</si>
  <si>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</si>
  <si>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</si>
  <si>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</si>
  <si>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</si>
  <si>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</si>
  <si>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</si>
  <si>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</si>
  <si>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</si>
  <si>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</si>
  <si>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</si>
  <si>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</si>
  <si>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</si>
  <si>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</si>
  <si>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</si>
  <si>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</si>
  <si>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</si>
  <si>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</si>
  <si>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</si>
  <si>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</si>
  <si>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</si>
  <si>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</si>
  <si>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</si>
  <si>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</si>
  <si>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</si>
  <si>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</si>
  <si>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</si>
  <si>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</si>
  <si>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</si>
  <si>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</si>
  <si>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</si>
  <si>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</si>
  <si>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</si>
  <si>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</si>
  <si>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</si>
  <si>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</si>
  <si>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</si>
  <si>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</si>
  <si>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</si>
  <si>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</si>
  <si>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</si>
  <si>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</si>
  <si>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</si>
  <si>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</si>
  <si>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</si>
  <si>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</si>
  <si>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</si>
  <si>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</si>
  <si>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</si>
  <si>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</si>
  <si>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</si>
  <si>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</si>
  <si>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</si>
  <si>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</si>
  <si>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</si>
  <si>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</si>
  <si>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</si>
  <si>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</si>
  <si>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</si>
  <si>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</si>
  <si>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</si>
  <si>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</si>
  <si>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</si>
  <si>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</si>
  <si>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</si>
  <si>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</si>
  <si>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</si>
  <si>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</si>
  <si>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</si>
  <si>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</si>
  <si>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</si>
  <si>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</si>
  <si>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</si>
  <si>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</si>
  <si>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</si>
  <si>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</si>
  <si>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</si>
  <si>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</si>
  <si>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</si>
  <si>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</si>
  <si>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</si>
  <si>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</si>
  <si>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</si>
  <si>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</si>
  <si>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</si>
  <si>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</si>
  <si>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</si>
  <si>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</si>
  <si>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</si>
  <si>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</si>
  <si>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</si>
  <si>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</si>
  <si>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</si>
  <si>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</si>
  <si>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</si>
  <si>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</si>
  <si>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</si>
  <si>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</si>
  <si>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</si>
  <si>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</si>
  <si>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</si>
  <si>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</si>
  <si>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</si>
  <si>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</si>
  <si>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</si>
  <si>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</si>
  <si>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</si>
  <si>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</si>
  <si>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</si>
  <si>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</si>
  <si>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</si>
  <si>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</si>
  <si>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</si>
  <si>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</si>
  <si>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</si>
  <si>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</si>
  <si>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</si>
  <si>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</si>
  <si>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</si>
  <si>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</si>
  <si>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</si>
  <si>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</si>
  <si>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</si>
  <si>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</si>
  <si>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</si>
  <si>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</si>
  <si>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</si>
  <si>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</si>
  <si>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</si>
  <si>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</si>
  <si>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</si>
  <si>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</si>
  <si>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</si>
  <si>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</si>
  <si>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</si>
  <si>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</si>
  <si>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</si>
  <si>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</si>
  <si>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</si>
  <si>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</si>
  <si>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</si>
  <si>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</si>
  <si>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</si>
  <si>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</si>
  <si>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</si>
  <si>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</si>
  <si>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</si>
  <si>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</si>
  <si>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</si>
  <si>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</si>
  <si>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</si>
  <si>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</si>
  <si>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</si>
  <si>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</si>
  <si>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</si>
  <si>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</si>
  <si>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</si>
  <si>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</si>
  <si>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</si>
  <si>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</si>
  <si>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</si>
  <si>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</si>
  <si>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</si>
  <si>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</si>
  <si>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</si>
  <si>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</si>
  <si>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</si>
  <si>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</si>
  <si>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</si>
  <si>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</si>
  <si>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</si>
  <si>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</si>
  <si>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</si>
  <si>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</si>
  <si>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</si>
  <si>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</si>
  <si>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</si>
  <si>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</si>
  <si>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</si>
  <si>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</si>
  <si>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</si>
  <si>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</si>
  <si>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</si>
  <si>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</si>
  <si>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</si>
  <si>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</si>
  <si>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</si>
  <si>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</si>
  <si>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</si>
  <si>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</si>
  <si>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</si>
  <si>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</si>
  <si>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</si>
  <si>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</si>
  <si>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</si>
  <si>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</si>
  <si>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</si>
  <si>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</si>
  <si>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</si>
  <si>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</si>
  <si>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</si>
  <si>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</si>
  <si>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</si>
  <si>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</si>
  <si>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</si>
  <si>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</si>
  <si>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</si>
  <si>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</si>
  <si>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</si>
  <si>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</si>
  <si>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</si>
  <si>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</si>
  <si>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</si>
  <si>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</si>
  <si>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</si>
  <si>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</si>
  <si>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</si>
  <si>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</si>
  <si>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</si>
  <si>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</si>
  <si>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</si>
  <si>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</si>
  <si>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</si>
  <si>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</si>
  <si>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</si>
  <si>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</si>
  <si>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</si>
  <si>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</si>
  <si>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</si>
  <si>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</si>
  <si>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</si>
  <si>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</si>
  <si>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</si>
  <si>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</si>
  <si>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</si>
  <si>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</si>
  <si>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</si>
  <si>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</si>
  <si>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</si>
  <si>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</si>
  <si>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</si>
  <si>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</si>
  <si>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</si>
  <si>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</si>
  <si>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</si>
  <si>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</si>
  <si>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</si>
  <si>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</si>
  <si>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</si>
  <si>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</si>
  <si>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</si>
  <si>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</si>
  <si>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</si>
  <si>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</si>
  <si>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</si>
  <si>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</si>
  <si>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</si>
  <si>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</si>
  <si>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</si>
  <si>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</si>
  <si>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</si>
  <si>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</si>
  <si>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</si>
  <si>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</si>
  <si>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</si>
  <si>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</si>
  <si>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</si>
  <si>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</si>
  <si>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</si>
  <si>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</si>
  <si>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</si>
  <si>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</si>
  <si>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</si>
  <si>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</si>
  <si>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</si>
  <si>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</si>
  <si>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</si>
  <si>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</si>
  <si>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</si>
  <si>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</si>
  <si>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</si>
  <si>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</si>
  <si>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</si>
  <si>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</si>
  <si>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</si>
  <si>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</si>
  <si>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</si>
  <si>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</si>
  <si>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</si>
  <si>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</si>
  <si>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</si>
  <si>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</si>
  <si>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</si>
  <si>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</si>
  <si>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</si>
  <si>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</si>
  <si>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</si>
  <si>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</si>
  <si>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</si>
  <si>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</si>
  <si>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</si>
  <si>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</si>
  <si>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</si>
  <si>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</si>
  <si>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</si>
  <si>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</si>
  <si>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</si>
  <si>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</si>
  <si>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</si>
  <si>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</si>
  <si>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</si>
  <si>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</si>
  <si>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</si>
  <si>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</si>
  <si>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</si>
  <si>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</si>
  <si>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</si>
  <si>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</si>
  <si>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</si>
  <si>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</si>
  <si>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</si>
  <si>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</si>
  <si>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</si>
  <si>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</si>
  <si>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</si>
  <si>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</si>
  <si>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</si>
  <si>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</si>
  <si>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</si>
  <si>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</si>
  <si>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</si>
  <si>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</si>
  <si>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</si>
  <si>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</si>
  <si>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</si>
  <si>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</si>
  <si>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</si>
  <si>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</si>
  <si>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</si>
  <si>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</si>
  <si>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</si>
  <si>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</si>
  <si>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</si>
  <si>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</si>
  <si>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</si>
  <si>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</si>
  <si>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</si>
  <si>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</si>
  <si>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</si>
  <si>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</si>
  <si>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</si>
  <si>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</si>
  <si>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</si>
  <si>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</si>
  <si>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</si>
  <si>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</si>
  <si>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</si>
  <si>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</si>
  <si>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</si>
  <si>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</si>
  <si>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</si>
  <si>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</si>
  <si>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</si>
  <si>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</si>
  <si>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</si>
  <si>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</si>
  <si>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</si>
  <si>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</si>
  <si>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</si>
  <si>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</si>
  <si>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</si>
  <si>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</si>
  <si>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</si>
  <si>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</si>
  <si>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</si>
  <si>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</si>
  <si>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</si>
  <si>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</si>
  <si>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</si>
  <si>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</si>
  <si>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</si>
  <si>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</si>
  <si>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</si>
  <si>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</si>
  <si>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</si>
  <si>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</si>
  <si>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</si>
  <si>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</si>
  <si>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</si>
  <si>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</si>
  <si>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</si>
  <si>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</si>
  <si>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</si>
  <si>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</si>
  <si>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</si>
  <si>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</si>
  <si>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</si>
  <si>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</si>
  <si>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</si>
  <si>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</si>
  <si>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</si>
  <si>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</si>
  <si>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</si>
  <si>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</si>
  <si>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</si>
  <si>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</si>
  <si>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</si>
  <si>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</si>
  <si>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</si>
  <si>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</si>
  <si>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</si>
  <si>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</si>
  <si>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</si>
  <si>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</si>
  <si>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</si>
  <si>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</si>
  <si>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</si>
  <si>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</si>
  <si>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</si>
  <si>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</si>
  <si>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</si>
  <si>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</si>
  <si>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</si>
  <si>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</si>
  <si>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</si>
  <si>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</si>
  <si>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</si>
  <si>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</si>
  <si>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</si>
  <si>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</si>
  <si>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</si>
  <si>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</si>
  <si>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</si>
  <si>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</si>
  <si>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</si>
  <si>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</si>
  <si>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</si>
  <si>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</si>
  <si>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</si>
  <si>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</si>
  <si>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</si>
  <si>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</si>
  <si>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</si>
  <si>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</si>
  <si>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</si>
  <si>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</si>
  <si>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</si>
  <si>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</si>
  <si>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</si>
  <si>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</si>
  <si>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</si>
  <si>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</si>
  <si>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</si>
  <si>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</si>
  <si>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</si>
  <si>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</si>
  <si>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</si>
  <si>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</si>
  <si>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</si>
  <si>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</si>
  <si>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</si>
  <si>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</si>
  <si>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</si>
  <si>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</si>
  <si>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</si>
  <si>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</si>
  <si>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</si>
  <si>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</si>
  <si>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</si>
  <si>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</si>
  <si>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</si>
  <si>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</si>
  <si>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</si>
  <si>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</si>
  <si>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</si>
  <si>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</si>
  <si>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</si>
  <si>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</si>
  <si>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</si>
  <si>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</si>
  <si>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</si>
  <si>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</si>
  <si>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</si>
  <si>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</si>
  <si>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</si>
  <si>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</si>
  <si>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</si>
  <si>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</si>
  <si>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</si>
  <si>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</si>
  <si>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</si>
  <si>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</si>
  <si>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</si>
  <si>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</si>
  <si>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</si>
  <si>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</si>
  <si>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</si>
  <si>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</si>
  <si>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</si>
  <si>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</si>
  <si>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</si>
  <si>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</si>
  <si>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</si>
  <si>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</si>
  <si>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</si>
  <si>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</si>
  <si>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</si>
  <si>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</si>
  <si>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</si>
  <si>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</si>
  <si>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</si>
  <si>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</si>
  <si>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</si>
  <si>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</si>
  <si>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</si>
  <si>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</si>
  <si>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</si>
  <si>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</si>
  <si>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</si>
  <si>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</si>
  <si>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</si>
  <si>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</si>
  <si>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</si>
  <si>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</si>
  <si>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</si>
  <si>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</si>
  <si>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</si>
  <si>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</si>
  <si>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</si>
  <si>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</si>
  <si>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</si>
  <si>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</si>
  <si>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</si>
  <si>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</si>
  <si>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</si>
  <si>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</si>
  <si>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</si>
  <si>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</si>
  <si>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</si>
  <si>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</si>
  <si>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</si>
  <si>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</si>
  <si>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</si>
  <si>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</si>
  <si>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</si>
  <si>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</si>
  <si>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</si>
  <si>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</si>
  <si>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</si>
  <si>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</si>
  <si>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</si>
  <si>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</si>
  <si>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</si>
  <si>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</si>
  <si>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</si>
  <si>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</si>
  <si>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</si>
  <si>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</si>
  <si>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</si>
  <si>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</si>
  <si>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</si>
  <si>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</si>
  <si>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</si>
  <si>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</si>
  <si>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</si>
  <si>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</si>
  <si>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</si>
  <si>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</si>
  <si>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</si>
  <si>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</si>
  <si>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</si>
  <si>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</si>
  <si>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</si>
  <si>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</si>
  <si>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</si>
  <si>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</si>
  <si>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</si>
  <si>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</si>
  <si>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</si>
  <si>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</si>
  <si>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</si>
  <si>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</si>
  <si>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</si>
  <si>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</si>
  <si>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</si>
  <si>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</si>
  <si>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</si>
  <si>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</si>
  <si>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</si>
  <si>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</si>
  <si>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</si>
  <si>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</si>
  <si>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</si>
  <si>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</si>
  <si>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</si>
  <si>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</si>
  <si>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</si>
  <si>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</si>
  <si>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</si>
  <si>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</si>
  <si>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</si>
  <si>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</si>
  <si>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</si>
  <si>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</si>
  <si>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</si>
  <si>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</si>
  <si>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</si>
  <si>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</si>
  <si>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</si>
  <si>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</si>
  <si>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</si>
  <si>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</si>
  <si>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</si>
  <si>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</si>
  <si>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</si>
  <si>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</si>
  <si>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</si>
  <si>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</si>
  <si>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</si>
  <si>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</si>
  <si>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</si>
  <si>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</si>
  <si>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</si>
  <si>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</si>
  <si>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</si>
  <si>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</si>
  <si>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</si>
  <si>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</si>
  <si>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</si>
  <si>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</si>
  <si>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</si>
  <si>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</si>
  <si>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</si>
  <si>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</si>
  <si>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</si>
  <si>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</si>
  <si>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</si>
  <si>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</si>
  <si>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</si>
  <si>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</si>
  <si>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</si>
  <si>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</si>
  <si>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</si>
  <si>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</si>
  <si>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</si>
  <si>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</si>
  <si>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</si>
  <si>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</si>
  <si>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</si>
  <si>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</si>
  <si>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</si>
  <si>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</si>
  <si>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</si>
  <si>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</si>
  <si>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</si>
  <si>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</si>
  <si>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</si>
  <si>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</si>
  <si>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</si>
  <si>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</si>
  <si>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</si>
  <si>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</si>
  <si>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</si>
  <si>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</si>
  <si>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</si>
  <si>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</si>
  <si>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</si>
  <si>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</si>
  <si>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</si>
  <si>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</si>
  <si>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</si>
  <si>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</si>
  <si>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</si>
  <si>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</si>
  <si>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</si>
  <si>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</si>
  <si>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</si>
  <si>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</si>
  <si>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</si>
  <si>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</si>
  <si>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</si>
  <si>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</si>
  <si>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</si>
  <si>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</si>
  <si>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</si>
  <si>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</si>
  <si>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</si>
  <si>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</si>
  <si>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</si>
  <si>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</si>
  <si>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</si>
  <si>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</si>
  <si>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</si>
  <si>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</si>
  <si>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</si>
  <si>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</si>
  <si>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</si>
  <si>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</si>
  <si>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</si>
  <si>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</si>
  <si>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</si>
  <si>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</si>
  <si>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</si>
  <si>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</si>
  <si>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</si>
  <si>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</si>
  <si>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</si>
  <si>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</si>
  <si>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</si>
  <si>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</si>
  <si>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</si>
  <si>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</si>
  <si>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</si>
  <si>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</si>
  <si>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</si>
  <si>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</si>
  <si>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</si>
  <si>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</si>
  <si>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</si>
  <si>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</si>
  <si>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</si>
  <si>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</si>
  <si>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</si>
  <si>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</si>
  <si>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</si>
  <si>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</si>
  <si>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</si>
  <si>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</si>
  <si>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</si>
  <si>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</si>
  <si>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</si>
  <si>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</si>
  <si>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</si>
  <si>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</si>
  <si>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</si>
  <si>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</si>
  <si>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</si>
  <si>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</si>
  <si>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</si>
  <si>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</si>
  <si>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</si>
  <si>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</si>
  <si>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</si>
  <si>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</si>
  <si>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</si>
  <si>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</si>
  <si>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</si>
  <si>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</si>
  <si>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</si>
  <si>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</si>
  <si>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</si>
  <si>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</si>
  <si>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</si>
  <si>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</si>
  <si>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</si>
  <si>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</si>
  <si>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</si>
  <si>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</si>
  <si>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</si>
  <si>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</si>
  <si>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</si>
  <si>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</si>
  <si>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</si>
  <si>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</si>
  <si>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</si>
  <si>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</si>
  <si>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</si>
  <si>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</si>
  <si>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</si>
  <si>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</si>
  <si>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</si>
  <si>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</si>
  <si>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</si>
  <si>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</si>
  <si>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</si>
  <si>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</si>
  <si>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</si>
  <si>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</si>
  <si>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</si>
  <si>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</si>
  <si>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</si>
  <si>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</si>
  <si>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</si>
  <si>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</si>
  <si>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</si>
  <si>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</si>
  <si>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</si>
  <si>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</si>
  <si>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</si>
  <si>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</si>
  <si>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</si>
  <si>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</si>
  <si>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</si>
  <si>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</si>
  <si>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</si>
  <si>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</si>
  <si>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</si>
  <si>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</si>
  <si>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</si>
  <si>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</si>
  <si>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</si>
  <si>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</si>
  <si>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</si>
  <si>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</si>
  <si>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</si>
  <si>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</si>
  <si>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</si>
  <si>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</si>
  <si>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</si>
  <si>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</si>
  <si>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</si>
  <si>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</si>
  <si>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</si>
  <si>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</si>
  <si>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</si>
  <si>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</si>
  <si>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</si>
  <si>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</si>
  <si>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</si>
  <si>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</si>
  <si>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</si>
  <si>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</si>
  <si>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</si>
  <si>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</si>
  <si>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</si>
  <si>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</si>
  <si>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</si>
  <si>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</si>
  <si>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</si>
  <si>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</si>
  <si>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</si>
  <si>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</si>
  <si>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</si>
  <si>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</si>
  <si>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</si>
  <si>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</si>
  <si>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</si>
  <si>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</si>
  <si>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</si>
  <si>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</si>
  <si>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</si>
  <si>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</si>
  <si>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</si>
  <si>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</si>
  <si>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</si>
  <si>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</si>
  <si>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</si>
  <si>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</si>
  <si>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</si>
  <si>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</si>
  <si>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</si>
  <si>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</si>
  <si>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</si>
  <si>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</si>
  <si>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</si>
  <si>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</si>
  <si>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</si>
  <si>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</si>
  <si>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</si>
  <si>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</si>
  <si>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</si>
  <si>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</si>
  <si>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</si>
  <si>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</si>
  <si>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</si>
  <si>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</si>
  <si>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</si>
  <si>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</si>
  <si>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</si>
  <si>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</si>
  <si>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</si>
  <si>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</si>
  <si>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</si>
  <si>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</si>
  <si>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</si>
  <si>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</si>
  <si>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</si>
  <si>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</si>
  <si>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</si>
  <si>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</si>
  <si>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</si>
  <si>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</si>
  <si>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</si>
  <si>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</si>
  <si>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</si>
  <si>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</si>
  <si>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</si>
  <si>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</si>
  <si>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</si>
  <si>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</si>
  <si>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</si>
  <si>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</si>
  <si>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</si>
  <si>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</si>
  <si>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</si>
  <si>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</si>
  <si>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</si>
  <si>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</si>
  <si>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</si>
  <si>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</si>
  <si>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</si>
  <si>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</si>
  <si>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</si>
  <si>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</si>
  <si>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</si>
  <si>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</si>
  <si>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</si>
  <si>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</si>
  <si>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</si>
  <si>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</si>
  <si>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</si>
  <si>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</si>
  <si>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</si>
  <si>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</si>
  <si>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</si>
  <si>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</si>
  <si>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</si>
  <si>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</si>
  <si>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</si>
  <si>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</si>
  <si>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</si>
  <si>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</si>
  <si>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</si>
  <si>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</si>
  <si>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</si>
  <si>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</si>
  <si>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</si>
  <si>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</si>
  <si>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</si>
  <si>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ROLO DE CARGA 40x</t>
  </si>
  <si>
    <t>30x ROLOS IMPACTO</t>
  </si>
  <si>
    <t>10 ROLO DE IMPACTO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</si>
  <si>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</si>
  <si>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</si>
  <si>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</si>
  <si>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</si>
  <si>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</si>
  <si>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</si>
  <si>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</si>
  <si>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</si>
  <si>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</si>
  <si>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</si>
  <si>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</si>
  <si>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</si>
  <si>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</si>
  <si>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</si>
  <si>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</si>
  <si>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</si>
  <si>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</si>
  <si>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</si>
  <si>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</si>
  <si>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</si>
  <si>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</si>
  <si>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</si>
  <si>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</si>
  <si>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</si>
  <si>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</si>
  <si>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</si>
  <si>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</si>
  <si>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</si>
  <si>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</si>
  <si>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</si>
  <si>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</si>
  <si>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</si>
  <si>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</si>
  <si>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</si>
  <si>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</si>
  <si>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</si>
  <si>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</si>
  <si>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</si>
  <si>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</si>
  <si>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</si>
  <si>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</si>
  <si>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</si>
  <si>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</si>
  <si>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</si>
  <si>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</si>
  <si>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</si>
  <si>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</si>
  <si>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</si>
  <si>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</si>
  <si>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</si>
  <si>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</si>
  <si>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</si>
  <si>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</si>
  <si>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</si>
  <si>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</si>
  <si>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</si>
  <si>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</si>
  <si>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</si>
  <si>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</si>
  <si>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</si>
  <si>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</si>
  <si>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</si>
  <si>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</si>
  <si>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</si>
  <si>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</si>
  <si>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</si>
  <si>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</si>
  <si>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</si>
  <si>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</si>
  <si>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</si>
  <si>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</si>
  <si>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</si>
  <si>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</si>
  <si>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</si>
  <si>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</si>
  <si>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</si>
  <si>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</si>
  <si>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</si>
  <si>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</si>
  <si>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</si>
  <si>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</si>
  <si>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</si>
  <si>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</si>
  <si>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</si>
  <si>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</si>
  <si>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</si>
  <si>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</si>
  <si>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</si>
  <si>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</si>
  <si>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</si>
  <si>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</si>
  <si>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</si>
  <si>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</si>
  <si>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</si>
  <si>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</si>
  <si>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</si>
  <si>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</si>
  <si>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</si>
  <si>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</si>
  <si>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</si>
  <si>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</si>
  <si>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</si>
  <si>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</si>
  <si>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</si>
  <si>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</si>
  <si>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</si>
  <si>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</si>
  <si>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</si>
  <si>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</si>
  <si>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</si>
  <si>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</si>
  <si>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</si>
  <si>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</si>
  <si>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</si>
  <si>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</si>
  <si>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</si>
  <si>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</si>
  <si>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</si>
  <si>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</si>
  <si>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</si>
  <si>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</si>
  <si>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</si>
  <si>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</si>
  <si>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</si>
  <si>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</si>
  <si>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</si>
  <si>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</si>
  <si>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</si>
  <si>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</si>
  <si>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</si>
  <si>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</si>
  <si>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</si>
  <si>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</si>
  <si>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</si>
  <si>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</si>
  <si>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</si>
  <si>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</si>
  <si>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</si>
  <si>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>CORREIA</t>
  </si>
  <si>
    <t>P218</t>
  </si>
  <si>
    <t>Comercial</t>
  </si>
  <si>
    <t>P-218</t>
  </si>
  <si>
    <t>P.898</t>
  </si>
  <si>
    <t>P.899</t>
  </si>
  <si>
    <t>P.900</t>
  </si>
  <si>
    <t>T-073804-1</t>
  </si>
  <si>
    <t>MI-D-148-ME-DF-0183</t>
  </si>
  <si>
    <t>PIVÔ - CONJUNTO E DETALHES (MÓDULO INFERIOR) 73804-A</t>
  </si>
  <si>
    <t>PIVÔ - CONJUNTO E DETALHES (MÓDULO INTERMEDIÁRIO) 73804-B</t>
  </si>
  <si>
    <t>PIVÔ - CONJUNTO E DETALHES (MÓDULO SUPERIOR) 73804-C</t>
  </si>
  <si>
    <t>PIVÔ - CONJUNTO E DETALHES (PINO) 73804-D</t>
  </si>
  <si>
    <t>T-073806-1</t>
  </si>
  <si>
    <t>MI-D-148-ME-DF-0185</t>
  </si>
  <si>
    <t>SUPORTE APOIO - DETALHES (SUPORTE DE APOIO-1) 73806-A</t>
  </si>
  <si>
    <t>SUPORTE APOIO - DETALHES (SUPORTE DE APOIO-2) 73806-B</t>
  </si>
  <si>
    <t>1- 09/09/2026</t>
  </si>
  <si>
    <t>2- 09/09/2026</t>
  </si>
  <si>
    <t>T-073803-1</t>
  </si>
  <si>
    <t>MI-D-148-ME-DF-0182</t>
  </si>
  <si>
    <t>GUIA DE MATERIAL - DETALHES (SUPORTE) 73803-A</t>
  </si>
  <si>
    <t>GUIA DE MATERIAL - DETALHES (SUPORTE DA CHAPA GUIA ) 73803-B</t>
  </si>
  <si>
    <t>GUIA DE MATERIAL - DETALHES (CHAPA GUIA ) 73803-C</t>
  </si>
  <si>
    <t>GUIA DE MATERIAL - DETALHES (PRENSA BORRACHA ) 73803-D</t>
  </si>
  <si>
    <t>GUIA DE MATERIAL - DETALHES (PRENSA BORRACHA ) 73803-E</t>
  </si>
  <si>
    <t>CHAPA DESGASTE (HARDOX-500) - CH 12,7 x 196 x 369 - 73803 - G</t>
  </si>
  <si>
    <t>GUIA DE MATERIAL - DETALHES (TAMPA TRASEIRA) 73803-H</t>
  </si>
  <si>
    <t>GUIA DE MATERIAL - DETALHES (PRENSA BORRACHA) 73803-J</t>
  </si>
  <si>
    <t>CHAPA DESGASTE (HARDOX-500) - CH 13 x 236 x 494 - 73803-L</t>
  </si>
  <si>
    <t>GUIA DE MATERIAL - DETALHES (SUPORTE DA CHAPA GUIA) 73803-M</t>
  </si>
  <si>
    <t>GUIA DE MATERIAL - DETALHES (SUPORTE) 73803-N</t>
  </si>
  <si>
    <t>CAIXA DE MANCAL - HSBP 32 - FCM</t>
  </si>
  <si>
    <t>P213</t>
  </si>
  <si>
    <t>P-213</t>
  </si>
  <si>
    <t>SIGMA</t>
  </si>
  <si>
    <t>Em processo de compra SC: 2088</t>
  </si>
  <si>
    <t>Em processo de compra SC: 1986</t>
  </si>
  <si>
    <t>AGUARDANDO MATÉRIA PRIMA OC: 2034, 2035</t>
  </si>
  <si>
    <t>AGUARDANDO MATÉRIA PRIMA SC: 2076</t>
  </si>
  <si>
    <t>AGUARDANDO BRONZE OC: 2768</t>
  </si>
  <si>
    <t>Compra de matéria prima SC: 2069, 2072</t>
  </si>
  <si>
    <t>0275079</t>
  </si>
  <si>
    <t>P.208</t>
  </si>
  <si>
    <t>0275080</t>
  </si>
  <si>
    <t>T-073923-1</t>
  </si>
  <si>
    <t>301.M.DIM.0XXX</t>
  </si>
  <si>
    <t>REFORÇO DA ESTRUTURA DO TRANSPORTADOR - CONJUNTO E DETALHES (REFORÇO P8 - PARTE 1) 73923-A</t>
  </si>
  <si>
    <t>REFORÇO DA ESTRUTURA DO TRANSPORTADOR - CONJUNTO E DETALHES (REFORÇO P8 - PARTE 2) 73923-B</t>
  </si>
  <si>
    <t>REFORÇO DA ESTRUTURA DO TRANSPORTADOR - CONJUNTO E DETALHES (VIGA DE REFORÇO INTERMEDIARIA) 73923-C</t>
  </si>
  <si>
    <t>REFORÇO DA ESTRUTURA DO TRANSPORTADOR - CONJUNTO E DETALHES (REFORÇO P7 - PARTE 1) 73923-D</t>
  </si>
  <si>
    <t>REFORÇO DA ESTRUTURA DO TRANSPORTADOR - CONJUNTO E DETALHES (REFORÇO P7 - PARTE 2) 73923-E</t>
  </si>
  <si>
    <t>REFORÇO DA ESTRUTURA DO TRANSPORTADOR - CONJUNTO E DETALHES (REFORÇO P6 - PARTE 1) 73923-F</t>
  </si>
  <si>
    <t>REFORÇO DA ESTRUTURA DO TRANSPORTADOR - CONJUNTO E DETALHES (REFORÇO P6 - PARTE 2) 73923-G</t>
  </si>
  <si>
    <t>REFORÇO DA ESTRUTURA DO TRANSPORTADOR - CONJUNTO E DETALHES (REFORÇO P5 - PARTE 1) 73923-H</t>
  </si>
  <si>
    <t>REFORÇO DA ESTRUTURA DO TRANSPORTADOR - CONJUNTO E DETALHES (REFORÇO P5 - PARTE 2) 73923-J</t>
  </si>
  <si>
    <t>REFORÇO DA ESTRUTURA DO TRANSPORTADOR - CONJUNTO E DETALHES (REFORÇO P2 - PARTE 1) 73923-K</t>
  </si>
  <si>
    <t>REFORÇO DA ESTRUTURA DO TRANSPORTADOR - CONJUNTO E DETALHES (REFORÇO P2 - PARTE 2) 73923-L</t>
  </si>
  <si>
    <t>REFORÇO DA ESTRUTURA DO TRANSPORTADOR - CONJUNTO E DETALHES (REFORÇO P1 - PARTE 1) 73923-M</t>
  </si>
  <si>
    <t>REFORÇO DA ESTRUTURA DO TRANSPORTADOR - CONJUNTO E DETALHES (REFORÇO P1 - PARTE 2) 73923-N</t>
  </si>
  <si>
    <t>REFORÇO DA ESTRUTURA DO TRANSPORTADOR - CONJUNTO E DETALHES (OLHAL - 1) 73923-P</t>
  </si>
  <si>
    <t>REFORÇO DA ESTRUTURA DO TRANSPORTADOR - CONJUNTO E DETALHES (OLHAL - 2) 73923-Q</t>
  </si>
  <si>
    <t>REFORÇO DA ESTRUTURA DO TRANSPORTADOR - CONJUNTO E DETALHES (REFORÇO) 73923-R</t>
  </si>
  <si>
    <t>REFORÇO DA ESTRUTURA DO TRANSPORTADOR - CONJUNTO E DETALHES (REFORÇO CONTRAVENTAMENTO COLUNAS P2, P3) 73923-S</t>
  </si>
  <si>
    <t>T-073924-1</t>
  </si>
  <si>
    <t>VIGA PARA RETIRADA DE INTERFERÊNCIA - CONJUNTO E DETALHES (VIGA RETIRADA DE INTERFERENCIA - MONTADA) 73924-A</t>
  </si>
  <si>
    <t>VIGA PARA RETIRADA DE INTERFERÊNCIA - CONJUNTO E DETALHES (VIGA RETIRADA DE INTERFERENCIA) 73924-B</t>
  </si>
  <si>
    <t>DF-0192-S-00100/S000947</t>
  </si>
  <si>
    <t>TAMBOR ACIONAMENTO-D610-1168-4 15/16"/150-150 ECM=1650 KA107 (TAMBOR) 0947-A</t>
  </si>
  <si>
    <t>P219</t>
  </si>
  <si>
    <t>1x TAMBOR DE ACIONAMENTO</t>
  </si>
  <si>
    <t xml:space="preserve">Em Processo de compra   </t>
  </si>
  <si>
    <t>DF-0192-S-00100/S000943</t>
  </si>
  <si>
    <t>TAMBOR ACIONAMENTO-D610-1168-4 15/16"/150-150 ECM=1650 1035-G20 (TAMBOR) 0943-A</t>
  </si>
  <si>
    <t>P220</t>
  </si>
  <si>
    <t>P-220</t>
  </si>
  <si>
    <t>DF-0192-S-00100/S000945</t>
  </si>
  <si>
    <t>TAMBOR ACIONAMENTO-D610-1372-5 15/16"/180-180 ECM=1850 1040-G20 (TAMBOR) 0945-A</t>
  </si>
  <si>
    <t>P221</t>
  </si>
  <si>
    <t>P-221</t>
  </si>
  <si>
    <t>DF-0192-S-00100/S000946</t>
  </si>
  <si>
    <t>TAMBOR LIVRE-D610-1372-4 15/16"/150-150 ECM=1750-CONJ. E DET. (TAMBOR) 0946-A</t>
  </si>
  <si>
    <t>P222</t>
  </si>
  <si>
    <t>P-222</t>
  </si>
  <si>
    <t>DF-0192-S-00100-S000944</t>
  </si>
  <si>
    <t>TAMBOR LIVRE-D610-1168-3 15/16"/120-120 ECM=1550-CONJ. E DET. (TAMBOR) 0944-A</t>
  </si>
  <si>
    <t>P223</t>
  </si>
  <si>
    <t>P-223</t>
  </si>
  <si>
    <t>1x TAMBOR LIVRE</t>
  </si>
  <si>
    <t>2- 11/09/2026</t>
  </si>
  <si>
    <t>3- 11/09/2026</t>
  </si>
  <si>
    <t>1- 11/09/2026</t>
  </si>
  <si>
    <t>2 - 11/09/2026</t>
  </si>
  <si>
    <t>T-073774-1</t>
  </si>
  <si>
    <t>MI-D-148-ME-DF-0153</t>
  </si>
  <si>
    <t>ESTRUTURA DE SUSTENTAÇÃO DO EXTRATOR - DETALHES (BASE/COLUNA) 73774-A</t>
  </si>
  <si>
    <t>ESTRUTURA DE SUSTENTAÇÃO DO EXTRATOR - DETALHES (VIGA DIR.ESQ) 73774-B</t>
  </si>
  <si>
    <t>ESTRUTURA DE SUSTENTAÇÃO DO EXTRATOR - DETALHES (VIGA DIR.ESQ) 73774-C</t>
  </si>
  <si>
    <t>ESTRUTURA DE SUSTENTAÇÃO DO EXTRATOR - DETALHES (VIGA ) 73774-D</t>
  </si>
  <si>
    <t>ESTRUTURA DE SUSTENTAÇÃO DO EXTRATOR - DETALHES (VIGA ) 73774-E</t>
  </si>
  <si>
    <t>ESTRUTURA DE SUSTENTAÇÃO DO EXTRATOR - DETALHES (VIGA ) 73774-F</t>
  </si>
  <si>
    <t>ESTRUTURA DE SUSTENTAÇÃO DO EXTRATOR - DETALHES (VIGA ) 73774-G</t>
  </si>
  <si>
    <t>ESTRUTURA DE SUSTENTAÇÃO DO EXTRATOR - DETALHES (LONGARINA ) 73774-H</t>
  </si>
  <si>
    <t>ESTRUTURA DE SUSTENTAÇÃO DO EXTRATOR - DETALHES (LONGARINA ) 73774-J</t>
  </si>
  <si>
    <t>ESTRUTURA DE SUSTENTAÇÃO DO EXTRATOR - DETALHES (LONGARINA ) 73774-K</t>
  </si>
  <si>
    <t>ESTRUTURA DE SUSTENTAÇÃO DO EXTRATOR - DETALHES (VIGA SUPERIOR ) 73774-L</t>
  </si>
  <si>
    <t>ESTRUTURA DE SUSTENTAÇÃO DO EXTRATOR - DETALHES (VIGA  ) 73774-M</t>
  </si>
  <si>
    <t>ESTRUTURA DE SUSTENTAÇÃO DO EXTRATOR - DETALHES (VIGA  ) 73774-N</t>
  </si>
  <si>
    <t>ESTRUTURA DE SUSTENTAÇÃO DO EXTRATOR - DETALHES (CHAPA LIGAÇÃO ) 73774-P</t>
  </si>
  <si>
    <t>ESTRUTURA DE SUSTENTAÇÃO DO EXTRATOR - DETALHES (CHAPA LIGAÇÃO ) 73774-Q</t>
  </si>
  <si>
    <t>ESTRUTURA DE SUSTENTAÇÃO DO EXTRATOR - DETALHES (CHAPA LIGAÇÃO ) 73774-R</t>
  </si>
  <si>
    <t>T-073775-1</t>
  </si>
  <si>
    <t>MI-D-148-ME-DF-0154</t>
  </si>
  <si>
    <t>GUARDA CORPO DA ESTRUTURA DO EXTRATOR - DETALHES (GUARDA COPRPO) 73775-A</t>
  </si>
  <si>
    <t>T-073808-1</t>
  </si>
  <si>
    <t>MI-D-148-ME-DF-0187</t>
  </si>
  <si>
    <t>TRUQUE E BRAÇO DE TORQUE - DETALHES (TRUQUE) 73808-A</t>
  </si>
  <si>
    <t>TRUQUE E BRAÇO DE TORQUE - DETALHES (BRAÇO DE TORQUE DIREITA) 73808-B</t>
  </si>
  <si>
    <t>TRUQUE E BRAÇO DE TORQUE - DETALHES (BRAÇO DE TORQUE ESQUERDA) 73808-C</t>
  </si>
  <si>
    <t>TRUQUE E BRAÇO DE TORQUE - DETALHES (EIXO) 73808-D</t>
  </si>
  <si>
    <t>TRUQUE E BRAÇO DE TORQUE - DETALHES (CHAVETA) 73808-E</t>
  </si>
  <si>
    <t>TRUQUE E BRAÇO DE TORQUE - DETALHES (CHAVETA) 73808-F</t>
  </si>
  <si>
    <t>TRUQUE E BRAÇO DE TORQUE - DETALHES (RODA) 73808-G</t>
  </si>
  <si>
    <t>TRUQUE E BRAÇO DE TORQUE - DETALHES (RODA) 73808-H</t>
  </si>
  <si>
    <t>TRUQUE E BRAÇO DE TORQUE - DETALHES (CHAPA LIMPA TRILHO) 73808-N</t>
  </si>
  <si>
    <t>TRUQUE E BRAÇO DE TORQUE - DETALHES (PARACHOQUE) 73808-P</t>
  </si>
  <si>
    <t>SUPORTES E PINO - DETALHES (FUSO) 021D</t>
  </si>
  <si>
    <t>SUPORTES E PINO - DETALHES (PINO) 021E</t>
  </si>
  <si>
    <t>GUIA MÓDULO 1 - DETALHES (TRAVESSA FIXAÇÃO ) 73221-D</t>
  </si>
  <si>
    <t>T-073155-1</t>
  </si>
  <si>
    <t>Raspador Primário - Tambor de Acionamento (1000mm) - Material: Pilha Filtragem - Conforme: ET Ped-198-010_0(Raspadores)</t>
  </si>
  <si>
    <t>Raspador Secundário - Tambor de Acionamento (1000mm) - Material: Pilha Filtragem - Conforme: ET Ped-198-010_0(Raspadores)</t>
  </si>
  <si>
    <t>T-073157-1</t>
  </si>
  <si>
    <t>Raspador Primário - Tambor de Acionamento (1200mm) - Material: Rom - Conforme: ET Ped-198-010_0(Raspadores)</t>
  </si>
  <si>
    <t>Raspador Secundário - Tambor de Acionamento (1200mm) - Material: Rom - Conforme: ET Ped-198-010_0(Raspadores)</t>
  </si>
  <si>
    <t>T-073158-1</t>
  </si>
  <si>
    <t>Raspador Primário - Tambor de Acionamento (800mm) - Material:Saprolito - Conforme: ET Ped-198-010_0(Raspadores)</t>
  </si>
  <si>
    <t>Raspador Secundário - Tambor de Acionamento (800mm) - Material:Saprolito - Conforme: ET Ped-198-010_0(Raspadores)</t>
  </si>
  <si>
    <t>T-073156-1</t>
  </si>
  <si>
    <t>Raspador Primário - Tambor de Acionamento (1800mm) - Material:Saprolito - Conforme: ET Ped-198-010_0(Raspadores)</t>
  </si>
  <si>
    <t>Raspador Secundário - Tambor de Acionamento (1800mm) - Material:Saprolito - Conforme: ET Ped-198-010_0(Raspadores)</t>
  </si>
  <si>
    <t xml:space="preserve">T-073242-1 </t>
  </si>
  <si>
    <t>Pos. 14</t>
  </si>
  <si>
    <t>Perfil Borracha 70±5 Shore x 2200mm EPDM -  POS:13 - DESENHO T-073242-1 (REMESSA 32)</t>
  </si>
  <si>
    <t xml:space="preserve">T-073201-1 </t>
  </si>
  <si>
    <t>Pos. 13</t>
  </si>
  <si>
    <t>Borracha de Ved. Lateral Aplron. Seal Hervy Duty 70±5 Shore X 2400mm</t>
  </si>
  <si>
    <t>Parafuso Cab Sex Autarrachante Ø6,3 x 25 DIN 7976 -  (DESENHO:T-073204-1) TAG:05-CV-0001</t>
  </si>
  <si>
    <t>Parafuso Cab. Sext. M10 x 60 DIN 933 Gr 8.8 -  (DESENHO:T-073204-1) TAG:05-CV-0001</t>
  </si>
  <si>
    <t>Porca Sext. M10 DIN 934 Gr 8 -  (DESENHO:T-073204-1) TAG:05-CV-0001</t>
  </si>
  <si>
    <t>Arruela M11 DIN 126 -  (DESENHO:T-073204-1) TAG:05-CV-0001</t>
  </si>
  <si>
    <t>Parafuso Allen Sext. Interno M6 x 30 DIN 912 -  (DESENHO:T-073204-1) TAG:05-CV-0001</t>
  </si>
  <si>
    <t>Parafuso Sext. M10 x 30 CL. 6.8 DIN 933 -  (DESENHO:T-073204-1) TAG:05-CV-0001</t>
  </si>
  <si>
    <t>Parafuso Cab. Sex. 5/8" UNC x 2" - ASTM A325 - ACABAMENTO, SUPERFICIAL GEOMET 500 GR. A. (DESENHO:T-073239-1) TAG:14-CV-0001</t>
  </si>
  <si>
    <t>Porca Sext. Ø 5/8" ASTM A563 ANSI B18.2.2 UNC - ACABAMENTO, SUPERFICIAL GEOMET 500 GR. A. (DESENHO:T-073239-1) TAG:14-CV-0001</t>
  </si>
  <si>
    <t>Arruela Lisa Ø 5/8" F436 - ACABAMENTO, SUPERFICIAL GEOMET 500 GR. A. (DESENHO:T-073239-1) TAG:14-CV-0001</t>
  </si>
  <si>
    <t>Parafuso Cab. Sext. Ø 1" x 4 1/4" ASTM A325 - ACABAMENTO, SUPERFICIAL GEOMET 500 GR. A. (DESENHO:T-073239-1) TAG:14-CV-0001</t>
  </si>
  <si>
    <t>Porca Sext. Pesada Ø 1" ASTM A563 ANSI B18.2.2 UNC - ACABAMENTO, SUPERFICIAL GEOMET 500 GR. A. (DESENHO:T-073239-1) TAG:14-CV-0001</t>
  </si>
  <si>
    <t>Arruela Lisa Ø 1" F436 - ACABAMENTO, SUPERFICIAL GEOMET 500 GR. A. (DESENHO:T-073239-1) TAG:14-CV-0001</t>
  </si>
  <si>
    <t>Porca Sext. Ø1" ASTM A563 ANSI B18.2.2 - (DESENHO:T-073239-1) TAG:14-CV-0001</t>
  </si>
  <si>
    <t>Parafuso Cab. Sext. Ø 1" x 5" (RT) ASTM A325 - (DESENHO:T-073239-1) TAG:14-CV-0001</t>
  </si>
  <si>
    <t>T-073241-1</t>
  </si>
  <si>
    <t>Parafuso Cab. Sex. 5/8" UNC x 1 1/2" - ASTM A325 Parafuso Cab. Sex. 5/8" UNC x 1 1/2" - ASTM A325 - ACABAMENTO, SUPERFICIAL GEOMET 500 GR. A. (DESENHO:T-073241-1) TAG:14-CV-0001</t>
  </si>
  <si>
    <t>Porca Sext. Ø 5/8" ASTM A563 ANSI B18.2.2 - ACABAMENTO, SUPERFICIAL GEOMET 500 GR. A. (DESENHO:T-073241-1) TAG:14-CV-0001</t>
  </si>
  <si>
    <t>Arruela Lisa Ø 5/8" ASTM F436 - ACABAMENTO, SUPERFICIAL GEOMET 500 GR. A. (DESENHO:T-073241-1) TAG:14-CV-0001</t>
  </si>
  <si>
    <t>Paraf. Cab Esc c/ Fenda Ø 1/2" x 1.1/2" ASTM A307 - ACABAMENTO, SUPERFICIAL GEOMET 500 GR. A. (DESENHO:T-073241-1) TAG:14-CV-0001</t>
  </si>
  <si>
    <t>Porca Sext. Ø 1/2"UNC ASTM A563-A - ACABAMENTO, SUPERFICIAL GEOMET 500 GR. A. (DESENHO:T-073241-1) TAG:14-CV-0001</t>
  </si>
  <si>
    <t>Arruela de Lisa Ø 1/2" ASTM F844 - ACABAMENTO, SUPERFICIAL GEOMET 500 GR. A. (DESENHO:T-073241-1) TAG:14-CV-0001</t>
  </si>
  <si>
    <t>Parafuso Cab. Sext. Ø 5/8" x 3" ASTM A307 - ACABAMENTO, SUPERFICIAL GEOMET 500 GR. A. (DESENHO:T-073242-1) TAG:14-CV-0001</t>
  </si>
  <si>
    <t>Porca Sext. Ø 5/8" ASTM A563 ANSI B18.2.2 - ACABAMENTO, SUPERFICIAL GEOMET 500 GR. A. (DESENHO:T-073242-1) TAG:14-CV-0001</t>
  </si>
  <si>
    <t>Arruela Lisa Ø 5/8" ASTM F844 - ACABAMENTO, SUPERFICIAL GEOMET 500 GR. A. (DESENHO:T-073242-1) TAG:14-CV-0001</t>
  </si>
  <si>
    <t>T-073200-1</t>
  </si>
  <si>
    <t>Parafuso Cab. Chata c/Fenda Ø3/4" x 2" ASME B18.6.3 - ACABAMENTO, SUPERFICIAL GEOMET 500 GR. A. (DESENHO:T-073200-1) TAG:05-CV-0001</t>
  </si>
  <si>
    <t>Porca Sext. Ø3/4" ASTM A563 ANSI B18.2.2 - ACABAMENTO, SUPERFICIAL GEOMET 500 GR. A. (DESENHO:T-073200-1) TAG:05-CV-0001</t>
  </si>
  <si>
    <t>Arruela Lisa Ø 3/4" F844 - ACABAMENTO, SUPERFICIAL GEOMET 500 GR. A. (DESENHO:T-073200-1) TAG:05-CV-0001</t>
  </si>
  <si>
    <t>Parafuso Cab. Sext. Ø 3/4" x 2 1/4" ASTM A307  - ACABAMENTO, SUPERFICIAL GEOMET 500 GR. A. (DESENHO:T-073218-1) TAG:14-AC-0001</t>
  </si>
  <si>
    <t>Porca Sext. Ø 3/4" ASTM A307  - ACABAMENTO, SUPERFICIAL GEOMET 500 GR. A. (DESENHO:T-073218-1) TAG:14-AC-0001</t>
  </si>
  <si>
    <t>Arruela Lisa Ø3/4" A26  - ACABAMENTO, SUPERFICIAL GEOMET 500 GR. A. (DESENHO:T-073218-1) TAG:14-AC-0001</t>
  </si>
  <si>
    <t>Parafuso Cab. Sext. Ø 5/8" x 2 1/2" ASTM A307  - ACABAMENTO, SUPERFICIAL GEOMET 500 GR. A. (DESENHO:T-073218-1) TAG:14-AC-0001</t>
  </si>
  <si>
    <t>Porca Sext. Ø 5/8" ASTM A307  - ACABAMENTO, SUPERFICIAL GEOMET 500 GR. A. (DESENHO:T-073218-1) TAG:14-AC-0001</t>
  </si>
  <si>
    <t>Arruela Lisa Ø5/8" A26  - ACABAMENTO, SUPERFICIAL GEOMET 500 GR. A. (DESENHO:T-073218-1) TAG:14-AC-0001</t>
  </si>
  <si>
    <t>Parafuso Cab. Sext. Ø 3/4" x 2" ASTM A307  - ACABAMENTO, SUPERFICIAL GEOMET 500 GR. A. (DESENHO:T-073219-1) TAG:14-AC-0001</t>
  </si>
  <si>
    <t>Arruela Lisa Ø 3/4" ASTM A307 - ACABAMENTO, SUPERFICIAL GEOMET 500 GR. A. (DESENHO:T-073219-1) TAG:14-AC-0001</t>
  </si>
  <si>
    <t>Arruela Lisa Ø3/4" DIN 125  - ACABAMENTO, SUPERFICIAL GEOMET 500 GR. A. (DESENHO:T-073269-1) TAG:14-CV-0005</t>
  </si>
  <si>
    <t>Parafuso Cab. Sext. Ø 3/4" x 2" ASTM A307  - ACABAMENTO, SUPERFICIAL GEOMET 500 GR. A. (DESENHO:T-073269-1) TAG:14-CV-0005</t>
  </si>
  <si>
    <t>Porca Sextavada Ø3/4" DIN 934  - ACABAMENTO, SUPERFICIAL GEOMET 500 GR. A. (DESENHO:T-073269-1) TAG:14-CV-0005</t>
  </si>
  <si>
    <t>Parafuso Cab. Sext. Ø 5/8" x 2 1/4" ASTM A307 - ACABAMENTO, SUPERFICIAL GEOMET 500 GR. A. (DESENHO:T-073226-1) TAG:14-AC-0001</t>
  </si>
  <si>
    <t>Porca Sextavada Ø5/8" UNC A307 - ACABAMENTO, SUPERFICIAL GEOMET 500 GR. A. (DESENHO:T-073226-1) TAG:14-AC-0001</t>
  </si>
  <si>
    <t>Arruela Lisa Ø5/8" ASTM A307 - ACABAMENTO, SUPERFICIAL GEOMET 500 GR. A. (DESENHO:T-073226-1) TAG:14-AC-0001</t>
  </si>
  <si>
    <t>T-073220-1</t>
  </si>
  <si>
    <t>Parafuso Cab. Sext. Ø 5/8" x 1 1/2" ASTM A307  - ACABAMENTO, SUPERFICIAL GEOMET 500 GR. A. (DESENHO:T-073220-1) TAG:14-AC-0001</t>
  </si>
  <si>
    <t>Arruela Lisa Ø5/8" A26  - ACABAMENTO, SUPERFICIAL GEOMET 500 GR. A. (DESENHO:T-073220-1) TAG:14-AC-0001</t>
  </si>
  <si>
    <t>Porca Sext. UNC Ø 5/8" ASTM A307 - ACABAMENTO, SUPERFICIAL GEOMET 500 GR. A. (DESENHO:T-073221-1) TAG:14-AC-0001</t>
  </si>
  <si>
    <t>Arruela Lisa Ø5/8" A307  - ACABAMENTO, SUPERFICIAL GEOMET 500 GR. A. (DESENHO:T-073221-1) TAG:14-AC-0001</t>
  </si>
  <si>
    <t>Porca Sext. Ø 3/4" ASTM A307 - ACABAMENTO, SUPERFICIAL GEOMET 500 GR. A. (DESENHO:T-073221-1) TAG:14-AC-0001</t>
  </si>
  <si>
    <t>Arruela Lisa Ø 3/4" ASTM A307 - ACABAMENTO, SUPERFICIAL GEOMET 500 GR. A. (DESENHO:T-073221-1) TAG:14-AC-0001</t>
  </si>
  <si>
    <t>Parafuso Cab. Chata com Fenda Simples Ø3/4" x 1 1/2" ASME B18.3 - ACABAMENTO, SUPERFICIAL GEOMET 500 GR. A. (DESENHO:T-073221-1) TAG:14-AC-0001</t>
  </si>
  <si>
    <t>Porca Sextavada Ø5/8" UNC A307 - ACABAMENTO, SUPERFICIAL GEOMET 500 GR. A. (DESENHO:T-073222-1) TAG:14-AC-0001</t>
  </si>
  <si>
    <t>Arruela Lisa Ø 5/8" ASTM A307 - ACABAMENTO, SUPERFICIAL GEOMET 500 GR. A. (DESENHO:T-073222-1) TAG:14-AC-0001</t>
  </si>
  <si>
    <t>Parafuso Cab. Chata com Fenda Simples Ø3/4" x 1 1/2" ASME B18.3 - ACABAMENTO, SUPERFICIAL GEOMET 500 GR. A. (DESENHO:T-073222-1) TAG:14-AC-0001</t>
  </si>
  <si>
    <t>Porca Sext. Ø 3/4" ASTM A307 - ACABAMENTO, SUPERFICIAL GEOMET 500 GR. A. (DESENHO:T-073222-1) TAG:14-AC-0001</t>
  </si>
  <si>
    <t>Porca Sext. Ø 5/8" ASTM A307 ANSI B18.2.2  - ACABAMENTO, SUPERFICIAL GEOMET 500 GR. A. (DESENHO:T-073223-1) TAG:14-AC-0001</t>
  </si>
  <si>
    <t>Arruela Lisa Ø 5/8" ASTM A307  - ACABAMENTO, SUPERFICIAL GEOMET 500 GR. A. (DESENHO:T-073223-1) TAG:14-AC-0001</t>
  </si>
  <si>
    <t>Porca Sext. Ø 3/4" ASTM A307  - ACABAMENTO, SUPERFICIAL GEOMET 500 GR. A. (DESENHO:T-073223-1) TAG:14-AC-0001</t>
  </si>
  <si>
    <t>Arruela Lisa Ø 3/4" ASTM A307  - ACABAMENTO, SUPERFICIAL GEOMET 500 GR. A. (DESENHO:T-073223-1) TAG:14-AC-0001</t>
  </si>
  <si>
    <t>Parafuso Cab. Chata com Fenda Simples Ø3/4" x 1 1/2" ASME B18.3 - ACABAMENTO, SUPERFICIAL GEOMET 500 GR. A. (DESENHO:T-073223-1) TAG:14-AC-0001</t>
  </si>
  <si>
    <t>Parafuso Cab. Chata com Fenda Simples Ø3/4" x 1 1/2" ASME B18.3 - ACABAMENTO, SUPERFICIAL GEOMET 500 GR. A. (DESENHO:T-073224-1) TAG:14-AC-0001</t>
  </si>
  <si>
    <t>Porca Sext. Ø 3/4" ASTM A307 UNC - ACABAMENTO, SUPERFICIAL GEOMET 500 GR. A. (DESENHO:T-073224-1) TAG:14-AC-0001</t>
  </si>
  <si>
    <t>Arruela Lisa Ø 3/4" ASTM A307 - ACABAMENTO, SUPERFICIAL GEOMET 500 GR. A. (DESENHO:T-073224-1) TAG:14-AC-0001</t>
  </si>
  <si>
    <t>Parafuso Cab. Chata com Fenda Simples Ø3/4" x 1 1/2" ASME B18.3 - ACABAMENTO, SUPERFICIAL GEOMET 500 GR. A. (DESENHO:T-073225-1) TAG:14-AC-0001</t>
  </si>
  <si>
    <t>Porca Sext. UNC Ø 5/8" ASTM A307 - ACABAMENTO, SUPERFICIAL GEOMET 500 GR. A. (DESENHO:T-073225-1) TAG:14-AC-0001</t>
  </si>
  <si>
    <t>Porca Sext. Ø 3/4" ASTM A307 - ACABAMENTO, SUPERFICIAL GEOMET 500 GR. A. (DESENHO:T-073225-1) TAG:14-AC-0001</t>
  </si>
  <si>
    <t>Arruela Lisa Ø 5/8" ASTM A307 - ACABAMENTO, SUPERFICIAL GEOMET 500 GR. A. (DESENHO:T-073225-1) TAG:14-AC-0001</t>
  </si>
  <si>
    <t>Arruela Lisa Ø3/4" A307 - ACABAMENTO, SUPERFICIAL GEOMET 500 GR. A. (DESENHO:T-073225-1) TAG:14-AC-0001</t>
  </si>
  <si>
    <t>T-073238-</t>
  </si>
  <si>
    <t>Parafuso Cab. Sext. Ø 3/4" x 2 1/4" ASTM A325 - ACABAMENTO, SUPERFICIAL GEOMET 500 GR. A. (DESENHO:T-073238-1) TAG:14-CV-0001</t>
  </si>
  <si>
    <t>Porca Sextavada Ø3/4" ASTM A563-C - ACABAMENTO, SUPERFICIAL GEOMET 500 GR. A. (DESENHO:T-073238-1) TAG:14-CV-0001</t>
  </si>
  <si>
    <t>Arruela Lisa Ø 3/4" F436 - ACABAMENTO, SUPERFICIAL GEOMET 500 GR. A. (DESENHO:T-073238-1) TAG:14-CV-0001</t>
  </si>
  <si>
    <t>Parafuso Cab. Sext. Ø 5/8" x 2 1/4" ASTM A325 - ACABAMENTO, SUPERFICIAL GEOMET 500 GR. A. (DESENHO:T-073229-1) TAG:14-AC-0001</t>
  </si>
  <si>
    <t>Porca Sex.  5/8" UNC - ASTM A325 - ACABAMENTO, SUPERFICIAL GEOMET 500 GR. A. (DESENHO:T-073229-1) TAG:14-AC-0001</t>
  </si>
  <si>
    <t>Arruela Lisa Ø 5/8" ASTM A325 - ACABAMENTO, SUPERFICIAL GEOMET 500 GR. A. (DESENHO:T-073229-1) TAG:14-AC-0001</t>
  </si>
  <si>
    <t>Parafuso Cab. Sext. Ø 5/8" x 2 1/4" ASTM A325 - ACABAMENTO, SUPERFICIAL GEOMET 500 GR. A. (DESENHO:T-073230-1) TAG:14-AC-0001</t>
  </si>
  <si>
    <t>Porca Sex.  5/8" UNC - ASTM A325 - ACABAMENTO, SUPERFICIAL GEOMET 500 GR. A. (DESENHO:T-073230-1) TAG:14-AC-0001</t>
  </si>
  <si>
    <t>Arruela Lisa Ø 5/8" ASTM A325 - ACABAMENTO, SUPERFICIAL GEOMET 500 GR. A. (DESENHO:T-073230-1) TAG:14-AC-0001</t>
  </si>
  <si>
    <t>Porca Sext. Ø 5/8" ASTM A325 - ACABAMENTO, SUPERFICIAL GEOMET 500 GR. A. (DESENHO:T-073224-1) TAG:14-AC-0001</t>
  </si>
  <si>
    <t>Arruela Lisa Ø 5/8" ASTM A325  - ACABAMENTO, SUPERFICIAL GEOMET 500 GR. A. (DESENHO:T-073224-1) TAG:14-AC-0001</t>
  </si>
  <si>
    <t>Parafuso Cab. Sex. 5/8" UNC x 1 1/2" - ASTM A325 -  (DESENHO:T-073197-1)</t>
  </si>
  <si>
    <t>Porca Sext. Ø 5/8" ASTM A563 ANSI B18.2.2 -  (DESENHO:T-073197-1)</t>
  </si>
  <si>
    <t>Arruela Lisa Ø 5/8" F436 -  (DESENHO:T-073197-1)</t>
  </si>
  <si>
    <t>Parafuso Cab. Sext. Ø 5/8" x 2 1/2" ASTM A325 -  (DESENHO:T-073197-1)</t>
  </si>
  <si>
    <t>Arruela Lisa 39 DIN 126 Aço -  (DESENHO:T-073197-1) TAG:05-CV-0001</t>
  </si>
  <si>
    <t>Arruela Lisa 48 DIN 126 Aço -  (DESENHO:T-073197-1) TAG:05-CV-0001</t>
  </si>
  <si>
    <t>Contrapino Ø6.3 x 55 DIN 94 -  (DESENHO:T-073197-1) TAG:05-CV-0001</t>
  </si>
  <si>
    <t>T-07386-1</t>
  </si>
  <si>
    <t>Parafuso Cab. Sext. Ø 5/8" x 2 1/2" ASTM A325 UNC -  (DESENHO:T-073196-1) TAG:05-CV-0001</t>
  </si>
  <si>
    <t>Arruela Lisa Ø 5/8" ASTM F436 -  (DESENHO:T-073196-1) TAG:05-CV-0001</t>
  </si>
  <si>
    <t>Parafuso Cab. Sext. M6 x 16 DIN 933 Gr 8.8 -  (DESENHO:T-054923-1) TAG:14-CV-0001</t>
  </si>
  <si>
    <t>Arruela de Pressão B6 DIN 127 -  (DESENHO:T-073193-1) TAG:14-AC-0001</t>
  </si>
  <si>
    <t>Parafuso Cab. Sext. Ø 5/8" x 1 3/4" ASTM A307 -  (DESENHO:T-073193-1) TAG:14-AC-0001</t>
  </si>
  <si>
    <t>Porca Sext. Ø 5/8 DIN 934 -  (DESENHO:T-073193-1) TAG:14-AC-0001</t>
  </si>
  <si>
    <t>Arruela Lisa Ø 5/8" DIN 125 -  (DESENHO:T-073193-1) TAG:14-AC-0001</t>
  </si>
  <si>
    <t>Parafuso Cab. Sext. Ø 5/8" x 6" ASTM A307 ANSI B18 -  (DESENHO:T-073180-1) TAG:05-CV-0001</t>
  </si>
  <si>
    <t>Porca Sext. Ø 5/8 DIN 934 -  (DESENHO:T-073180-1) TAG:05-CV-0001</t>
  </si>
  <si>
    <t>Arruela Lisa Ø5/8" DIN 125 -  (DESENHO:T-073180-1) TAG:05-CV-0001</t>
  </si>
  <si>
    <t>Parafuso Cab. Sext. Ø 5/8" x 7" ASTM A307 -  (DESENHO:T-073180-1) TAG:05-CV-0001</t>
  </si>
  <si>
    <t>Parafuso Cab. Sext. Ø 5/8" x 1 3/4" ASTM A307 -  (DESENHO:T-073181-1) TAG:05-CV-0001</t>
  </si>
  <si>
    <t>Porca Sext. Ø 5/8 DIN 934 -  (DESENHO:T-073181-1) TAG:05-CV-0001</t>
  </si>
  <si>
    <t>Arruela Lisa Ø5/8" DIN 125 -  (DESENHO:T-073181-1) TAG:05-CV-0001</t>
  </si>
  <si>
    <t>Parafuso Cab. Sext. M6 x 16 DIN 933 Gr 8.8 -  (DESENHO:T-054923-1) TAG:05-CV-0001</t>
  </si>
  <si>
    <t>Arruela de Pressão B6 DIN 127 -  (DESENHO:T-054923-1) TAG:05-CV-0001</t>
  </si>
  <si>
    <t>Arruela de Pressão B6 DIN 127 -  (DESENHO:T-054923-1) TAG:14-CV-0001</t>
  </si>
  <si>
    <t>Parafuso Cab. Sext. Ø 5/8" x 6" ASTM A307 ANSI B18 -  (DESENHO:T-073192-1) TAG:14-CV-0001</t>
  </si>
  <si>
    <t>Porca Sext. Ø 5/8" ASTM A307 ANSI B18.2.2 -  (DESENHO:T-073192-1) TAG:14-CV-0001</t>
  </si>
  <si>
    <t>Arruela Pressão Ø 5/8" ASTM A307 ANSI B18.21.1 -  (DESENHO:T-073192-1) TAG:14-CV-0001</t>
  </si>
  <si>
    <t>Parafuso Cab. Sex. 3/4" UNC x 2 1/4" -  ASTM A325 -  (DESENHO:T-073198-1) TAG:05-CV-0001</t>
  </si>
  <si>
    <t>Porca Sext. Ø3/4" ASTM A563 ANSI B18.2.2 -  (DESENHO:T-073198-1) TAG:05-CV-0001</t>
  </si>
  <si>
    <t>Arruela Lisa Ø 3/4" F436 -  (DESENHO:T-073198-1) TAG:05-CV-0001</t>
  </si>
  <si>
    <t>Parafuso Cab. Sext. Ø 5/8 UNC x 1 1/2" ASTM A325 -  (DESENHO:T-073198-1) TAG:05-CV-0001</t>
  </si>
  <si>
    <t>Porca Sext. Ø 5/8" ASTM A563 ANSI B18.2.2 -  (DESENHO:T-073198-1) TAG:05-CV-0001</t>
  </si>
  <si>
    <t>Arruela Lisa Ø 5/8" F436 -  (DESENHO:T-073198-1) TAG:05-CV-0001</t>
  </si>
  <si>
    <t>Parafuso Cab. Sext. Ø 3/4" x 2 1/4" ASTM A325 -  (DESENHO:T-073199-1) TAG:05-CV-0001</t>
  </si>
  <si>
    <t>Porca Sext. Pesada Ø 3/4" ASTM A563 ANSI B18.2.2 -  (DESENHO:T-073199-1) TAG:05-CV-0001</t>
  </si>
  <si>
    <t>Arruela Lisa Ø 3/4" F436 -  (DESENHO:T-073199-1) TAG:05-CV-0001</t>
  </si>
  <si>
    <t>Parafuso Cab. Sext. Ø 5/8"UNC x 2" ASTM A325 -  (DESENHO:T-073205-1) TAG:05-CV-0001</t>
  </si>
  <si>
    <t>Porca Sext. Ø 5/8" ASTM A563 ANSI B18.2.2 -  (DESENHO:T-073205-1) TAG:05-CV-0001</t>
  </si>
  <si>
    <t>Arruela Lisa Ø 5/8" F436 -  (DESENHO:T-073205-1) TAG:05-CV-0001</t>
  </si>
  <si>
    <t>Parafuso Cab. Sext. Ø 1" x 4 1/4" ASTM A325 -  (DESENHO:T-073205-1) TAG:05-CV-0001</t>
  </si>
  <si>
    <t>Porca Sext. Ø1" ASTM A563 ANSI B18.2.2 -  (DESENHO:T-073205-1) TAG:05-CV-0001</t>
  </si>
  <si>
    <t>Arruela Lisa Ø 1" F436 -  (DESENHO:T-073205-1) TAG:05-CV-0001</t>
  </si>
  <si>
    <t>Porca Sext. Ø 3/4" ASTM A325 ANSI B18.2.2 -  (DESENHO:T-073281-1) TAG:14-CV-0005</t>
  </si>
  <si>
    <t>Arruela de Pressão Ø 3/4" ANSI B27.1 -  (DESENHO:T-073281-1) TAG:14-CV-0005</t>
  </si>
  <si>
    <t>Parafuso Cab. Sext. Ø 1/2" x 1 3/4" ASTM A325 -  (DESENHO:T-073280-1) TAG:14-CV-0005</t>
  </si>
  <si>
    <t>Porca Sext. Ø 1/2" ASTM A325 ANSI B18.2.2 -  (DESENHO:T-073280-1) TAG:14-CV-0005</t>
  </si>
  <si>
    <t>Arruela Lisa Ø 1/2" ASTM A325 ANSI B27.2 -  (DESENHO:T-073280-1) TAG:14-CV-0005</t>
  </si>
  <si>
    <t>Arruela de Pressão B6 DIN 127 -  (DESENHO:T-054923-1) TAG:14-CV-0005</t>
  </si>
  <si>
    <t>Parafuso Cab. Sext. M6 x 16 DIN 933 Gr 8.8 -  (DESENHO:T-054923-1) TAG:14-CV-0005</t>
  </si>
  <si>
    <t>Porca Sext. M20 DIN 934 Gr 8</t>
  </si>
  <si>
    <t>Porca Sext. Ø 5/8" ASTM A563 ANSI B18.2.2 -  (DESENHO:T-073200-1) TAG:05-CV-0001</t>
  </si>
  <si>
    <t>Arruela Lisa Ø 5/8" F436 -  (DESENHO:T-073200-1) TAG:05-CV-0001</t>
  </si>
  <si>
    <t>Parafuso Cab Esc  Ø 1/2" x 1 1/2" ASTM A307 -  (DESENHO:T-073200-1) TAG:05-CV-0001</t>
  </si>
  <si>
    <t>Porca Sext. Ø 1/2"UNC ASTM A563-A -  (DESENHO:T-073200-1) TAG:05-CV-0001</t>
  </si>
  <si>
    <t>Arruela Lisa Ø 1" F844 -  (DESENHO:T-073200-1) TAG:05-CV-0001</t>
  </si>
  <si>
    <t>Porca Sext. Ø 5/8" ASTM A563 ANSI B18.2.2 UNC -  (DESENHO:T-073201-1) TAG:05-CV-0001</t>
  </si>
  <si>
    <t>Arruela Lisa Ø 5/8" ASTM F844 -  (DESENHO:T-073201-1) TAG:05-CV-0001</t>
  </si>
  <si>
    <t>Parafuso Cab. Sext. Ø 5/8" x 1 1/2" ASTM A325 -  (DESENHO:T-073200-1) TAG:05-CV-0001</t>
  </si>
  <si>
    <t>Parafuso Cab. Sext. Ø 5/8" x 3" ASTM A307 -  (DESENHO:T-073201-1) TAG:05-CV-0001</t>
  </si>
  <si>
    <t>T-073537-1/07356-1/073535-1/073533-1/073</t>
  </si>
  <si>
    <t>Parafuso Cab. Sext. M6 x 16 DIN 933 Classe Mat 5.6  -  (REMESSA 27) T-073537-1/07356-1/073535-1/073533-1/073532-1/073531-1 - TAG:14-CV-0005</t>
  </si>
  <si>
    <t>Arruela de Pressão B6 DIN 127  -  -  (REMESSA 27) T-073537-1/07356-1/073535-1/073533-1/073532-1/073531-1 - TAG:14-CV-0005</t>
  </si>
  <si>
    <t>Parafuso Cab. Sext. Ø 1" x 4 1/4" (RT) ASTM A325  -  (DESENHO:T-073205-1) TAG:05-CV-0001</t>
  </si>
  <si>
    <t>Porca Sext. Ø1" ASTM A563 ANSI B18.2.2  -  (DESENHO:T-073205-1) TAG:05-CV-0001</t>
  </si>
  <si>
    <t>Parafuso Cab. Sext. Int. Ø 5/8" x 3"  A325 073201</t>
  </si>
  <si>
    <t xml:space="preserve">Porca Sex.  5/8" UNC - ASTM A325 </t>
  </si>
  <si>
    <t xml:space="preserve">Arruela Lisa Ø 5/8" ASTM A325 ANSI B27.2 </t>
  </si>
  <si>
    <t>Parafuso Cab. Sext. M16 x 55 DIN 933 Gr 8.8 -  (DESENHO:T-073209-1) TAG:05-CV-0001</t>
  </si>
  <si>
    <t>Porca Sext. M16 DIN 934 Gr 8 -  (DESENHO:T-073209-1) TAG:05-CV-0001</t>
  </si>
  <si>
    <t>Arruela Lisa 18 DIN 126 Aço -  (DESENHO:T-073209-1) TAG:05-CV-0001</t>
  </si>
  <si>
    <t>Parafuso Cab. Sext. Ø 1/2" x 1 3/4"  UNC  A325 -  (DESENHO:T-073207-1) TAG:05-CV-0001</t>
  </si>
  <si>
    <t>Porca Sext. 1/2" ASTM A563 ANSI B18.2.2 -  (DESENHO:T-073207-1) TAG:05-CV-0001</t>
  </si>
  <si>
    <t>Arruela Lisa Ø 1/2" F436 -  (DESENHO:T-073207-1) TAG:05-CV-0001</t>
  </si>
  <si>
    <t>T-073206-1</t>
  </si>
  <si>
    <t>Parafuso Cab. Sex. 5/8" UNC x 1 3/4" - ASTM A325 -  (DESENHO:T-073206-1) TAG:05-CV-0001</t>
  </si>
  <si>
    <t>Porca Sext. Ø 5/8" ASTM A563 ANSI B18.2.2  -  (DESENHO:T-073206-1) TAG:05-CV-0001</t>
  </si>
  <si>
    <t>Arruela Lisa Ø 5/8" F436 -  (DESENHO:T-073206-1) TAG:05-CV-0001</t>
  </si>
  <si>
    <t>Parafuso Cab. Sex. 3/4" UNC x 2 1/4" -  ASTM A325 -  (DESENHO:T-073206-1) TAG:05-CV-0001</t>
  </si>
  <si>
    <t>Porca Sext. Pesada Ø 3/4" ASTM A563 ANSI B18.2.2 -  (DESENHO:T-073206-1) TAG:05-CV-0001</t>
  </si>
  <si>
    <t>Arruela Lisa Ø 3/4" F436 -  (DESENHO:T-073206-1) TAG:05-CV-0001</t>
  </si>
  <si>
    <t>Gonzo p/ porta Ø1/2" x 100mm (2x) - ASTM A36 -  (DESENHO:T-073209-1) TAG:05-CV-0001</t>
  </si>
  <si>
    <t>PEÇA</t>
  </si>
  <si>
    <t>P-219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</si>
</sst>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7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4"/>
      <name val="Arial Narrow"/>
    </font>
    <font>
      <sz val="12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1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94" fillId="0" borderId="5" xfId="0" applyFont="1" applyBorder="1"/>
    <xf numFmtId="14" fontId="95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  <xf numFmtId="0" fontId="0" fillId="71" borderId="5" xfId="0" applyFill="1" applyBorder="1"/>
    <xf numFmtId="0" fontId="96" fillId="0" borderId="79" xfId="0" applyFont="1" applyBorder="1" applyAlignment="1" applyProtection="1">
      <alignment horizontal="center" vertical="center"/>
      <protection locked="0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Cor1" xfId="127" builtinId="30" customBuiltin="1"/>
    <cellStyle name="20% - Cor2" xfId="130" builtinId="34" customBuiltin="1"/>
    <cellStyle name="20% - Cor3" xfId="133" builtinId="38" customBuiltin="1"/>
    <cellStyle name="20% - Cor4" xfId="136" builtinId="42" customBuiltin="1"/>
    <cellStyle name="20% - Cor5" xfId="139" builtinId="46" customBuiltin="1"/>
    <cellStyle name="20% - Cor6" xfId="142" builtinId="50" customBuiltin="1"/>
    <cellStyle name="20% - Ênfase1 2" xfId="7" xr:uid="{4F7AFBE3-4F6A-4080-B75E-9FEED2AE3CF6}"/>
    <cellStyle name="20% - Ênfase1 2 2" xfId="8" xr:uid="{102A9792-B0C2-4221-8F72-F3493CDA10FD}"/>
    <cellStyle name="20% - Ênfase2 2" xfId="9" xr:uid="{6AD8E715-2CBE-4182-8B49-C882108ED4C3}"/>
    <cellStyle name="20% - Ênfase2 2 2" xfId="10" xr:uid="{685FAD4A-3290-4392-AF95-A3C38AFFB912}"/>
    <cellStyle name="20% - Ênfase3 2" xfId="11" xr:uid="{AEEE1A0C-DEC4-4B53-9CE1-BE4B75480888}"/>
    <cellStyle name="20% - Ênfase3 2 2" xfId="12" xr:uid="{9530F3EE-82DC-4DC1-A394-BFDA2F9FA26D}"/>
    <cellStyle name="20% - Ênfase4 2" xfId="13" xr:uid="{86AF0679-3E35-4870-AE69-74B356573AD1}"/>
    <cellStyle name="20% - Ênfase4 2 2" xfId="14" xr:uid="{E62F49B1-6AE6-4986-991F-22919A47AF5A}"/>
    <cellStyle name="20% - Ênfase5 2" xfId="15" xr:uid="{BDC90461-F8F3-4E5A-8FCE-E17F8A0246DB}"/>
    <cellStyle name="20% - Ênfase6 2" xfId="16" xr:uid="{69730A4F-B049-4476-8D6D-70084FFFE4C3}"/>
    <cellStyle name="40% - Cor1" xfId="128" builtinId="31" customBuiltin="1"/>
    <cellStyle name="40% - Cor2" xfId="131" builtinId="35" customBuiltin="1"/>
    <cellStyle name="40% - Cor3" xfId="134" builtinId="39" customBuiltin="1"/>
    <cellStyle name="40% - Cor4" xfId="137" builtinId="43" customBuiltin="1"/>
    <cellStyle name="40% - Cor5" xfId="140" builtinId="47" customBuiltin="1"/>
    <cellStyle name="40% - Cor6" xfId="143" builtinId="51" customBuiltin="1"/>
    <cellStyle name="40% - Ênfase1 2" xfId="17" xr:uid="{088D21FD-F9D9-40CA-8102-700E515D41F1}"/>
    <cellStyle name="40% - Ênfase1 2 2" xfId="18" xr:uid="{75371B0A-0FE4-4078-88A6-C34854EA505C}"/>
    <cellStyle name="40% - Ênfase2 2" xfId="19" xr:uid="{0A259B0A-084C-4DEF-8E67-AB767CD2BB66}"/>
    <cellStyle name="40% - Ênfase3 2" xfId="20" xr:uid="{6183022C-D102-4A65-8630-5F6820B8F4D4}"/>
    <cellStyle name="40% - Ênfase3 2 2" xfId="21" xr:uid="{AEDD9705-D228-412D-ADB0-6FF3E437C05C}"/>
    <cellStyle name="40% - Ênfase4 2" xfId="22" xr:uid="{7EDE96D1-6EF4-44BA-B8DE-D751DD8C96E7}"/>
    <cellStyle name="40% - Ênfase4 2 2" xfId="23" xr:uid="{097CF7E0-778A-449F-9CB6-0AF7DF46D550}"/>
    <cellStyle name="40% - Ênfase5 2" xfId="24" xr:uid="{9577A163-CDEF-4C7B-9FEC-FE87363636F5}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 2" xfId="37" xr:uid="{1B51EC0E-3F9D-4907-9E5C-A4D4EA9C0219}"/>
    <cellStyle name="Cabeçalho 1" xfId="111" builtinId="16" customBuiltin="1"/>
    <cellStyle name="Cabeçalho 2" xfId="112" builtinId="17" customBuiltin="1"/>
    <cellStyle name="Cabeçalho 3" xfId="113" builtinId="18" customBuiltin="1"/>
    <cellStyle name="Cabeçalho 4" xfId="114" builtinId="19" customBuiltin="1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 2" xfId="40" xr:uid="{018268B4-31B8-4176-9880-52DF2BD6CDC6}"/>
    <cellStyle name="Célula Ligada" xfId="120" builtinId="24" customBuiltin="1"/>
    <cellStyle name="Célula Vinculada 2" xfId="41" xr:uid="{53AC31E5-31E4-46C8-84D6-9EC986BAC766}"/>
    <cellStyle name="Cor1" xfId="126" builtinId="29" customBuiltin="1"/>
    <cellStyle name="Cor2" xfId="129" builtinId="33" customBuiltin="1"/>
    <cellStyle name="Cor3" xfId="132" builtinId="37" customBuiltin="1"/>
    <cellStyle name="Cor4" xfId="135" builtinId="41" customBuiltin="1"/>
    <cellStyle name="Cor5" xfId="138" builtinId="45" customBuiltin="1"/>
    <cellStyle name="Cor6" xfId="141" builtinId="49" customBuiltin="1"/>
    <cellStyle name="Correto" xfId="115" builtinId="26" customBuiltin="1"/>
    <cellStyle name="Ênfase1 2" xfId="42" xr:uid="{F2B8C620-6E19-4396-B42F-716EABB6A489}"/>
    <cellStyle name="Ênfase1 2 2" xfId="43" xr:uid="{76228FD9-C5B6-4EE8-AAC1-C93E5D821A21}"/>
    <cellStyle name="Ênfase2 2" xfId="44" xr:uid="{78E4E68C-D666-482F-B34D-8DC0F2E517BA}"/>
    <cellStyle name="Ênfase3 2" xfId="45" xr:uid="{E9649B90-D66B-4034-90EA-EDA82E4D84FC}"/>
    <cellStyle name="Ênfase4 2" xfId="46" xr:uid="{9018668D-FF3F-4370-8018-580BB6491230}"/>
    <cellStyle name="Ênfase4 2 2" xfId="47" xr:uid="{33462616-9080-4C80-94D0-6CE006363F14}"/>
    <cellStyle name="Ênfase5 2" xfId="48" xr:uid="{E71BB59F-0B5C-400E-B12C-E94BF5583430}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" xfId="116" builtinId="27" customBuiltin="1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e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 2" xfId="87" xr:uid="{823641FD-9E4E-43BB-A4D4-62EFD6746B98}"/>
    <cellStyle name="Título 1 2 2" xfId="88" xr:uid="{56FFC14A-7C48-4D3B-916C-9EF1A5D7C0F2}"/>
    <cellStyle name="Título 2 2" xfId="89" xr:uid="{FF1A6187-444D-4E13-A988-63C55FE94027}"/>
    <cellStyle name="Título 2 2 2" xfId="90" xr:uid="{A8F6E562-ED86-43A8-AFDA-F2DAB8D5992B}"/>
    <cellStyle name="Título 3 2" xfId="91" xr:uid="{5D8CADCD-BDF9-47F2-BFA5-8A0411A08354}"/>
    <cellStyle name="Título 3 2 2" xfId="92" xr:uid="{CDD51D0D-AA4E-494A-9251-BB32FB3829F4}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erificar Célula" xfId="121" builtinId="23" customBuiltin="1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2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23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8.8692999999999955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35.762699999999995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16.315800000000003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61.835799999999999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15.528999999999996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232" totalsRowShown="0" headerRowDxfId="234" tableBorderDxfId="233">
  <autoFilter ref="A1:AW1232" xr:uid="{00000000-000C-0000-FFFF-FFFF00000000}"/>
  <tableColumns count="49">
    <tableColumn id="1" xr3:uid="{00000000-0010-0000-0000-000001000000}" name="DESENHO_x000a_MDE" dataDxfId="232"/>
    <tableColumn id="43" xr3:uid="{56981E1B-CD3E-434D-AB02-C5F83A6F3E43}" name="DESENHO_x000a_CLIENTE" dataDxfId="231"/>
    <tableColumn id="2" xr3:uid="{00000000-0010-0000-0000-000002000000}" name="QTE" dataDxfId="230"/>
    <tableColumn id="3" xr3:uid="{00000000-0010-0000-0000-000003000000}" name="DESCRIÇÃO" dataDxfId="229"/>
    <tableColumn id="41" xr3:uid="{00000000-0010-0000-0000-000029000000}" name="COD.MDE" dataDxfId="228"/>
    <tableColumn id="40" xr3:uid="{00000000-0010-0000-0000-000028000000}" name="REMESSA" dataDxfId="227"/>
    <tableColumn id="4" xr3:uid="{00000000-0010-0000-0000-000004000000}" name="PESO UNI" dataDxfId="226"/>
    <tableColumn id="5" xr3:uid="{00000000-0010-0000-0000-000005000000}" name="PESO TOTAL" dataDxfId="225"/>
    <tableColumn id="6" xr3:uid="{00000000-0010-0000-0000-000006000000}" name="Revisão" dataDxfId="224"/>
    <tableColumn id="7" xr3:uid="{00000000-0010-0000-0000-000007000000}" name="TAG" dataDxfId="223"/>
    <tableColumn id="38" xr3:uid="{00000000-0010-0000-0000-000026000000}" name="PRODUTO" dataDxfId="222"/>
    <tableColumn id="8" xr3:uid="{00000000-0010-0000-0000-000008000000}" name="PEDIDO" dataDxfId="221"/>
    <tableColumn id="9" xr3:uid="{00000000-0010-0000-0000-000009000000}" name="Engenharia" dataDxfId="220"/>
    <tableColumn id="10" xr3:uid="{00000000-0010-0000-0000-00000A000000}" name="FORNECEDOR" dataDxfId="219"/>
    <tableColumn id="11" xr3:uid="{00000000-0010-0000-0000-00000B000000}" name="QTDE/ Fabricação" dataDxfId="218"/>
    <tableColumn id="12" xr3:uid="{00000000-0010-0000-0000-00000C000000}" name="DATA/Fabricação" dataDxfId="217"/>
    <tableColumn id="13" xr3:uid="{00000000-0010-0000-0000-00000D000000}" name="SALDO PENDENTE/Fabricação" dataDxfId="216"/>
    <tableColumn id="14" xr3:uid="{00000000-0010-0000-0000-00000E000000}" name="EVOLUÇÃO PRETO / Fabricação_x000a_(kg)" dataDxfId="215"/>
    <tableColumn id="15" xr3:uid="{00000000-0010-0000-0000-00000F000000}" name="PRONTO ACABADO kg" dataDxfId="214">
      <calculatedColumnFormula>IFERROR(H2*AG2,"")</calculatedColumnFormula>
    </tableColumn>
    <tableColumn id="16" xr3:uid="{00000000-0010-0000-0000-000010000000}" name="Pendencia  / Fabricação_x000a_EM KG" dataDxfId="213"/>
    <tableColumn id="17" xr3:uid="{00000000-0010-0000-0000-000011000000}" name="QIANTIDADE EXPEDIDA" dataDxfId="212"/>
    <tableColumn id="18" xr3:uid="{00000000-0010-0000-0000-000012000000}" name="ROMANEIO " dataDxfId="211"/>
    <tableColumn id="19" xr3:uid="{00000000-0010-0000-0000-000013000000}" name="DATA EXPEDIÇÃO" dataDxfId="210"/>
    <tableColumn id="20" xr3:uid="{00000000-0010-0000-0000-000014000000}" name="Peso Expedido" dataDxfId="209"/>
    <tableColumn id="21" xr3:uid="{00000000-0010-0000-0000-000015000000}" name="QUANTIDADE PENDENTE/Expedição" dataDxfId="208"/>
    <tableColumn id="22" xr3:uid="{00000000-0010-0000-0000-000016000000}" name="PESO PENDENTE/Expedição" dataDxfId="207"/>
    <tableColumn id="23" xr3:uid="{00000000-0010-0000-0000-000017000000}" name="MATÉRIA PRIMA" dataDxfId="206"/>
    <tableColumn id="24" xr3:uid="{00000000-0010-0000-0000-000018000000}" name="RELATORIO" dataDxfId="205"/>
    <tableColumn id="25" xr3:uid="{00000000-0010-0000-0000-000019000000}" name="PREPARAÇÃO " dataDxfId="204"/>
    <tableColumn id="26" xr3:uid="{00000000-0010-0000-0000-00001A000000}" name="CALDEIRARIA" dataDxfId="203"/>
    <tableColumn id="27" xr3:uid="{00000000-0010-0000-0000-00001B000000}" name="SOLDA" dataDxfId="202"/>
    <tableColumn id="28" xr3:uid="{00000000-0010-0000-0000-00001C000000}" name="ACABAMENTO" dataDxfId="201"/>
    <tableColumn id="29" xr3:uid="{00000000-0010-0000-0000-00001D000000}" name="PRONTO ACABADO" dataDxfId="200"/>
    <tableColumn id="30" xr3:uid="{00000000-0010-0000-0000-00001E000000}" name="EXPEDIÇÃO " dataDxfId="199"/>
    <tableColumn id="31" xr3:uid="{00000000-0010-0000-0000-00001F000000}" name="FINALIZADO " dataDxfId="198"/>
    <tableColumn id="32" xr3:uid="{00000000-0010-0000-0000-000020000000}" name="Coluna1" dataDxfId="197"/>
    <tableColumn id="33" xr3:uid="{00000000-0010-0000-0000-000021000000}" name="Coluna2" dataDxfId="196"/>
    <tableColumn id="34" xr3:uid="{00000000-0010-0000-0000-000022000000}" name="Coluna3" dataDxfId="195"/>
    <tableColumn id="35" xr3:uid="{00000000-0010-0000-0000-000023000000}" name="Coluna4" dataDxfId="19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93"/>
    <tableColumn id="42" xr3:uid="{44772FB5-94B9-4683-9D51-42A525419432}" name="Colunas7" dataDxfId="192"/>
    <tableColumn id="44" xr3:uid="{7DBCA215-A831-41EC-8668-4217050D7CEF}" name="Coluna5" dataDxfId="191"/>
    <tableColumn id="52" xr3:uid="{0F1E3E30-ACD2-41A7-9FEB-CFC4141C720F}" name="PRONTO NO PRETO" dataDxfId="190"/>
    <tableColumn id="53" xr3:uid="{7B42991E-C57D-449B-9CA4-FF51ED3B7EE1}" name="PRONTO ACABADO3" dataDxfId="189"/>
    <tableColumn id="54" xr3:uid="{B185D57F-2904-41B4-A913-414AD30553DC}" name="PESO EXPEDIDO2" dataDxfId="188"/>
    <tableColumn id="55" xr3:uid="{216FC5C0-1E81-4ACF-B1FE-D38AAA1F26E6}" name="PRONTO ACABADO2" dataDxfId="187"/>
    <tableColumn id="57" xr3:uid="{58807113-78D0-4422-B88A-8E66792B9681}" name="Coluna7" dataDxfId="18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185" headerRowBorderDxfId="184" tableBorderDxfId="183" totalsRowBorderDxfId="182">
  <autoFilter ref="A1:F27" xr:uid="{9E04BDB3-7991-400D-A075-6EF4E207F167}"/>
  <tableColumns count="6">
    <tableColumn id="1" xr3:uid="{0986BF72-EBA9-4CAA-A22C-20021A2F0193}" name="PEDIDO" dataDxfId="181"/>
    <tableColumn id="2" xr3:uid="{1E29E510-3230-4D4A-9101-BF1603DA1959}" name="EQUIPAMENTO" dataDxfId="180"/>
    <tableColumn id="3" xr3:uid="{27EA8246-98FE-4DF0-AB4F-2563340E3A33}" name="DATA PREVISTA " dataDxfId="179"/>
    <tableColumn id="4" xr3:uid="{178705E0-20E1-4EA8-BD6A-04EDA09B960F}" name="DATA REPROGRAMADA" dataDxfId="178"/>
    <tableColumn id="5" xr3:uid="{D69E8AE6-FCF7-4D70-8443-DFF41092DBA5}" name="Observação" dataDxfId="177"/>
    <tableColumn id="6" xr3:uid="{7ED96CF2-6F65-4A02-A0B9-FFDE23E894EB}" name="CLIENTE" dataDxfId="17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75">
  <autoFilter ref="D3:R395" xr:uid="{D635AFD0-01A4-4F4C-B4BB-2C0A84AFA373}"/>
  <tableColumns count="15">
    <tableColumn id="1" xr3:uid="{71019319-E348-41C4-90A8-BD800AFA385A}" name="TAG" dataDxfId="174"/>
    <tableColumn id="2" xr3:uid="{6205B1F5-4B96-401E-A8F0-D0B582A87E91}" name="PEDIDO" dataDxfId="173">
      <calculatedColumnFormula>VLOOKUP(Tabela2[[#This Row],[TAG]],MICRO!J:L,3,0)</calculatedColumnFormula>
    </tableColumn>
    <tableColumn id="3" xr3:uid="{EBC41BBB-459B-4DB5-8152-2C7C2C7ADFAA}" name="FORNECEDOR" dataDxfId="172" dataCellStyle="Normal 2"/>
    <tableColumn id="4" xr3:uid="{EE719B42-3B82-4AC6-AB4D-66A5AF76AAFC}" name="RECEBIDO ENGENHARIA (kg)" dataDxfId="171">
      <calculatedColumnFormula>SUMIF(MICRO!AP:AP,O:O,MICRO!H:H)</calculatedColumnFormula>
    </tableColumn>
    <tableColumn id="5" xr3:uid="{F8EF71F0-2467-40E6-8596-0C50AE8B2E56}" name="EM AVANÇO NO PRETO (kg)" dataDxfId="170">
      <calculatedColumnFormula>SUMIF(MICRO!AP:AP,O:O,MICRO!R:R)</calculatedColumnFormula>
    </tableColumn>
    <tableColumn id="6" xr3:uid="{70FA8036-1726-409E-865E-BBD68DD0CF2B}" name="Pendencia  / Fabricação_x000a_EM KG _x000a_(Kg)" dataDxfId="169">
      <calculatedColumnFormula>SUMIF(MICRO!AP:AP,O:O,MICRO!T:T)</calculatedColumnFormula>
    </tableColumn>
    <tableColumn id="7" xr3:uid="{2EDBF5C8-B6A0-4234-9B37-F4D245CBE335}" name="EVOLUÇÃO %" dataDxfId="168">
      <calculatedColumnFormula>IF(G4 = 0,0,H4/G4)</calculatedColumnFormula>
    </tableColumn>
    <tableColumn id="8" xr3:uid="{981D372E-5C81-43AA-82CF-C526D0CD7BC5}" name="PESO EXPEDIDO" dataDxfId="167">
      <calculatedColumnFormula>SUMIF(MICRO!AP:AP,O:O,MICRO!X:X)</calculatedColumnFormula>
    </tableColumn>
    <tableColumn id="9" xr3:uid="{9581E1B5-4976-4A66-B050-5EDFF64499FF}" name="% EXPEDIDO" dataDxfId="166">
      <calculatedColumnFormula>IF(G4&lt;&gt;0,SUM(K4/G4*1),"0%")</calculatedColumnFormula>
    </tableColumn>
    <tableColumn id="10" xr3:uid="{5A0DEF47-FBD5-46D6-A019-DB5E3CF46E5B}" name="PESO PENDENTE4" dataDxfId="165">
      <calculatedColumnFormula>G4-K4</calculatedColumnFormula>
    </tableColumn>
    <tableColumn id="11" xr3:uid="{AD13F8E0-0652-4176-B922-E74BEC175E7A}" name="Coluna1" dataDxfId="164">
      <calculatedColumnFormula>E4&amp;F4</calculatedColumnFormula>
    </tableColumn>
    <tableColumn id="12" xr3:uid="{9AB5E2D8-1AD6-4B63-A9ED-66372E94A48F}" name="Coluna2" dataDxfId="163">
      <calculatedColumnFormula>D4&amp;E4&amp;F4</calculatedColumnFormula>
    </tableColumn>
    <tableColumn id="13" xr3:uid="{ED15B1A8-5672-4E4D-9246-3BC797332C64}" name="PRONTO NO PRETO" dataDxfId="162">
      <calculatedColumnFormula>SUMIF(MICRO!AP:AP,O4,MICRO!AS:AS)</calculatedColumnFormula>
    </tableColumn>
    <tableColumn id="14" xr3:uid="{986427E9-0E8F-46D1-987F-01DBA908B397}" name="PRONTO ACABADO" dataDxfId="161">
      <calculatedColumnFormula>SUMIF(MICRO!AP:AP,O4,MICRO!AT:AT)</calculatedColumnFormula>
    </tableColumn>
    <tableColumn id="15" xr3:uid="{4361E9F4-014E-4677-9D4A-8DBAE707BA31}" name="PESO EXPEDIDO2" dataDxfId="16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9" t="s">
        <v>326</v>
      </c>
      <c r="B1" s="251" t="s">
        <v>891</v>
      </c>
      <c r="C1" s="252"/>
      <c r="D1" s="252"/>
      <c r="E1" s="252"/>
      <c r="F1" s="252"/>
      <c r="G1" s="253"/>
      <c r="H1" s="246" t="s">
        <v>331</v>
      </c>
      <c r="I1" s="247"/>
      <c r="J1" s="247"/>
      <c r="K1" s="248"/>
    </row>
    <row r="2" spans="1:11" x14ac:dyDescent="0.25">
      <c r="A2" s="250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5105</v>
      </c>
      <c r="J2" s="181" t="s">
        <v>5277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43"/>
      <c r="B5" s="244"/>
      <c r="C5" s="244"/>
      <c r="D5" s="244"/>
      <c r="E5" s="244"/>
      <c r="F5" s="244"/>
      <c r="G5" s="244"/>
      <c r="H5" s="244"/>
      <c r="I5" s="244"/>
      <c r="J5" s="244"/>
      <c r="K5" s="245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232"/>
  <sheetViews>
    <sheetView showGridLines="0" tabSelected="1" topLeftCell="D1" zoomScale="77" zoomScaleNormal="77" workbookViewId="0">
      <pane ySplit="1" topLeftCell="A1201" activePane="bottomLeft" state="frozen"/>
      <selection activeCell="AF1115" sqref="AF1115"/>
      <selection pane="bottomLeft" activeCell="K1201" sqref="K1201"/>
    </sheetView>
  </sheetViews>
  <sheetFormatPr defaultColWidth="9.140625" defaultRowHeight="15.75" customHeight="1" x14ac:dyDescent="0.25"/>
  <cols>
    <col min="1" max="1" width="41.140625" style="25" bestFit="1" customWidth="1"/>
    <col min="2" max="2" width="45.5703125" style="36" bestFit="1" customWidth="1"/>
    <col min="3" max="3" width="13" style="25" customWidth="1"/>
    <col min="4" max="4" width="177" style="26" customWidth="1"/>
    <col min="5" max="5" width="19.5703125" style="25" bestFit="1" customWidth="1"/>
    <col min="6" max="6" width="19.85546875" style="25" bestFit="1" customWidth="1"/>
    <col min="7" max="7" width="19.42578125" style="26" bestFit="1" customWidth="1"/>
    <col min="8" max="8" width="15.28515625" style="35" bestFit="1" customWidth="1"/>
    <col min="9" max="9" width="17.7109375" style="27" bestFit="1" customWidth="1"/>
    <col min="10" max="10" width="17.42578125" style="28" bestFit="1" customWidth="1"/>
    <col min="11" max="11" width="16.42578125" style="28" customWidth="1"/>
    <col min="12" max="12" width="11.7109375" style="28" customWidth="1"/>
    <col min="13" max="13" width="22.28515625" style="29" bestFit="1" customWidth="1"/>
    <col min="14" max="14" width="26" style="27" bestFit="1" customWidth="1"/>
    <col min="15" max="15" width="12" style="30" bestFit="1" customWidth="1"/>
    <col min="16" max="16" width="12" style="31" bestFit="1" customWidth="1"/>
    <col min="17" max="17" width="14.42578125" style="30" bestFit="1" customWidth="1"/>
    <col min="18" max="18" width="16.85546875" style="32" bestFit="1" customWidth="1"/>
    <col min="19" max="19" width="12" style="32" bestFit="1" customWidth="1"/>
    <col min="20" max="20" width="14.42578125" style="32" bestFit="1" customWidth="1"/>
    <col min="21" max="21" width="8.5703125" style="30" customWidth="1"/>
    <col min="22" max="22" width="9.5703125" style="30" bestFit="1" customWidth="1"/>
    <col min="23" max="23" width="12" style="30" bestFit="1" customWidth="1"/>
    <col min="24" max="24" width="10.140625" style="30" bestFit="1" customWidth="1"/>
    <col min="25" max="25" width="14.42578125" style="30" bestFit="1" customWidth="1"/>
    <col min="26" max="26" width="14.42578125" style="32" bestFit="1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136.19999999999999</v>
      </c>
      <c r="S8" s="18">
        <f t="shared" si="7"/>
        <v>136.19999999999999</v>
      </c>
      <c r="T8" s="19">
        <f t="shared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136.19999999999999</v>
      </c>
      <c r="Y8" s="14">
        <f t="shared" si="2"/>
        <v>0</v>
      </c>
      <c r="Z8" s="20">
        <f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136.19999999999999</v>
      </c>
      <c r="AV8" s="37">
        <f t="shared" si="6"/>
        <v>136.19999999999999</v>
      </c>
      <c r="AW8" s="37"/>
    </row>
    <row r="9" spans="1:49" ht="15.75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136.19999999999999</v>
      </c>
      <c r="S9" s="18">
        <f t="shared" si="7"/>
        <v>136.19999999999999</v>
      </c>
      <c r="T9" s="19">
        <f t="shared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136.19999999999999</v>
      </c>
      <c r="Y9" s="14">
        <f t="shared" si="2"/>
        <v>0</v>
      </c>
      <c r="Z9" s="20">
        <f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136.19999999999999</v>
      </c>
      <c r="AV9" s="37">
        <f t="shared" si="6"/>
        <v>136.19999999999999</v>
      </c>
      <c r="AW9" s="37"/>
    </row>
    <row r="10" spans="1:49" ht="15.75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119</v>
      </c>
      <c r="S24" s="18">
        <f t="shared" si="7"/>
        <v>119</v>
      </c>
      <c r="T24" s="19">
        <f t="shared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119</v>
      </c>
      <c r="AV24" s="37">
        <f t="shared" si="6"/>
        <v>119</v>
      </c>
      <c r="AW24" s="37"/>
    </row>
    <row r="25" spans="1:49" ht="15.75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119</v>
      </c>
      <c r="S25" s="18">
        <f t="shared" si="7"/>
        <v>119</v>
      </c>
      <c r="T25" s="19">
        <f t="shared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238</v>
      </c>
      <c r="Y25" s="14">
        <f t="shared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119</v>
      </c>
      <c r="AV25" s="37">
        <f t="shared" si="6"/>
        <v>119</v>
      </c>
      <c r="AW25" s="37"/>
    </row>
    <row r="26" spans="1:49" ht="15.75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237.60000000000002</v>
      </c>
      <c r="Y27" s="14">
        <f t="shared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22.785000000000004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1.2250000000000001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>IFERROR(COUNTIF(#REF!,Tabela1[[#This Row],[Colunas5]]),"")</f>
        <v/>
      </c>
      <c r="X94" s="14">
        <f>Tabela1[[#This Row],[QIANTIDADE EXPEDIDA]]*Tabela1[[#This Row],[PESO UNI]]</f>
        <v>134.4</v>
      </c>
      <c r="Y94" s="14">
        <f t="shared" si="27"/>
        <v>0</v>
      </c>
      <c r="Z94" s="20">
        <f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si="28"/>
        <v>ok</v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0</v>
      </c>
      <c r="AU94" s="37">
        <f t="shared" si="17"/>
        <v>134.4</v>
      </c>
      <c r="AV94" s="37">
        <f t="shared" si="18"/>
        <v>134.4</v>
      </c>
      <c r="AW94" s="37"/>
    </row>
    <row r="95" spans="1:49" ht="15.75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57.452500000000001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75.600000000000009</v>
      </c>
      <c r="S96" s="18">
        <f t="shared" si="25"/>
        <v>75.600000000000009</v>
      </c>
      <c r="T96" s="19">
        <f t="shared" si="26"/>
        <v>0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1</v>
      </c>
      <c r="AE96" s="33">
        <v>1</v>
      </c>
      <c r="AF96" s="33">
        <v>1</v>
      </c>
      <c r="AG96" s="33">
        <v>1</v>
      </c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75.600000000000009</v>
      </c>
      <c r="AU96" s="37">
        <f t="shared" si="17"/>
        <v>0</v>
      </c>
      <c r="AV96" s="37">
        <f t="shared" si="18"/>
        <v>75.600000000000009</v>
      </c>
      <c r="AW96" s="37"/>
    </row>
    <row r="97" spans="1:49" ht="15.75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>IFERROR(COUNTIF(#REF!,Tabela1[[#This Row],[Colunas5]]),"")</f>
        <v/>
      </c>
      <c r="X98" s="14">
        <f>Tabela1[[#This Row],[QIANTIDADE EXPEDIDA]]*Tabela1[[#This Row],[PESO UNI]]</f>
        <v>2.4</v>
      </c>
      <c r="Y98" s="14">
        <f t="shared" si="27"/>
        <v>0</v>
      </c>
      <c r="Z98" s="20">
        <f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si="28"/>
        <v>ok</v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0</v>
      </c>
      <c r="AU98" s="37">
        <f t="shared" si="17"/>
        <v>2.4</v>
      </c>
      <c r="AV98" s="37">
        <f t="shared" si="18"/>
        <v>2.4</v>
      </c>
      <c r="AW98" s="37"/>
    </row>
    <row r="99" spans="1:49" ht="15.75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1.3475000000000001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2.4</v>
      </c>
      <c r="S100" s="18">
        <f t="shared" si="25"/>
        <v>2.4</v>
      </c>
      <c r="T100" s="19">
        <f t="shared" si="26"/>
        <v>0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1</v>
      </c>
      <c r="AE100" s="33">
        <v>1</v>
      </c>
      <c r="AF100" s="33">
        <v>1</v>
      </c>
      <c r="AG100" s="33">
        <v>1</v>
      </c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2.4</v>
      </c>
      <c r="AU100" s="37">
        <f t="shared" si="17"/>
        <v>0</v>
      </c>
      <c r="AV100" s="37">
        <f t="shared" si="18"/>
        <v>2.4</v>
      </c>
      <c r="AW100" s="37"/>
    </row>
    <row r="101" spans="1:49" ht="15.75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3</v>
      </c>
      <c r="V115" s="12">
        <f>IFERROR(VLOOKUP(Tabela1[[#This Row],[COD.MDE]],'LISTA DE EMBARQUE'!B:L,11,0),"")</f>
        <v>1</v>
      </c>
      <c r="W115" s="13" t="str">
        <f>IFERROR(COUNTIF(#REF!,Tabela1[[#This Row],[Colunas5]]),"")</f>
        <v/>
      </c>
      <c r="X115" s="14">
        <f>Tabela1[[#This Row],[QIANTIDADE EXPEDIDA]]*Tabela1[[#This Row],[PESO UNI]]</f>
        <v>97.199999999999989</v>
      </c>
      <c r="Y115" s="14">
        <f t="shared" si="23"/>
        <v>0</v>
      </c>
      <c r="Z115" s="20">
        <f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si="33">IF(Z115&lt;=0,"ok","")</f>
        <v>ok</v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0</v>
      </c>
      <c r="AU115" s="37">
        <f t="shared" si="29"/>
        <v>97.199999999999989</v>
      </c>
      <c r="AV115" s="37">
        <f t="shared" si="30"/>
        <v>97.199999999999989</v>
      </c>
      <c r="AW115" s="37"/>
    </row>
    <row r="116" spans="1:49" ht="15.75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 t="s">
        <v>5642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 t="s">
        <v>5642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 t="s">
        <v>5642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 t="s">
        <v>5642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 t="s">
        <v>5642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 t="s">
        <v>5642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0</v>
      </c>
      <c r="AU132" s="37">
        <f t="shared" si="29"/>
        <v>316.8</v>
      </c>
      <c r="AV132" s="37">
        <f t="shared" si="30"/>
        <v>316.8</v>
      </c>
      <c r="AW132" s="37"/>
    </row>
    <row r="133" spans="1:49" ht="15.75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0</v>
      </c>
      <c r="AU133" s="37">
        <f t="shared" si="29"/>
        <v>324</v>
      </c>
      <c r="AV133" s="37">
        <f t="shared" si="30"/>
        <v>324</v>
      </c>
      <c r="AW133" s="37"/>
    </row>
    <row r="134" spans="1:49" ht="15.75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4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4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4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4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4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4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4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v>24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19.200000000000003</v>
      </c>
      <c r="Y160" s="14">
        <f t="shared" si="44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128.80000000000001</v>
      </c>
      <c r="Y161" s="14">
        <f t="shared" si="44"/>
        <v>0</v>
      </c>
      <c r="Z161" s="20">
        <f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4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4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4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128.80000000000001</v>
      </c>
      <c r="Y165" s="14">
        <f t="shared" si="44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19.200000000000003</v>
      </c>
      <c r="Y166" s="14">
        <f t="shared" si="44"/>
        <v>0</v>
      </c>
      <c r="Z166" s="20">
        <f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4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4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4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4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4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4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4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4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4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4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1.06</v>
      </c>
      <c r="Y183" s="14">
        <f t="shared" si="48"/>
        <v>0</v>
      </c>
      <c r="Z183" s="20">
        <f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si="45"/>
        <v>ok</v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0</v>
      </c>
      <c r="AU183" s="37">
        <f t="shared" si="46"/>
        <v>1.06</v>
      </c>
      <c r="AV183" s="37">
        <f t="shared" si="47"/>
        <v>1.06</v>
      </c>
      <c r="AW183" s="37"/>
    </row>
    <row r="184" spans="1:49" ht="15.75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1.48</v>
      </c>
      <c r="Y184" s="14">
        <f t="shared" si="48"/>
        <v>0</v>
      </c>
      <c r="Z184" s="20">
        <f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si="45"/>
        <v>ok</v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0</v>
      </c>
      <c r="AU184" s="37">
        <f t="shared" si="46"/>
        <v>1.48</v>
      </c>
      <c r="AV184" s="37">
        <f t="shared" si="47"/>
        <v>1.48</v>
      </c>
      <c r="AW184" s="37"/>
    </row>
    <row r="185" spans="1:49" ht="15.75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1.02</v>
      </c>
      <c r="Y185" s="14">
        <f t="shared" si="48"/>
        <v>0</v>
      </c>
      <c r="Z185" s="20">
        <f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si="45"/>
        <v>ok</v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0</v>
      </c>
      <c r="AU185" s="37">
        <f t="shared" si="46"/>
        <v>1.02</v>
      </c>
      <c r="AV185" s="37">
        <f t="shared" si="47"/>
        <v>1.02</v>
      </c>
      <c r="AW185" s="37"/>
    </row>
    <row r="186" spans="1:49" ht="15.75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v>6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0.30000000000000004</v>
      </c>
      <c r="Y186" s="14">
        <f t="shared" si="48"/>
        <v>0</v>
      </c>
      <c r="Z186" s="20">
        <f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si="45"/>
        <v>ok</v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</v>
      </c>
      <c r="AU186" s="37">
        <f t="shared" si="46"/>
        <v>0.30000000000000004</v>
      </c>
      <c r="AV186" s="37">
        <f t="shared" si="47"/>
        <v>0.30000000000000004</v>
      </c>
      <c r="AW186" s="37"/>
    </row>
    <row r="187" spans="1:49" ht="15.75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4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4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4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4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4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4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4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4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4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199.48</v>
      </c>
      <c r="Y196" s="14">
        <f t="shared" si="48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45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46"/>
        <v>199.48</v>
      </c>
      <c r="AV196" s="37">
        <f t="shared" si="47"/>
        <v>199.48</v>
      </c>
      <c r="AW196" s="37"/>
    </row>
    <row r="197" spans="1:49" ht="15.75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4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4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4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4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4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4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4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4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200</v>
      </c>
      <c r="Y205" s="14">
        <f t="shared" si="48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45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46"/>
        <v>200</v>
      </c>
      <c r="AV205" s="37">
        <f t="shared" si="47"/>
        <v>200</v>
      </c>
      <c r="AW205" s="37"/>
    </row>
    <row r="206" spans="1:49" ht="15.75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4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4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4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4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4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4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4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4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4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4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4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4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4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4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4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4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4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4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4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4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4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4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4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4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4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4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4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4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4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4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4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4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4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4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4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4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4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4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4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4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4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4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>
        <f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>
        <f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>
        <f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4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4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4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4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4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4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4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4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4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4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4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4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4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4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4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4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4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4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4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4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4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4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4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4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4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4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4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4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4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4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4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4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4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4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4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4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4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1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4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4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4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4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4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4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4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4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4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4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4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4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4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4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4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4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4</v>
      </c>
      <c r="V403" s="12">
        <f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>IFERROR(Tabela1[[#This Row],[QIANTIDADE EXPEDIDA]]*Tabela1[[#This Row],[PESO UNI]],"")</f>
        <v>199.48</v>
      </c>
      <c r="Y403" s="14">
        <f t="shared" si="71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9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72"/>
        <v>199.48</v>
      </c>
      <c r="AV403" s="37">
        <f t="shared" si="73"/>
        <v>199.48</v>
      </c>
      <c r="AW403" s="37"/>
    </row>
    <row r="404" spans="1:49" ht="15.75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>IFERROR(Tabela1[[#This Row],[QIANTIDADE EXPEDIDA]]*Tabela1[[#This Row],[PESO UNI]],"")</f>
        <v>200</v>
      </c>
      <c r="Y404" s="14">
        <f t="shared" si="71"/>
        <v>0</v>
      </c>
      <c r="Z404" s="20">
        <f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si="69"/>
        <v>ok</v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0</v>
      </c>
      <c r="AU404" s="37">
        <f t="shared" si="72"/>
        <v>200</v>
      </c>
      <c r="AV404" s="37">
        <f t="shared" si="73"/>
        <v>200</v>
      </c>
      <c r="AW404" s="37"/>
    </row>
    <row r="405" spans="1:49" ht="15.75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72</v>
      </c>
      <c r="Y423" s="14">
        <f t="shared" si="79"/>
        <v>0</v>
      </c>
      <c r="Z423" s="20">
        <f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36</v>
      </c>
      <c r="Y424" s="14">
        <f t="shared" si="79"/>
        <v>0</v>
      </c>
      <c r="Z424" s="20">
        <f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60</v>
      </c>
      <c r="S439" s="18">
        <f t="shared" si="82"/>
        <v>60</v>
      </c>
      <c r="T439" s="19">
        <f t="shared" ref="T439" si="84">IFERROR(S439-H439,"")</f>
        <v>0</v>
      </c>
      <c r="U439" s="16">
        <f>IFERROR(SUMIF('LISTA DE EMBARQUE'!B:B,MICRO!E:E,'LISTA DE EMBARQUE'!G:G),"")</f>
        <v>6</v>
      </c>
      <c r="V439" s="12">
        <f>IFERROR(VLOOKUP(Tabela1[[#This Row],[COD.MDE]],'LISTA DE EMBARQUE'!B:L,11,0),"")</f>
        <v>1</v>
      </c>
      <c r="W439" s="13" t="str">
        <f>IFERROR(COUNTIF(#REF!,Tabela1[[#This Row],[Colunas5]]),"")</f>
        <v/>
      </c>
      <c r="X439" s="14">
        <f>Tabela1[[#This Row],[QIANTIDADE EXPEDIDA]]*Tabela1[[#This Row],[PESO UNI]]</f>
        <v>60</v>
      </c>
      <c r="Y439" s="14">
        <f t="shared" ref="Y439" si="85">U439-C439</f>
        <v>0</v>
      </c>
      <c r="Z439" s="20">
        <f>Tabela1[[#This Row],[PESO TOTAL]]-Tabela1[[#This Row],[Peso Expedido]]</f>
        <v>0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>
        <v>1</v>
      </c>
      <c r="AI439" s="33" t="str">
        <f t="shared" si="77"/>
        <v>ok</v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0</v>
      </c>
      <c r="AU439" s="37">
        <f t="shared" ref="AU439" si="87">IF(AH439="",0,IF(ISTEXT(AH439),H439*VALUE(SUBSTITUTE(AH439,"%",""))/100,H439*AH439))</f>
        <v>60</v>
      </c>
      <c r="AV439" s="37">
        <f t="shared" ref="AV439" si="88">IF(AG439="",0,IF(ISTEXT(AG439),H439*VALUE(SUBSTITUTE(AG439,"%",""))/100,H439*AG439))</f>
        <v>60</v>
      </c>
      <c r="AW439" s="37"/>
    </row>
    <row r="440" spans="1:49" ht="15.75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75</v>
      </c>
      <c r="S440" s="18">
        <f t="shared" si="82"/>
        <v>75</v>
      </c>
      <c r="T440" s="19">
        <f t="shared" ref="T440:T509" si="90">IFERROR(S440-H440,"")</f>
        <v>0</v>
      </c>
      <c r="U440" s="16">
        <f>IFERROR(SUMIF('LISTA DE EMBARQUE'!B:B,MICRO!E:E,'LISTA DE EMBARQUE'!G:G),"")</f>
        <v>6</v>
      </c>
      <c r="V440" s="12">
        <f>IFERROR(VLOOKUP(Tabela1[[#This Row],[COD.MDE]],'LISTA DE EMBARQUE'!B:L,11,0),"")</f>
        <v>1</v>
      </c>
      <c r="W440" s="13" t="str">
        <f>IFERROR(COUNTIF(#REF!,Tabela1[[#This Row],[Colunas5]]),"")</f>
        <v/>
      </c>
      <c r="X440" s="14">
        <f>Tabela1[[#This Row],[QIANTIDADE EXPEDIDA]]*Tabela1[[#This Row],[PESO UNI]]</f>
        <v>75</v>
      </c>
      <c r="Y440" s="14">
        <f t="shared" ref="Y440:Y509" si="91">U440-C440</f>
        <v>0</v>
      </c>
      <c r="Z440" s="20">
        <f>Tabela1[[#This Row],[PESO TOTAL]]-Tabela1[[#This Row],[Peso Expedido]]</f>
        <v>0</v>
      </c>
      <c r="AA440" s="17">
        <v>1</v>
      </c>
      <c r="AB440" s="33"/>
      <c r="AC440" s="33">
        <v>1</v>
      </c>
      <c r="AD440" s="33">
        <v>1</v>
      </c>
      <c r="AE440" s="33">
        <v>1</v>
      </c>
      <c r="AF440" s="33">
        <v>1</v>
      </c>
      <c r="AG440" s="33">
        <v>1</v>
      </c>
      <c r="AH440" s="33">
        <v>1</v>
      </c>
      <c r="AI440" s="33" t="str">
        <f t="shared" si="77"/>
        <v>ok</v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0</v>
      </c>
      <c r="AU440" s="37">
        <f t="shared" ref="AU440:AU509" si="93">IF(AH440="",0,IF(ISTEXT(AH440),H440*VALUE(SUBSTITUTE(AH440,"%",""))/100,H440*AH440))</f>
        <v>75</v>
      </c>
      <c r="AV440" s="37">
        <f t="shared" ref="AV440:AV509" si="94">IF(AG440="",0,IF(ISTEXT(AG440),H440*VALUE(SUBSTITUTE(AG440,"%",""))/100,H440*AG440))</f>
        <v>75</v>
      </c>
      <c r="AW440" s="37"/>
    </row>
    <row r="441" spans="1:49" ht="15.75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100.16499999999999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9.6</v>
      </c>
      <c r="S442" s="18">
        <f t="shared" ref="S442:S451" si="96">IFERROR(H442*AG442,"")</f>
        <v>9.6</v>
      </c>
      <c r="T442" s="19">
        <f t="shared" ref="T442:T451" si="97">IFERROR(S442-H442,"")</f>
        <v>0</v>
      </c>
      <c r="U442" s="16">
        <f>IFERROR(SUMIF('LISTA DE EMBARQUE'!B:B,MICRO!E:E,'LISTA DE EMBARQUE'!G:G),"")</f>
        <v>8</v>
      </c>
      <c r="V442" s="12">
        <f>IFERROR(VLOOKUP(Tabela1[[#This Row],[COD.MDE]],'LISTA DE EMBARQUE'!B:L,11,0),"")</f>
        <v>6</v>
      </c>
      <c r="W442" s="13" t="str">
        <f>IFERROR(COUNTIF(#REF!,Tabela1[[#This Row],[Colunas5]]),"")</f>
        <v/>
      </c>
      <c r="X442" s="14">
        <f>Tabela1[[#This Row],[QIANTIDADE EXPEDIDA]]*Tabela1[[#This Row],[PESO UNI]]</f>
        <v>9.6</v>
      </c>
      <c r="Y442" s="14">
        <f t="shared" ref="Y442:Y451" si="98">U442-C442</f>
        <v>0</v>
      </c>
      <c r="Z442" s="20">
        <f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si="99">IF(Z442&lt;=0,"ok","")</f>
        <v>ok</v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9.6</v>
      </c>
      <c r="AV442" s="37">
        <f t="shared" si="94"/>
        <v>9.6</v>
      </c>
      <c r="AW442" s="37"/>
    </row>
    <row r="443" spans="1:49" ht="15.75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38.4</v>
      </c>
      <c r="S445" s="18">
        <f t="shared" si="96"/>
        <v>38.4</v>
      </c>
      <c r="T445" s="19">
        <f t="shared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>IFERROR(COUNTIF(#REF!,Tabela1[[#This Row],[Colunas5]]),"")</f>
        <v/>
      </c>
      <c r="X445" s="14">
        <f>Tabela1[[#This Row],[QIANTIDADE EXPEDIDA]]*Tabela1[[#This Row],[PESO UNI]]</f>
        <v>38.4</v>
      </c>
      <c r="Y445" s="14">
        <f t="shared" si="98"/>
        <v>0</v>
      </c>
      <c r="Z445" s="20">
        <f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si="99"/>
        <v>ok</v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38.4</v>
      </c>
      <c r="AV445" s="37">
        <f t="shared" si="94"/>
        <v>38.4</v>
      </c>
      <c r="AW445" s="37"/>
    </row>
    <row r="446" spans="1:49" ht="15.75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2.6</v>
      </c>
      <c r="S448" s="18">
        <f t="shared" si="96"/>
        <v>2.6</v>
      </c>
      <c r="T448" s="19">
        <f t="shared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>IFERROR(COUNTIF(#REF!,Tabela1[[#This Row],[Colunas5]]),"")</f>
        <v/>
      </c>
      <c r="X448" s="14">
        <f>Tabela1[[#This Row],[QIANTIDADE EXPEDIDA]]*Tabela1[[#This Row],[PESO UNI]]</f>
        <v>2.6</v>
      </c>
      <c r="Y448" s="14">
        <f t="shared" si="98"/>
        <v>0</v>
      </c>
      <c r="Z448" s="20">
        <f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si="99"/>
        <v>ok</v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2.6</v>
      </c>
      <c r="AV448" s="37">
        <f t="shared" si="94"/>
        <v>2.6</v>
      </c>
      <c r="AW448" s="37"/>
    </row>
    <row r="449" spans="1:49" ht="15.75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8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>Tabela1[[#This Row],[QTDE/ Fabricação]]-Tabela1[[#This Row],[QTE]]</f>
        <v>-18</v>
      </c>
      <c r="R452" s="18">
        <f t="shared" si="89"/>
        <v>18</v>
      </c>
      <c r="S452" s="18">
        <f t="shared" ref="S452:S458" si="100">IFERROR(H452*AG452,"")</f>
        <v>18</v>
      </c>
      <c r="T452" s="19">
        <f t="shared" ref="T452:T458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>IFERROR(Tabela1[[#This Row],[QIANTIDADE EXPEDIDA]]*Tabela1[[#This Row],[PESO UNI]],"")</f>
        <v>18</v>
      </c>
      <c r="Y452" s="14">
        <f t="shared" ref="Y452:Y458" si="102">U452-C452</f>
        <v>0</v>
      </c>
      <c r="Z452" s="20">
        <f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si="77"/>
        <v>ok</v>
      </c>
    </row>
    <row r="453" spans="1:49" ht="15.75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8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>Tabela1[[#This Row],[QTDE/ Fabricação]]-Tabela1[[#This Row],[QTE]]</f>
        <v>-53</v>
      </c>
      <c r="R453" s="18">
        <f>IFERROR(H453*((AA453*0.25)+(AC453*0.25)+(AD453*0.225)+(AE453*0.225)+(AF453*0.05)),"")</f>
        <v>275.60000000000002</v>
      </c>
      <c r="S453" s="18">
        <f t="shared" si="100"/>
        <v>275.60000000000002</v>
      </c>
      <c r="T453" s="19">
        <f t="shared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>IFERROR(Tabela1[[#This Row],[QIANTIDADE EXPEDIDA]]*Tabela1[[#This Row],[PESO UNI]],"")</f>
        <v>275.60000000000002</v>
      </c>
      <c r="Y453" s="14">
        <f t="shared" si="102"/>
        <v>0</v>
      </c>
      <c r="Z453" s="20">
        <f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si="77"/>
        <v>ok</v>
      </c>
    </row>
    <row r="454" spans="1:49" ht="15.75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8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7</v>
      </c>
      <c r="V454" s="12">
        <f>IFERROR(VLOOKUP(Tabela1[[#This Row],[COD.MDE]],'LISTA DE EMBARQUE'!B:L,11,0),"")</f>
        <v>1</v>
      </c>
      <c r="W454" s="13"/>
      <c r="X454" s="14">
        <f>IFERROR(Tabela1[[#This Row],[QIANTIDADE EXPEDIDA]]*Tabela1[[#This Row],[PESO UNI]],"")</f>
        <v>133.70000000000002</v>
      </c>
      <c r="Y454" s="14">
        <f t="shared" si="102"/>
        <v>0</v>
      </c>
      <c r="Z454" s="20">
        <f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si="77"/>
        <v>ok</v>
      </c>
    </row>
    <row r="455" spans="1:49" ht="15.75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8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>IFERROR(Tabela1[[#This Row],[QIANTIDADE EXPEDIDA]]*Tabela1[[#This Row],[PESO UNI]],"")</f>
        <v>109.19999999999999</v>
      </c>
      <c r="Y455" s="14">
        <f t="shared" si="102"/>
        <v>0</v>
      </c>
      <c r="Z455" s="20">
        <f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si="77"/>
        <v>ok</v>
      </c>
    </row>
    <row r="456" spans="1:49" ht="15.75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8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>IFERROR(Tabela1[[#This Row],[QIANTIDADE EXPEDIDA]]*Tabela1[[#This Row],[PESO UNI]],"")</f>
        <v>48</v>
      </c>
      <c r="Y456" s="14">
        <f t="shared" si="102"/>
        <v>0</v>
      </c>
      <c r="Z456" s="20">
        <f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si="77"/>
        <v>ok</v>
      </c>
    </row>
    <row r="457" spans="1:49" ht="15.75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8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>IFERROR(Tabela1[[#This Row],[QIANTIDADE EXPEDIDA]]*Tabela1[[#This Row],[PESO UNI]],"")</f>
        <v>70</v>
      </c>
      <c r="Y457" s="14">
        <f t="shared" si="102"/>
        <v>0</v>
      </c>
      <c r="Z457" s="20">
        <f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si="77"/>
        <v>ok</v>
      </c>
    </row>
    <row r="458" spans="1:49" ht="15.75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8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23</v>
      </c>
      <c r="V458" s="12">
        <f>IFERROR(VLOOKUP(Tabela1[[#This Row],[COD.MDE]],'LISTA DE EMBARQUE'!B:L,11,0),"")</f>
        <v>1</v>
      </c>
      <c r="W458" s="13"/>
      <c r="X458" s="14">
        <f>IFERROR(Tabela1[[#This Row],[QIANTIDADE EXPEDIDA]]*Tabela1[[#This Row],[PESO UNI]],"")</f>
        <v>138</v>
      </c>
      <c r="Y458" s="14">
        <f t="shared" si="102"/>
        <v>0</v>
      </c>
      <c r="Z458" s="20">
        <f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si="77"/>
        <v>ok</v>
      </c>
    </row>
    <row r="459" spans="1:49" ht="15.75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customHeight="1" x14ac:dyDescent="0.25">
      <c r="A605" s="1" t="s">
        <v>2552</v>
      </c>
      <c r="B605" s="193"/>
      <c r="C605" s="195">
        <v>47</v>
      </c>
      <c r="D605" s="206" t="s">
        <v>3735</v>
      </c>
      <c r="E605" s="192" t="s">
        <v>4446</v>
      </c>
      <c r="F605" s="195" t="s">
        <v>4411</v>
      </c>
      <c r="G605" s="196">
        <v>121.38</v>
      </c>
      <c r="H605" s="34">
        <f>Tabela1[[#This Row],[PESO UNI]]*Tabela1[[#This Row],[QTE]]</f>
        <v>5704.86</v>
      </c>
      <c r="I605" s="196">
        <v>0</v>
      </c>
      <c r="J605" s="8" t="s">
        <v>2550</v>
      </c>
      <c r="K605" s="8" t="s">
        <v>4320</v>
      </c>
      <c r="L605" s="9" t="s">
        <v>2551</v>
      </c>
      <c r="M605" s="197"/>
      <c r="N605" s="203" t="s">
        <v>38</v>
      </c>
      <c r="O605" s="198"/>
      <c r="P605" s="199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0"/>
      <c r="AR605" s="158"/>
      <c r="AS605" s="158"/>
      <c r="AT605" s="158"/>
      <c r="AU605" s="158"/>
      <c r="AV605" s="158"/>
      <c r="AW605" s="158"/>
    </row>
    <row r="606" spans="1:49" ht="15.75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>Tabela1[[#This Row],[PESO UNI]]*Tabela1[[#This Row],[QTE]]</f>
        <v>1283.7</v>
      </c>
      <c r="I606" s="7" t="s">
        <v>5492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1283.7</v>
      </c>
      <c r="S606" s="18">
        <f t="shared" si="117"/>
        <v>1283.7</v>
      </c>
      <c r="T606" s="19">
        <f t="shared" ref="T606:T624" si="122">IFERROR(S606-H606,"")</f>
        <v>0</v>
      </c>
      <c r="U606" s="16">
        <f>IFERROR(SUMIF('LISTA DE EMBARQUE'!B:B,MICRO!E:E,'LISTA DE EMBARQUE'!G:G),"")</f>
        <v>1</v>
      </c>
      <c r="V606" s="12">
        <f>IFERROR(VLOOKUP(Tabela1[[#This Row],[COD.MDE]],'LISTA DE EMBARQUE'!B:L,11,0),"")</f>
        <v>6</v>
      </c>
      <c r="W606" s="13" t="str">
        <f>IFERROR(COUNTIF(#REF!,Tabela1[[#This Row],[Colunas5]]),"")</f>
        <v/>
      </c>
      <c r="X606" s="14">
        <f>Tabela1[[#This Row],[QIANTIDADE EXPEDIDA]]*Tabela1[[#This Row],[PESO UNI]]</f>
        <v>1283.7</v>
      </c>
      <c r="Y606" s="14">
        <f t="shared" ref="Y606:Y624" si="123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>Tabela1[[#This Row],[PESO UNI]]*Tabela1[[#This Row],[QTE]]</f>
        <v>396.2</v>
      </c>
      <c r="I607" s="7" t="s">
        <v>5491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396.2</v>
      </c>
      <c r="S607" s="18">
        <f t="shared" si="117"/>
        <v>396.2</v>
      </c>
      <c r="T607" s="19">
        <f t="shared" si="122"/>
        <v>0</v>
      </c>
      <c r="U607" s="16">
        <f>IFERROR(SUMIF('LISTA DE EMBARQUE'!B:B,MICRO!E:E,'LISTA DE EMBARQUE'!G:G),"")</f>
        <v>2</v>
      </c>
      <c r="V607" s="12">
        <f>IFERROR(VLOOKUP(Tabela1[[#This Row],[COD.MDE]],'LISTA DE EMBARQUE'!B:L,11,0),"")</f>
        <v>6</v>
      </c>
      <c r="W607" s="13" t="str">
        <f>IFERROR(COUNTIF(#REF!,Tabela1[[#This Row],[Colunas5]]),"")</f>
        <v/>
      </c>
      <c r="X607" s="14">
        <f>Tabela1[[#This Row],[QIANTIDADE EXPEDIDA]]*Tabela1[[#This Row],[PESO UNI]]</f>
        <v>792.4</v>
      </c>
      <c r="Y607" s="14">
        <f t="shared" si="123"/>
        <v>1</v>
      </c>
      <c r="Z607" s="20">
        <f>Tabela1[[#This Row],[PESO TOTAL]]-Tabela1[[#This Row],[Peso Expedido]]</f>
        <v>-396.2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5490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166</v>
      </c>
      <c r="S608" s="18">
        <f t="shared" si="117"/>
        <v>166</v>
      </c>
      <c r="T608" s="19">
        <f t="shared" si="122"/>
        <v>0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1</v>
      </c>
      <c r="AB608" s="33"/>
      <c r="AC608" s="33">
        <v>1</v>
      </c>
      <c r="AD608" s="33">
        <v>1</v>
      </c>
      <c r="AE608" s="33">
        <v>1</v>
      </c>
      <c r="AF608" s="33">
        <v>1</v>
      </c>
      <c r="AG608" s="33">
        <v>1</v>
      </c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5490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5489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21"/>
        <v>126.7</v>
      </c>
      <c r="S610" s="18">
        <f t="shared" si="117"/>
        <v>126.7</v>
      </c>
      <c r="T610" s="19">
        <f t="shared" si="122"/>
        <v>0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>
        <v>1</v>
      </c>
      <c r="AD610" s="33">
        <v>1</v>
      </c>
      <c r="AE610" s="33">
        <v>1</v>
      </c>
      <c r="AF610" s="33">
        <v>1</v>
      </c>
      <c r="AG610" s="33">
        <v>1</v>
      </c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>Tabela1[[#This Row],[PESO UNI]]*Tabela1[[#This Row],[QTE]]</f>
        <v>117.8</v>
      </c>
      <c r="I611" s="7" t="s">
        <v>5489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21"/>
        <v>117.8</v>
      </c>
      <c r="S611" s="18">
        <f t="shared" si="117"/>
        <v>117.8</v>
      </c>
      <c r="T611" s="19">
        <f t="shared" si="122"/>
        <v>0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117.8</v>
      </c>
      <c r="AA611" s="17">
        <v>1</v>
      </c>
      <c r="AB611" s="33"/>
      <c r="AC611" s="33">
        <v>1</v>
      </c>
      <c r="AD611" s="33">
        <v>1</v>
      </c>
      <c r="AE611" s="33">
        <v>1</v>
      </c>
      <c r="AF611" s="33">
        <v>1</v>
      </c>
      <c r="AG611" s="33">
        <v>1</v>
      </c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100.9</v>
      </c>
      <c r="S612" s="18">
        <f t="shared" si="117"/>
        <v>100.9</v>
      </c>
      <c r="T612" s="19">
        <f t="shared" si="122"/>
        <v>0</v>
      </c>
      <c r="U612" s="16">
        <f>IFERROR(SUMIF('LISTA DE EMBARQUE'!B:B,MICRO!E:E,'LISTA DE EMBARQUE'!G:G),"")</f>
        <v>1</v>
      </c>
      <c r="V612" s="12">
        <f>IFERROR(VLOOKUP(Tabela1[[#This Row],[COD.MDE]],'LISTA DE EMBARQUE'!B:L,11,0),"")</f>
        <v>7</v>
      </c>
      <c r="W612" s="13" t="str">
        <f>IFERROR(COUNTIF(#REF!,Tabela1[[#This Row],[Colunas5]]),"")</f>
        <v/>
      </c>
      <c r="X612" s="14">
        <f>Tabela1[[#This Row],[QIANTIDADE EXPEDIDA]]*Tabela1[[#This Row],[PESO UNI]]</f>
        <v>100.9</v>
      </c>
      <c r="Y612" s="14">
        <f t="shared" si="123"/>
        <v>0</v>
      </c>
      <c r="Z612" s="20">
        <f>Tabela1[[#This Row],[PESO TOTAL]]-Tabela1[[#This Row],[Peso Expedido]]</f>
        <v>0</v>
      </c>
      <c r="AA612" s="17">
        <v>1</v>
      </c>
      <c r="AB612" s="33"/>
      <c r="AC612" s="33">
        <v>1</v>
      </c>
      <c r="AD612" s="33">
        <v>1</v>
      </c>
      <c r="AE612" s="33">
        <v>1</v>
      </c>
      <c r="AF612" s="33">
        <v>1</v>
      </c>
      <c r="AG612" s="33">
        <v>1</v>
      </c>
      <c r="AH612" s="33">
        <v>1</v>
      </c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166.8</v>
      </c>
      <c r="S613" s="18">
        <f t="shared" si="117"/>
        <v>166.8</v>
      </c>
      <c r="T613" s="19">
        <f t="shared" si="122"/>
        <v>0</v>
      </c>
      <c r="U613" s="16">
        <f>IFERROR(SUMIF('LISTA DE EMBARQUE'!B:B,MICRO!E:E,'LISTA DE EMBARQUE'!G:G),"")</f>
        <v>2</v>
      </c>
      <c r="V613" s="12">
        <f>IFERROR(VLOOKUP(Tabela1[[#This Row],[COD.MDE]],'LISTA DE EMBARQUE'!B:L,11,0),"")</f>
        <v>7</v>
      </c>
      <c r="W613" s="13" t="str">
        <f>IFERROR(COUNTIF(#REF!,Tabela1[[#This Row],[Colunas5]]),"")</f>
        <v/>
      </c>
      <c r="X613" s="14">
        <f>Tabela1[[#This Row],[QIANTIDADE EXPEDIDA]]*Tabela1[[#This Row],[PESO UNI]]</f>
        <v>166.8</v>
      </c>
      <c r="Y613" s="14">
        <f t="shared" si="123"/>
        <v>0</v>
      </c>
      <c r="Z613" s="20">
        <f>Tabela1[[#This Row],[PESO TOTAL]]-Tabela1[[#This Row],[Peso Expedido]]</f>
        <v>0</v>
      </c>
      <c r="AA613" s="17">
        <v>1</v>
      </c>
      <c r="AB613" s="33"/>
      <c r="AC613" s="33">
        <v>1</v>
      </c>
      <c r="AD613" s="33">
        <v>1</v>
      </c>
      <c r="AE613" s="33">
        <v>1</v>
      </c>
      <c r="AF613" s="33">
        <v>1</v>
      </c>
      <c r="AG613" s="33">
        <v>1</v>
      </c>
      <c r="AH613" s="33">
        <v>1</v>
      </c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120.2</v>
      </c>
      <c r="S614" s="18">
        <f t="shared" si="117"/>
        <v>120.2</v>
      </c>
      <c r="T614" s="19">
        <f t="shared" si="122"/>
        <v>0</v>
      </c>
      <c r="U614" s="16">
        <f>IFERROR(SUMIF('LISTA DE EMBARQUE'!B:B,MICRO!E:E,'LISTA DE EMBARQUE'!G:G),"")</f>
        <v>1</v>
      </c>
      <c r="V614" s="12">
        <f>IFERROR(VLOOKUP(Tabela1[[#This Row],[COD.MDE]],'LISTA DE EMBARQUE'!B:L,11,0),"")</f>
        <v>7</v>
      </c>
      <c r="W614" s="13" t="str">
        <f>IFERROR(COUNTIF(#REF!,Tabela1[[#This Row],[Colunas5]]),"")</f>
        <v/>
      </c>
      <c r="X614" s="14">
        <f>Tabela1[[#This Row],[QIANTIDADE EXPEDIDA]]*Tabela1[[#This Row],[PESO UNI]]</f>
        <v>120.2</v>
      </c>
      <c r="Y614" s="14">
        <f t="shared" si="123"/>
        <v>0</v>
      </c>
      <c r="Z614" s="20">
        <f>Tabela1[[#This Row],[PESO TOTAL]]-Tabela1[[#This Row],[Peso Expedido]]</f>
        <v>0</v>
      </c>
      <c r="AA614" s="17">
        <v>1</v>
      </c>
      <c r="AB614" s="33"/>
      <c r="AC614" s="33">
        <v>1</v>
      </c>
      <c r="AD614" s="33">
        <v>1</v>
      </c>
      <c r="AE614" s="33">
        <v>1</v>
      </c>
      <c r="AF614" s="33">
        <v>1</v>
      </c>
      <c r="AG614" s="33">
        <v>1</v>
      </c>
      <c r="AH614" s="33">
        <v>1</v>
      </c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63.6</v>
      </c>
      <c r="S615" s="18">
        <f t="shared" si="117"/>
        <v>63.6</v>
      </c>
      <c r="T615" s="19">
        <f t="shared" si="122"/>
        <v>0</v>
      </c>
      <c r="U615" s="16">
        <f>IFERROR(SUMIF('LISTA DE EMBARQUE'!B:B,MICRO!E:E,'LISTA DE EMBARQUE'!G:G),"")</f>
        <v>1</v>
      </c>
      <c r="V615" s="12">
        <f>IFERROR(VLOOKUP(Tabela1[[#This Row],[COD.MDE]],'LISTA DE EMBARQUE'!B:L,11,0),"")</f>
        <v>7</v>
      </c>
      <c r="W615" s="13" t="str">
        <f>IFERROR(COUNTIF(#REF!,Tabela1[[#This Row],[Colunas5]]),"")</f>
        <v/>
      </c>
      <c r="X615" s="14">
        <f>Tabela1[[#This Row],[QIANTIDADE EXPEDIDA]]*Tabela1[[#This Row],[PESO UNI]]</f>
        <v>63.6</v>
      </c>
      <c r="Y615" s="14">
        <f t="shared" si="123"/>
        <v>0</v>
      </c>
      <c r="Z615" s="20">
        <f>Tabela1[[#This Row],[PESO TOTAL]]-Tabela1[[#This Row],[Peso Expedido]]</f>
        <v>0</v>
      </c>
      <c r="AA615" s="17">
        <v>1</v>
      </c>
      <c r="AB615" s="33"/>
      <c r="AC615" s="33">
        <v>1</v>
      </c>
      <c r="AD615" s="33">
        <v>1</v>
      </c>
      <c r="AE615" s="33">
        <v>1</v>
      </c>
      <c r="AF615" s="33">
        <v>1</v>
      </c>
      <c r="AG615" s="33">
        <v>1</v>
      </c>
      <c r="AH615" s="33">
        <v>1</v>
      </c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75.8</v>
      </c>
      <c r="S616" s="18">
        <f t="shared" si="117"/>
        <v>75.8</v>
      </c>
      <c r="T616" s="19">
        <f t="shared" si="122"/>
        <v>0</v>
      </c>
      <c r="U616" s="16">
        <f>IFERROR(SUMIF('LISTA DE EMBARQUE'!B:B,MICRO!E:E,'LISTA DE EMBARQUE'!G:G),"")</f>
        <v>1</v>
      </c>
      <c r="V616" s="12">
        <f>IFERROR(VLOOKUP(Tabela1[[#This Row],[COD.MDE]],'LISTA DE EMBARQUE'!B:L,11,0),"")</f>
        <v>7</v>
      </c>
      <c r="W616" s="13" t="str">
        <f>IFERROR(COUNTIF(#REF!,Tabela1[[#This Row],[Colunas5]]),"")</f>
        <v/>
      </c>
      <c r="X616" s="14">
        <f>Tabela1[[#This Row],[QIANTIDADE EXPEDIDA]]*Tabela1[[#This Row],[PESO UNI]]</f>
        <v>75.8</v>
      </c>
      <c r="Y616" s="14">
        <f t="shared" si="123"/>
        <v>0</v>
      </c>
      <c r="Z616" s="20">
        <f>Tabela1[[#This Row],[PESO TOTAL]]-Tabela1[[#This Row],[Peso Expedido]]</f>
        <v>0</v>
      </c>
      <c r="AA616" s="17">
        <v>1</v>
      </c>
      <c r="AB616" s="33"/>
      <c r="AC616" s="33">
        <v>1</v>
      </c>
      <c r="AD616" s="33">
        <v>1</v>
      </c>
      <c r="AE616" s="33">
        <v>1</v>
      </c>
      <c r="AF616" s="33">
        <v>1</v>
      </c>
      <c r="AG616" s="33">
        <v>1</v>
      </c>
      <c r="AH616" s="33">
        <v>1</v>
      </c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>Tabela1[[#This Row],[PESO UNI]]*Tabela1[[#This Row],[QTE]]</f>
        <v>761.9</v>
      </c>
      <c r="I617" s="7" t="s">
        <v>5493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761.9</v>
      </c>
      <c r="S617" s="18">
        <f t="shared" si="117"/>
        <v>761.9</v>
      </c>
      <c r="T617" s="19">
        <f t="shared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>IFERROR(COUNTIF(#REF!,Tabela1[[#This Row],[Colunas5]]),"")</f>
        <v/>
      </c>
      <c r="X617" s="14">
        <f>Tabela1[[#This Row],[QIANTIDADE EXPEDIDA]]*Tabela1[[#This Row],[PESO UNI]]</f>
        <v>761.9</v>
      </c>
      <c r="Y617" s="14">
        <f t="shared" si="123"/>
        <v>0</v>
      </c>
      <c r="Z617" s="20">
        <f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>Tabela1[[#This Row],[PESO UNI]]*Tabela1[[#This Row],[QTE]]</f>
        <v>170.2</v>
      </c>
      <c r="I618" s="7" t="s">
        <v>5493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170.2</v>
      </c>
      <c r="S618" s="18">
        <f t="shared" si="117"/>
        <v>170.2</v>
      </c>
      <c r="T618" s="19">
        <f t="shared" si="122"/>
        <v>0</v>
      </c>
      <c r="U618" s="16">
        <f>IFERROR(SUMIF('LISTA DE EMBARQUE'!B:B,MICRO!E:E,'LISTA DE EMBARQUE'!G:G),"")</f>
        <v>2</v>
      </c>
      <c r="V618" s="12">
        <f>IFERROR(VLOOKUP(Tabela1[[#This Row],[COD.MDE]],'LISTA DE EMBARQUE'!B:L,11,0),"")</f>
        <v>6</v>
      </c>
      <c r="W618" s="13" t="str">
        <f>IFERROR(COUNTIF(#REF!,Tabela1[[#This Row],[Colunas5]]),"")</f>
        <v/>
      </c>
      <c r="X618" s="14">
        <f>Tabela1[[#This Row],[QIANTIDADE EXPEDIDA]]*Tabela1[[#This Row],[PESO UNI]]</f>
        <v>170.2</v>
      </c>
      <c r="Y618" s="14">
        <f t="shared" si="123"/>
        <v>0</v>
      </c>
      <c r="Z618" s="20">
        <f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 t="s">
        <v>5493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103.6</v>
      </c>
      <c r="S619" s="18">
        <f t="shared" si="117"/>
        <v>103.6</v>
      </c>
      <c r="T619" s="19">
        <f t="shared" si="122"/>
        <v>0</v>
      </c>
      <c r="U619" s="16">
        <f>IFERROR(SUMIF('LISTA DE EMBARQUE'!B:B,MICRO!E:E,'LISTA DE EMBARQUE'!G:G),"")</f>
        <v>2</v>
      </c>
      <c r="V619" s="12">
        <f>IFERROR(VLOOKUP(Tabela1[[#This Row],[COD.MDE]],'LISTA DE EMBARQUE'!B:L,11,0),"")</f>
        <v>7</v>
      </c>
      <c r="W619" s="13" t="str">
        <f>IFERROR(COUNTIF(#REF!,Tabela1[[#This Row],[Colunas5]]),"")</f>
        <v/>
      </c>
      <c r="X619" s="14">
        <f>Tabela1[[#This Row],[QIANTIDADE EXPEDIDA]]*Tabela1[[#This Row],[PESO UNI]]</f>
        <v>103.6</v>
      </c>
      <c r="Y619" s="14">
        <f t="shared" si="123"/>
        <v>0</v>
      </c>
      <c r="Z619" s="20">
        <f>Tabela1[[#This Row],[PESO TOTAL]]-Tabela1[[#This Row],[Peso Expedido]]</f>
        <v>0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>
        <v>1</v>
      </c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 t="s">
        <v>5493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5.4</v>
      </c>
      <c r="S620" s="18">
        <f t="shared" si="117"/>
        <v>5.4</v>
      </c>
      <c r="T620" s="19">
        <f t="shared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 t="s">
        <v>5493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0.71249999999999991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 t="s">
        <v>5493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1.6</v>
      </c>
      <c r="S622" s="18">
        <f t="shared" si="117"/>
        <v>1.6</v>
      </c>
      <c r="T622" s="19">
        <f t="shared" si="122"/>
        <v>0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6.4</v>
      </c>
      <c r="S762" s="18">
        <f t="shared" ref="S762" si="141">IFERROR(H762*AG762,"")</f>
        <v>6.4</v>
      </c>
      <c r="T762" s="19">
        <f t="shared" ref="T762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6.4</v>
      </c>
      <c r="S763" s="18">
        <f>IFERROR(H763*AG763,"")</f>
        <v>6.4</v>
      </c>
      <c r="T763" s="19">
        <f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customHeight="1" x14ac:dyDescent="0.25">
      <c r="A764" s="208" t="s">
        <v>653</v>
      </c>
      <c r="B764" s="21"/>
      <c r="C764" s="206">
        <v>2</v>
      </c>
      <c r="D764" s="206" t="s">
        <v>4831</v>
      </c>
      <c r="E764" s="209">
        <v>4419</v>
      </c>
      <c r="F764" s="192">
        <v>9</v>
      </c>
      <c r="G764" s="210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135</v>
      </c>
      <c r="S765" s="18">
        <f t="shared" ref="S765:S769" si="145">IFERROR(H765*AG765,"")</f>
        <v>135</v>
      </c>
      <c r="T765" s="19">
        <f t="shared" ref="T765:T769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46.2</v>
      </c>
      <c r="S766" s="18">
        <f t="shared" si="145"/>
        <v>46.2</v>
      </c>
      <c r="T766" s="19">
        <f t="shared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194.4</v>
      </c>
      <c r="T767" s="19">
        <f t="shared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10</v>
      </c>
      <c r="S768" s="18">
        <f t="shared" si="145"/>
        <v>10</v>
      </c>
      <c r="T768" s="19">
        <f t="shared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92.4</v>
      </c>
      <c r="T769" s="19">
        <f t="shared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235.8</v>
      </c>
      <c r="S771" s="18">
        <f t="shared" si="149"/>
        <v>235.8</v>
      </c>
      <c r="T771" s="19">
        <f t="shared" si="150"/>
        <v>0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1</v>
      </c>
      <c r="AE771" s="33">
        <v>1</v>
      </c>
      <c r="AF771" s="33">
        <v>1</v>
      </c>
      <c r="AG771" s="33">
        <v>1</v>
      </c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3219.6525000000001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1000</v>
      </c>
      <c r="S774" s="18">
        <f t="shared" si="149"/>
        <v>1000</v>
      </c>
      <c r="T774" s="19">
        <f t="shared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5494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>Tabela1[[#This Row],[PESO UNI]]*Tabela1[[#This Row],[QTE]]</f>
        <v>31.2</v>
      </c>
      <c r="I776" s="7" t="s">
        <v>5494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31.2</v>
      </c>
      <c r="S776" s="18">
        <f t="shared" si="153"/>
        <v>31.2</v>
      </c>
      <c r="T776" s="19">
        <f t="shared" si="154"/>
        <v>0</v>
      </c>
      <c r="U776" s="16">
        <f>IFERROR(SUMIF('LISTA DE EMBARQUE'!B:B,MICRO!E:E,'LISTA DE EMBARQUE'!G:G),"")</f>
        <v>4</v>
      </c>
      <c r="V776" s="12">
        <f>IFERROR(VLOOKUP(Tabela1[[#This Row],[COD.MDE]],'LISTA DE EMBARQUE'!B:L,11,0),"")</f>
        <v>7</v>
      </c>
      <c r="W776" s="13">
        <f>IFERROR(VLOOKUP(Tabela1[[#This Row],[COD.MDE]],'LISTA DE EMBARQUE'!B:M,12,0),"")</f>
        <v>46280</v>
      </c>
      <c r="X776" s="14">
        <f>IFERROR(Tabela1[[#This Row],[QIANTIDADE EXPEDIDA]]*Tabela1[[#This Row],[PESO UNI]],"")</f>
        <v>31.2</v>
      </c>
      <c r="Y776" s="14">
        <f t="shared" si="155"/>
        <v>0</v>
      </c>
      <c r="Z776" s="20">
        <f>Tabela1[[#This Row],[PESO TOTAL]]-Tabela1[[#This Row],[Peso Expedido]]</f>
        <v>0</v>
      </c>
      <c r="AA776" s="17">
        <v>1</v>
      </c>
      <c r="AB776" s="33"/>
      <c r="AC776" s="33">
        <v>1</v>
      </c>
      <c r="AD776" s="33">
        <v>1</v>
      </c>
      <c r="AE776" s="33">
        <v>1</v>
      </c>
      <c r="AF776" s="33">
        <v>1</v>
      </c>
      <c r="AG776" s="33">
        <v>1</v>
      </c>
      <c r="AH776" s="33">
        <v>1</v>
      </c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5494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5494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43.8</v>
      </c>
      <c r="S778" s="18">
        <f t="shared" si="153"/>
        <v>43.8</v>
      </c>
      <c r="T778" s="19">
        <f t="shared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5494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20</v>
      </c>
      <c r="S779" s="18">
        <f t="shared" si="153"/>
        <v>20</v>
      </c>
      <c r="T779" s="19">
        <f t="shared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5494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16.399999999999999</v>
      </c>
      <c r="S780" s="18">
        <f t="shared" si="153"/>
        <v>16.399999999999999</v>
      </c>
      <c r="T780" s="19">
        <f t="shared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5383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145.6</v>
      </c>
      <c r="S781" s="18">
        <f t="shared" si="153"/>
        <v>145.6</v>
      </c>
      <c r="T781" s="19">
        <f t="shared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>IFERROR(Tabela1[[#This Row],[QIANTIDADE EXPEDIDA]]*Tabela1[[#This Row],[PESO UNI]],"")</f>
        <v>145.6</v>
      </c>
      <c r="Y781" s="14">
        <f t="shared" si="155"/>
        <v>0</v>
      </c>
      <c r="Z781" s="20">
        <f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>Tabela1[[#This Row],[PESO UNI]]*Tabela1[[#This Row],[QTE]]</f>
        <v>64.8</v>
      </c>
      <c r="I782" s="7" t="s">
        <v>5383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64.8</v>
      </c>
      <c r="S782" s="18">
        <f t="shared" si="153"/>
        <v>64.8</v>
      </c>
      <c r="T782" s="19">
        <f t="shared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>IFERROR(Tabela1[[#This Row],[QIANTIDADE EXPEDIDA]]*Tabela1[[#This Row],[PESO UNI]],"")</f>
        <v>32.4</v>
      </c>
      <c r="Y782" s="14">
        <f t="shared" si="155"/>
        <v>-2</v>
      </c>
      <c r="Z782" s="20">
        <f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5383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2.4</v>
      </c>
      <c r="S783" s="18">
        <f t="shared" si="153"/>
        <v>2.4</v>
      </c>
      <c r="T783" s="19">
        <f t="shared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>IFERROR(Tabela1[[#This Row],[QIANTIDADE EXPEDIDA]]*Tabela1[[#This Row],[PESO UNI]],"")</f>
        <v>2.4</v>
      </c>
      <c r="Y783" s="14">
        <f t="shared" si="155"/>
        <v>0</v>
      </c>
      <c r="Z783" s="20">
        <f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5383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24</v>
      </c>
      <c r="S784" s="18">
        <f t="shared" si="153"/>
        <v>24</v>
      </c>
      <c r="T784" s="19">
        <f t="shared" si="154"/>
        <v>0</v>
      </c>
      <c r="U784" s="16">
        <f>IFERROR(SUMIF('LISTA DE EMBARQUE'!B:B,MICRO!E:E,'LISTA DE EMBARQUE'!G:G),"")</f>
        <v>4</v>
      </c>
      <c r="V784" s="12">
        <f>IFERROR(VLOOKUP(Tabela1[[#This Row],[COD.MDE]],'LISTA DE EMBARQUE'!B:L,11,0),"")</f>
        <v>7</v>
      </c>
      <c r="W784" s="13">
        <f>IFERROR(VLOOKUP(Tabela1[[#This Row],[COD.MDE]],'LISTA DE EMBARQUE'!B:M,12,0),"")</f>
        <v>46280</v>
      </c>
      <c r="X784" s="14">
        <f>IFERROR(Tabela1[[#This Row],[QIANTIDADE EXPEDIDA]]*Tabela1[[#This Row],[PESO UNI]],"")</f>
        <v>24</v>
      </c>
      <c r="Y784" s="14">
        <f t="shared" si="155"/>
        <v>0</v>
      </c>
      <c r="Z784" s="20">
        <f>Tabela1[[#This Row],[PESO TOTAL]]-Tabela1[[#This Row],[Peso Expedido]]</f>
        <v>0</v>
      </c>
      <c r="AA784" s="17">
        <v>1</v>
      </c>
      <c r="AB784" s="33"/>
      <c r="AC784" s="33">
        <v>1</v>
      </c>
      <c r="AD784" s="33">
        <v>1</v>
      </c>
      <c r="AE784" s="33">
        <v>1</v>
      </c>
      <c r="AF784" s="33">
        <v>1</v>
      </c>
      <c r="AG784" s="33">
        <v>1</v>
      </c>
      <c r="AH784" s="33">
        <v>1</v>
      </c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5383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5383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5383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5383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5383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5383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5383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5383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5383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142.19999999999999</v>
      </c>
      <c r="S793" s="18">
        <f t="shared" si="153"/>
        <v>142.19999999999999</v>
      </c>
      <c r="T793" s="19">
        <f t="shared" si="154"/>
        <v>0</v>
      </c>
      <c r="U793" s="16">
        <f>IFERROR(SUMIF('LISTA DE EMBARQUE'!B:B,MICRO!E:E,'LISTA DE EMBARQUE'!G:G),"")</f>
        <v>4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>IFERROR(Tabela1[[#This Row],[QIANTIDADE EXPEDIDA]]*Tabela1[[#This Row],[PESO UNI]],"")</f>
        <v>284.39999999999998</v>
      </c>
      <c r="Y793" s="14">
        <f t="shared" si="155"/>
        <v>2</v>
      </c>
      <c r="Z793" s="20">
        <f>Tabela1[[#This Row],[PESO TOTAL]]-Tabela1[[#This Row],[Peso Expedido]]</f>
        <v>-142.19999999999999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5383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32.4</v>
      </c>
      <c r="S794" s="18">
        <f t="shared" si="153"/>
        <v>32.4</v>
      </c>
      <c r="T794" s="19">
        <f t="shared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>IFERROR(Tabela1[[#This Row],[QIANTIDADE EXPEDIDA]]*Tabela1[[#This Row],[PESO UNI]],"")</f>
        <v>16.2</v>
      </c>
      <c r="Y794" s="14">
        <f t="shared" si="155"/>
        <v>-2</v>
      </c>
      <c r="Z794" s="20">
        <f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5383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2.4</v>
      </c>
      <c r="S795" s="18">
        <f t="shared" si="153"/>
        <v>2.4</v>
      </c>
      <c r="T795" s="19">
        <f t="shared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>IFERROR(Tabela1[[#This Row],[QIANTIDADE EXPEDIDA]]*Tabela1[[#This Row],[PESO UNI]],"")</f>
        <v>2.4</v>
      </c>
      <c r="Y795" s="14">
        <f t="shared" si="155"/>
        <v>0</v>
      </c>
      <c r="Z795" s="20">
        <f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5383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24</v>
      </c>
      <c r="S796" s="18">
        <f t="shared" si="153"/>
        <v>24</v>
      </c>
      <c r="T796" s="19">
        <f t="shared" si="154"/>
        <v>0</v>
      </c>
      <c r="U796" s="16">
        <f>IFERROR(SUMIF('LISTA DE EMBARQUE'!B:B,MICRO!E:E,'LISTA DE EMBARQUE'!G:G),"")</f>
        <v>4</v>
      </c>
      <c r="V796" s="12">
        <f>IFERROR(VLOOKUP(Tabela1[[#This Row],[COD.MDE]],'LISTA DE EMBARQUE'!B:L,11,0),"")</f>
        <v>7</v>
      </c>
      <c r="W796" s="13">
        <f>IFERROR(VLOOKUP(Tabela1[[#This Row],[COD.MDE]],'LISTA DE EMBARQUE'!B:M,12,0),"")</f>
        <v>46280</v>
      </c>
      <c r="X796" s="14">
        <f>IFERROR(Tabela1[[#This Row],[QIANTIDADE EXPEDIDA]]*Tabela1[[#This Row],[PESO UNI]],"")</f>
        <v>24</v>
      </c>
      <c r="Y796" s="14">
        <f t="shared" si="155"/>
        <v>0</v>
      </c>
      <c r="Z796" s="20">
        <f>Tabela1[[#This Row],[PESO TOTAL]]-Tabela1[[#This Row],[Peso Expedido]]</f>
        <v>0</v>
      </c>
      <c r="AA796" s="17">
        <v>1</v>
      </c>
      <c r="AB796" s="33"/>
      <c r="AC796" s="33">
        <v>1</v>
      </c>
      <c r="AD796" s="33">
        <v>1</v>
      </c>
      <c r="AE796" s="33">
        <v>1</v>
      </c>
      <c r="AF796" s="33">
        <v>1</v>
      </c>
      <c r="AG796" s="33">
        <v>1</v>
      </c>
      <c r="AH796" s="33">
        <v>1</v>
      </c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5383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218.4</v>
      </c>
      <c r="S797" s="18">
        <f t="shared" si="153"/>
        <v>218.4</v>
      </c>
      <c r="T797" s="19">
        <f t="shared" si="154"/>
        <v>0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1</v>
      </c>
      <c r="AB797" s="33"/>
      <c r="AC797" s="33">
        <v>1</v>
      </c>
      <c r="AD797" s="33">
        <v>1</v>
      </c>
      <c r="AE797" s="33">
        <v>1</v>
      </c>
      <c r="AF797" s="33">
        <v>1</v>
      </c>
      <c r="AG797" s="33">
        <v>1</v>
      </c>
      <c r="AH797" s="33">
        <v>1</v>
      </c>
      <c r="AI797" s="33" t="s">
        <v>4412</v>
      </c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5383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5383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5383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5383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5383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5383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5383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5383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558.4</v>
      </c>
      <c r="S805" s="18">
        <f t="shared" si="153"/>
        <v>558.4</v>
      </c>
      <c r="T805" s="19">
        <f t="shared" si="154"/>
        <v>0</v>
      </c>
      <c r="U805" s="16">
        <f>IFERROR(SUMIF('LISTA DE EMBARQUE'!B:B,MICRO!E:E,'LISTA DE EMBARQUE'!G:G),"")</f>
        <v>4</v>
      </c>
      <c r="V805" s="12">
        <f>IFERROR(VLOOKUP(Tabela1[[#This Row],[COD.MDE]],'LISTA DE EMBARQUE'!B:L,11,0),"")</f>
        <v>7</v>
      </c>
      <c r="W805" s="13">
        <f>IFERROR(VLOOKUP(Tabela1[[#This Row],[COD.MDE]],'LISTA DE EMBARQUE'!B:M,12,0),"")</f>
        <v>46280</v>
      </c>
      <c r="X805" s="14">
        <f>IFERROR(Tabela1[[#This Row],[QIANTIDADE EXPEDIDA]]*Tabela1[[#This Row],[PESO UNI]],"")</f>
        <v>279.2</v>
      </c>
      <c r="Y805" s="14">
        <f t="shared" si="155"/>
        <v>-4</v>
      </c>
      <c r="Z805" s="20">
        <f>Tabela1[[#This Row],[PESO TOTAL]]-Tabela1[[#This Row],[Peso Expedido]]</f>
        <v>279.2</v>
      </c>
      <c r="AA805" s="17">
        <v>1</v>
      </c>
      <c r="AB805" s="33"/>
      <c r="AC805" s="33">
        <v>1</v>
      </c>
      <c r="AD805" s="33">
        <v>1</v>
      </c>
      <c r="AE805" s="33">
        <v>1</v>
      </c>
      <c r="AF805" s="33">
        <v>1</v>
      </c>
      <c r="AG805" s="33">
        <v>1</v>
      </c>
      <c r="AH805" s="33">
        <v>0.5</v>
      </c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>Tabela1[[#This Row],[PESO UNI]]*Tabela1[[#This Row],[QTE]]</f>
        <v>1297.5999999999999</v>
      </c>
      <c r="I806" s="7" t="s">
        <v>5383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1297.5999999999999</v>
      </c>
      <c r="S806" s="18">
        <f t="shared" si="153"/>
        <v>1297.5999999999999</v>
      </c>
      <c r="T806" s="19">
        <f t="shared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>IFERROR(Tabela1[[#This Row],[QIANTIDADE EXPEDIDA]]*Tabela1[[#This Row],[PESO UNI]],"")</f>
        <v>1297.5999999999999</v>
      </c>
      <c r="Y806" s="14">
        <f t="shared" si="155"/>
        <v>0</v>
      </c>
      <c r="Z806" s="20">
        <f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5383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9.6</v>
      </c>
      <c r="S807" s="18">
        <f t="shared" ref="S807:S833" si="158">IFERROR(H807*AG807,"")</f>
        <v>9.6</v>
      </c>
      <c r="T807" s="19">
        <f t="shared" ref="T807:T833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>IFERROR(Tabela1[[#This Row],[QIANTIDADE EXPEDIDA]]*Tabela1[[#This Row],[PESO UNI]],"")</f>
        <v>9.6</v>
      </c>
      <c r="Y807" s="14">
        <f t="shared" ref="Y807:Y833" si="160">U807-C807</f>
        <v>0</v>
      </c>
      <c r="Z807" s="20">
        <f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5383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89.6</v>
      </c>
      <c r="S808" s="18">
        <f t="shared" si="158"/>
        <v>89.6</v>
      </c>
      <c r="T808" s="19">
        <f t="shared" si="159"/>
        <v>0</v>
      </c>
      <c r="U808" s="16">
        <f>IFERROR(SUMIF('LISTA DE EMBARQUE'!B:B,MICRO!E:E,'LISTA DE EMBARQUE'!G:G),"")</f>
        <v>16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>IFERROR(Tabela1[[#This Row],[QIANTIDADE EXPEDIDA]]*Tabela1[[#This Row],[PESO UNI]],"")</f>
        <v>179.2</v>
      </c>
      <c r="Y808" s="14">
        <f t="shared" si="160"/>
        <v>8</v>
      </c>
      <c r="Z808" s="20">
        <f>Tabela1[[#This Row],[PESO TOTAL]]-Tabela1[[#This Row],[Peso Expedido]]</f>
        <v>-89.6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5383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96</v>
      </c>
      <c r="S809" s="18">
        <f t="shared" si="158"/>
        <v>96</v>
      </c>
      <c r="T809" s="19">
        <f t="shared" si="159"/>
        <v>0</v>
      </c>
      <c r="U809" s="16">
        <f>IFERROR(SUMIF('LISTA DE EMBARQUE'!B:B,MICRO!E:E,'LISTA DE EMBARQUE'!G:G),"")</f>
        <v>16</v>
      </c>
      <c r="V809" s="12">
        <f>IFERROR(VLOOKUP(Tabela1[[#This Row],[COD.MDE]],'LISTA DE EMBARQUE'!B:L,11,0),"")</f>
        <v>7</v>
      </c>
      <c r="W809" s="13">
        <f>IFERROR(VLOOKUP(Tabela1[[#This Row],[COD.MDE]],'LISTA DE EMBARQUE'!B:M,12,0),"")</f>
        <v>46280</v>
      </c>
      <c r="X809" s="14">
        <f>IFERROR(Tabela1[[#This Row],[QIANTIDADE EXPEDIDA]]*Tabela1[[#This Row],[PESO UNI]],"")</f>
        <v>96</v>
      </c>
      <c r="Y809" s="14">
        <f t="shared" si="160"/>
        <v>0</v>
      </c>
      <c r="Z809" s="20">
        <f>Tabela1[[#This Row],[PESO TOTAL]]-Tabela1[[#This Row],[Peso Expedido]]</f>
        <v>0</v>
      </c>
      <c r="AA809" s="17">
        <v>1</v>
      </c>
      <c r="AB809" s="33"/>
      <c r="AC809" s="33">
        <v>1</v>
      </c>
      <c r="AD809" s="33">
        <v>1</v>
      </c>
      <c r="AE809" s="33">
        <v>1</v>
      </c>
      <c r="AF809" s="33">
        <v>1</v>
      </c>
      <c r="AG809" s="33">
        <v>1</v>
      </c>
      <c r="AH809" s="33">
        <v>1</v>
      </c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5383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5383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181</v>
      </c>
      <c r="S811" s="18">
        <f t="shared" si="158"/>
        <v>181</v>
      </c>
      <c r="T811" s="19">
        <f t="shared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>IFERROR(Tabela1[[#This Row],[QIANTIDADE EXPEDIDA]]*Tabela1[[#This Row],[PESO UNI]],"")</f>
        <v>181</v>
      </c>
      <c r="Y811" s="14">
        <f t="shared" si="160"/>
        <v>0</v>
      </c>
      <c r="Z811" s="20">
        <f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5383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32.4</v>
      </c>
      <c r="S812" s="18">
        <f t="shared" si="158"/>
        <v>32.4</v>
      </c>
      <c r="T812" s="19">
        <f t="shared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>IFERROR(Tabela1[[#This Row],[QIANTIDADE EXPEDIDA]]*Tabela1[[#This Row],[PESO UNI]],"")</f>
        <v>16.2</v>
      </c>
      <c r="Y812" s="14">
        <f t="shared" si="160"/>
        <v>-2</v>
      </c>
      <c r="Z812" s="20">
        <f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5383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2.4</v>
      </c>
      <c r="S813" s="18">
        <f t="shared" si="158"/>
        <v>2.4</v>
      </c>
      <c r="T813" s="19">
        <f t="shared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>IFERROR(Tabela1[[#This Row],[QIANTIDADE EXPEDIDA]]*Tabela1[[#This Row],[PESO UNI]],"")</f>
        <v>2.4</v>
      </c>
      <c r="Y813" s="14">
        <f t="shared" si="160"/>
        <v>0</v>
      </c>
      <c r="Z813" s="20">
        <f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5383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22.4</v>
      </c>
      <c r="S814" s="18">
        <f t="shared" si="158"/>
        <v>22.4</v>
      </c>
      <c r="T814" s="19">
        <f t="shared" si="159"/>
        <v>0</v>
      </c>
      <c r="U814" s="16">
        <f>IFERROR(SUMIF('LISTA DE EMBARQUE'!B:B,MICRO!E:E,'LISTA DE EMBARQUE'!G:G),"")</f>
        <v>4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>IFERROR(Tabela1[[#This Row],[QIANTIDADE EXPEDIDA]]*Tabela1[[#This Row],[PESO UNI]],"")</f>
        <v>44.8</v>
      </c>
      <c r="Y814" s="14">
        <f t="shared" si="160"/>
        <v>2</v>
      </c>
      <c r="Z814" s="20">
        <f>Tabela1[[#This Row],[PESO TOTAL]]-Tabela1[[#This Row],[Peso Expedido]]</f>
        <v>-22.4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5383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6.8</v>
      </c>
      <c r="S815" s="18">
        <f t="shared" si="158"/>
        <v>6.8</v>
      </c>
      <c r="T815" s="19">
        <f t="shared" si="159"/>
        <v>0</v>
      </c>
      <c r="U815" s="16">
        <f>IFERROR(SUMIF('LISTA DE EMBARQUE'!B:B,MICRO!E:E,'LISTA DE EMBARQUE'!G:G),"")</f>
        <v>2</v>
      </c>
      <c r="V815" s="12">
        <f>IFERROR(VLOOKUP(Tabela1[[#This Row],[COD.MDE]],'LISTA DE EMBARQUE'!B:L,11,0),"")</f>
        <v>7</v>
      </c>
      <c r="W815" s="13">
        <f>IFERROR(VLOOKUP(Tabela1[[#This Row],[COD.MDE]],'LISTA DE EMBARQUE'!B:M,12,0),"")</f>
        <v>46280</v>
      </c>
      <c r="X815" s="14">
        <f>IFERROR(Tabela1[[#This Row],[QIANTIDADE EXPEDIDA]]*Tabela1[[#This Row],[PESO UNI]],"")</f>
        <v>6.8</v>
      </c>
      <c r="Y815" s="14">
        <f t="shared" si="160"/>
        <v>0</v>
      </c>
      <c r="Z815" s="20">
        <f>Tabela1[[#This Row],[PESO TOTAL]]-Tabela1[[#This Row],[Peso Expedido]]</f>
        <v>0</v>
      </c>
      <c r="AA815" s="17">
        <v>1</v>
      </c>
      <c r="AB815" s="33"/>
      <c r="AC815" s="33">
        <v>1</v>
      </c>
      <c r="AD815" s="33">
        <v>1</v>
      </c>
      <c r="AE815" s="33">
        <v>1</v>
      </c>
      <c r="AF815" s="33">
        <v>1</v>
      </c>
      <c r="AG815" s="33">
        <v>1</v>
      </c>
      <c r="AH815" s="33">
        <v>1</v>
      </c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5383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12</v>
      </c>
      <c r="S816" s="18">
        <f t="shared" si="158"/>
        <v>12</v>
      </c>
      <c r="T816" s="19">
        <f t="shared" si="159"/>
        <v>0</v>
      </c>
      <c r="U816" s="16">
        <f>IFERROR(SUMIF('LISTA DE EMBARQUE'!B:B,MICRO!E:E,'LISTA DE EMBARQUE'!G:G),"")</f>
        <v>2</v>
      </c>
      <c r="V816" s="12">
        <f>IFERROR(VLOOKUP(Tabela1[[#This Row],[COD.MDE]],'LISTA DE EMBARQUE'!B:L,11,0),"")</f>
        <v>7</v>
      </c>
      <c r="W816" s="13">
        <f>IFERROR(VLOOKUP(Tabela1[[#This Row],[COD.MDE]],'LISTA DE EMBARQUE'!B:M,12,0),"")</f>
        <v>46280</v>
      </c>
      <c r="X816" s="14">
        <f>IFERROR(Tabela1[[#This Row],[QIANTIDADE EXPEDIDA]]*Tabela1[[#This Row],[PESO UNI]],"")</f>
        <v>12</v>
      </c>
      <c r="Y816" s="14">
        <f t="shared" si="160"/>
        <v>0</v>
      </c>
      <c r="Z816" s="20">
        <f>Tabela1[[#This Row],[PESO TOTAL]]-Tabela1[[#This Row],[Peso Expedido]]</f>
        <v>0</v>
      </c>
      <c r="AA816" s="17">
        <v>1</v>
      </c>
      <c r="AB816" s="33"/>
      <c r="AC816" s="33">
        <v>1</v>
      </c>
      <c r="AD816" s="33">
        <v>1</v>
      </c>
      <c r="AE816" s="33">
        <v>1</v>
      </c>
      <c r="AF816" s="33">
        <v>1</v>
      </c>
      <c r="AG816" s="33">
        <v>1</v>
      </c>
      <c r="AH816" s="33">
        <v>1</v>
      </c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5383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1</v>
      </c>
      <c r="V818" s="12">
        <f>IFERROR(VLOOKUP(Tabela1[[#This Row],[COD.MDE]],'LISTA DE EMBARQUE'!B:L,11,0),"")</f>
        <v>7</v>
      </c>
      <c r="W818" s="13">
        <f>IFERROR(VLOOKUP(Tabela1[[#This Row],[COD.MDE]],'LISTA DE EMBARQUE'!B:M,12,0),"")</f>
        <v>46280</v>
      </c>
      <c r="X818" s="14">
        <f>IFERROR(Tabela1[[#This Row],[QIANTIDADE EXPEDIDA]]*Tabela1[[#This Row],[PESO UNI]],"")</f>
        <v>715.7</v>
      </c>
      <c r="Y818" s="14">
        <f t="shared" si="160"/>
        <v>0</v>
      </c>
      <c r="Z818" s="20">
        <f>Tabela1[[#This Row],[PESO TOTAL]]-Tabela1[[#This Row],[Peso Expedido]]</f>
        <v>0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 t="s">
        <v>5488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1146.0999999999999</v>
      </c>
      <c r="S821" s="18">
        <f t="shared" si="158"/>
        <v>1146.0999999999999</v>
      </c>
      <c r="T821" s="19">
        <f t="shared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>IFERROR(Tabela1[[#This Row],[QIANTIDADE EXPEDIDA]]*Tabela1[[#This Row],[PESO UNI]],"")</f>
        <v>1146.0999999999999</v>
      </c>
      <c r="Y821" s="14">
        <f t="shared" si="160"/>
        <v>0</v>
      </c>
      <c r="Z821" s="20">
        <f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 t="s">
        <v>5281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 t="s">
        <v>5281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5483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5483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>Tabela1[[#This Row],[PESO UNI]]*Tabela1[[#This Row],[QTE]]</f>
        <v>376.1</v>
      </c>
      <c r="I826" s="7" t="s">
        <v>5483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94.025000000000006</v>
      </c>
      <c r="S826" s="18">
        <f t="shared" si="158"/>
        <v>0</v>
      </c>
      <c r="T826" s="19">
        <f t="shared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14.8</v>
      </c>
      <c r="Y834" s="14">
        <f t="shared" ref="Y834" si="164">U834-C834</f>
        <v>0</v>
      </c>
      <c r="Z834" s="20">
        <f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5415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5300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5300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670.6</v>
      </c>
      <c r="S839" s="18">
        <f t="shared" si="166"/>
        <v>670.6</v>
      </c>
      <c r="T839" s="19">
        <f t="shared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>IFERROR(Tabela1[[#This Row],[QIANTIDADE EXPEDIDA]]*Tabela1[[#This Row],[PESO UNI]],"")</f>
        <v>670.6</v>
      </c>
      <c r="Y839" s="14">
        <f t="shared" si="168"/>
        <v>0</v>
      </c>
      <c r="Z839" s="20">
        <f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 t="s">
        <v>5300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 t="s">
        <v>5300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3" si="169">IFERROR(H842*((AA842*0.25)+(AC842*0.25)+(AD842*0.225)+(AE842*0.225)+(AF842*0.05)),"")</f>
        <v>3.78</v>
      </c>
      <c r="S842" s="18">
        <f t="shared" ref="S842:S853" si="170">IFERROR(H842*AG842,"")</f>
        <v>3.78</v>
      </c>
      <c r="T842" s="19">
        <f t="shared" ref="T842:T853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3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customHeight="1" x14ac:dyDescent="0.25">
      <c r="A843" s="1" t="s">
        <v>4978</v>
      </c>
      <c r="B843" s="21"/>
      <c r="C843" s="1">
        <v>32</v>
      </c>
      <c r="D843" s="1" t="s">
        <v>5412</v>
      </c>
      <c r="E843" s="7">
        <v>4496</v>
      </c>
      <c r="F843" s="7">
        <v>12</v>
      </c>
      <c r="G843" s="1">
        <v>18.399999999999999</v>
      </c>
      <c r="H843" s="34">
        <f>Tabela1[[#This Row],[PESO UNI]]*Tabela1[[#This Row],[QTE]]</f>
        <v>588.79999999999995</v>
      </c>
      <c r="I843" s="7" t="s">
        <v>5717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>IFERROR(H843*((AA843*0.25)+(AC843*0.25)+(AD843*0.225)+(AE843*0.225)+(AF843*0.05)),"")</f>
        <v>264.96000000000004</v>
      </c>
      <c r="S843" s="18">
        <f>IFERROR(H843*AG843,"")</f>
        <v>235.51999999999998</v>
      </c>
      <c r="T843" s="19">
        <f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>U843-C843</f>
        <v>-32</v>
      </c>
      <c r="Z843" s="20">
        <f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customHeight="1" x14ac:dyDescent="0.25">
      <c r="A844" s="1" t="s">
        <v>4978</v>
      </c>
      <c r="B844" s="21"/>
      <c r="C844" s="1">
        <v>64</v>
      </c>
      <c r="D844" s="1" t="s">
        <v>5413</v>
      </c>
      <c r="E844" s="7">
        <v>4748</v>
      </c>
      <c r="F844" s="7">
        <v>12</v>
      </c>
      <c r="G844" s="1">
        <v>40</v>
      </c>
      <c r="H844" s="34">
        <f>Tabela1[[#This Row],[PESO UNI]]*Tabela1[[#This Row],[QTE]]</f>
        <v>2560</v>
      </c>
      <c r="I844" s="7" t="s">
        <v>5411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-64</v>
      </c>
      <c r="R844" s="18">
        <f>IFERROR(H844*((AA844*0.25)+(AC844*0.25)+(AD844*0.225)+(AE844*0.225)+(AF844*0.05)),"")</f>
        <v>1152.0000000000002</v>
      </c>
      <c r="S844" s="18">
        <f>IFERROR(H844*AG844,"")</f>
        <v>1024</v>
      </c>
      <c r="T844" s="19">
        <f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>U844-C844</f>
        <v>-64</v>
      </c>
      <c r="Z844" s="20">
        <f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>Tabela1[[#This Row],[PESO UNI]]*Tabela1[[#This Row],[QTE]]</f>
        <v>202.39999999999998</v>
      </c>
      <c r="I845" s="7" t="s">
        <v>5717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-11</v>
      </c>
      <c r="R845" s="18">
        <f>IFERROR(H845*((AA845*0.25)+(AC845*0.25)+(AD845*0.225)+(AE845*0.225)+(AF845*0.05)),"")</f>
        <v>70.839999999999989</v>
      </c>
      <c r="S845" s="18">
        <f>IFERROR(H845*AG845,"")</f>
        <v>70.839999999999989</v>
      </c>
      <c r="T845" s="19">
        <f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>U845-C845</f>
        <v>-11</v>
      </c>
      <c r="Z845" s="20">
        <f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customHeight="1" x14ac:dyDescent="0.25">
      <c r="A846" s="1" t="s">
        <v>4979</v>
      </c>
      <c r="B846" s="21"/>
      <c r="C846" s="1">
        <v>22</v>
      </c>
      <c r="D846" s="1" t="s">
        <v>5414</v>
      </c>
      <c r="E846" s="7">
        <v>4749</v>
      </c>
      <c r="F846" s="7">
        <v>12</v>
      </c>
      <c r="G846" s="1">
        <v>20</v>
      </c>
      <c r="H846" s="34">
        <f>Tabela1[[#This Row],[PESO UNI]]*Tabela1[[#This Row],[QTE]]</f>
        <v>440</v>
      </c>
      <c r="I846" s="7" t="s">
        <v>5411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-22</v>
      </c>
      <c r="R846" s="18">
        <f>IFERROR(H846*((AA846*0.25)+(AC846*0.25)+(AD846*0.225)+(AE846*0.225)+(AF846*0.05)),"")</f>
        <v>154</v>
      </c>
      <c r="S846" s="18">
        <f>IFERROR(H846*AG846,"")</f>
        <v>154</v>
      </c>
      <c r="T846" s="19">
        <f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>U846-C846</f>
        <v>-22</v>
      </c>
      <c r="Z846" s="20">
        <f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>Tabela1[[#This Row],[PESO UNI]]*Tabela1[[#This Row],[QTE]]</f>
        <v>129.19999999999999</v>
      </c>
      <c r="I847" s="7" t="s">
        <v>5411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58.14</v>
      </c>
      <c r="S847" s="18">
        <f t="shared" si="170"/>
        <v>51.68</v>
      </c>
      <c r="T847" s="19">
        <f t="shared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>Tabela1[[#This Row],[PESO UNI]]*Tabela1[[#This Row],[QTE]]</f>
        <v>115.2</v>
      </c>
      <c r="I848" s="7" t="s">
        <v>5411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-4</v>
      </c>
      <c r="R848" s="18">
        <f t="shared" si="169"/>
        <v>51.840000000000011</v>
      </c>
      <c r="S848" s="18">
        <f t="shared" si="170"/>
        <v>46.080000000000005</v>
      </c>
      <c r="T848" s="19">
        <f t="shared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-4</v>
      </c>
      <c r="Z848" s="20">
        <f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>Tabela1[[#This Row],[PESO UNI]]*Tabela1[[#This Row],[QTE]]</f>
        <v>115.2</v>
      </c>
      <c r="I849" s="7" t="s">
        <v>5411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 t="shared" si="169"/>
        <v>51.840000000000011</v>
      </c>
      <c r="S849" s="18">
        <f t="shared" si="170"/>
        <v>46.080000000000005</v>
      </c>
      <c r="T849" s="19">
        <f t="shared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>Tabela1[[#This Row],[PESO UNI]]*Tabela1[[#This Row],[QTE]]</f>
        <v>110.4</v>
      </c>
      <c r="I850" s="7" t="s">
        <v>5411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-8</v>
      </c>
      <c r="R850" s="18">
        <f t="shared" si="169"/>
        <v>49.680000000000007</v>
      </c>
      <c r="S850" s="18">
        <f t="shared" si="170"/>
        <v>44.160000000000004</v>
      </c>
      <c r="T850" s="19">
        <f t="shared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-8</v>
      </c>
      <c r="Z850" s="20">
        <f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>Tabela1[[#This Row],[PESO UNI]]*Tabela1[[#This Row],[QTE]]</f>
        <v>73.599999999999994</v>
      </c>
      <c r="I851" s="7" t="s">
        <v>5717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-4</v>
      </c>
      <c r="R851" s="18">
        <f>IFERROR(H851*((AA851*0.25)+(AC851*0.25)+(AD851*0.225)+(AE851*0.225)+(AF851*0.05)),"")</f>
        <v>33.120000000000005</v>
      </c>
      <c r="S851" s="18">
        <f t="shared" si="170"/>
        <v>29.439999999999998</v>
      </c>
      <c r="T851" s="19">
        <f t="shared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-4</v>
      </c>
      <c r="Z851" s="20">
        <f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>Tabela1[[#This Row],[PESO UNI]]*Tabela1[[#This Row],[QTE]]</f>
        <v>228.8</v>
      </c>
      <c r="I852" s="7" t="s">
        <v>5717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-8</v>
      </c>
      <c r="R852" s="18">
        <f>IFERROR(H852*((AA852*0.25)+(AC852*0.25)+(AD852*0.225)+(AE852*0.225)+(AF852*0.05)),"")</f>
        <v>102.96000000000002</v>
      </c>
      <c r="S852" s="18">
        <f t="shared" si="170"/>
        <v>91.52000000000001</v>
      </c>
      <c r="T852" s="19">
        <f t="shared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si="172"/>
        <v>-8</v>
      </c>
      <c r="Z852" s="20">
        <f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>Tabela1[[#This Row],[PESO UNI]]*Tabela1[[#This Row],[QTE]]</f>
        <v>27</v>
      </c>
      <c r="I853" s="7" t="s">
        <v>5717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69"/>
        <v>12.150000000000002</v>
      </c>
      <c r="S853" s="18">
        <f t="shared" si="170"/>
        <v>10.8</v>
      </c>
      <c r="T853" s="19">
        <f t="shared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2"/>
        <v>-1</v>
      </c>
      <c r="Z853" s="20">
        <f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>Tabela1[[#This Row],[PESO UNI]]*Tabela1[[#This Row],[QTE]]</f>
        <v>98</v>
      </c>
      <c r="I854" s="7" t="s">
        <v>5716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>Tabela1[[#This Row],[QTDE/ Fabricação]]-Tabela1[[#This Row],[QTE]]</f>
        <v>-14</v>
      </c>
      <c r="R854" s="18">
        <f t="shared" ref="R854:R869" si="173">IFERROR(H854*((AA854*0.25)+(AC854*0.25)+(AD854*0.225)+(AE854*0.225)+(AF854*0.05)),"")</f>
        <v>34.299999999999997</v>
      </c>
      <c r="S854" s="18">
        <f t="shared" ref="S854:S869" si="174">IFERROR(H854*AG854,"")</f>
        <v>34.299999999999997</v>
      </c>
      <c r="T854" s="19">
        <f t="shared" ref="T854:T869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ref="Y854:Y869" si="176">U854-C854</f>
        <v>-14</v>
      </c>
      <c r="Z854" s="20">
        <f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-1</v>
      </c>
      <c r="R855" s="18">
        <f t="shared" si="173"/>
        <v>159.84</v>
      </c>
      <c r="S855" s="18">
        <f t="shared" si="174"/>
        <v>0</v>
      </c>
      <c r="T855" s="19">
        <f t="shared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-1</v>
      </c>
      <c r="Z855" s="20">
        <f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>Tabela1[[#This Row],[QTDE/ Fabricação]]-Tabela1[[#This Row],[QTE]]</f>
        <v>-2</v>
      </c>
      <c r="R856" s="18">
        <f t="shared" si="173"/>
        <v>36.54</v>
      </c>
      <c r="S856" s="18">
        <f t="shared" si="174"/>
        <v>0</v>
      </c>
      <c r="T856" s="19">
        <f t="shared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-2</v>
      </c>
      <c r="Z856" s="20">
        <f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95.76</v>
      </c>
      <c r="S857" s="18">
        <f t="shared" si="174"/>
        <v>0</v>
      </c>
      <c r="T857" s="19">
        <f t="shared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>Tabela1[[#This Row],[PESO UNI]]*Tabela1[[#This Row],[QTE]]</f>
        <v>435.1</v>
      </c>
      <c r="I858" s="7" t="s">
        <v>5300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108.77500000000001</v>
      </c>
      <c r="S858" s="18">
        <f t="shared" si="174"/>
        <v>0</v>
      </c>
      <c r="T858" s="19">
        <f t="shared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39.24</v>
      </c>
      <c r="S859" s="18">
        <f t="shared" si="174"/>
        <v>0</v>
      </c>
      <c r="T859" s="19">
        <f t="shared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>Tabela1[[#This Row],[QTDE/ Fabricação]]-Tabela1[[#This Row],[QTE]]</f>
        <v>-1</v>
      </c>
      <c r="R860" s="18">
        <f t="shared" si="173"/>
        <v>32.4</v>
      </c>
      <c r="S860" s="18">
        <f t="shared" si="174"/>
        <v>0</v>
      </c>
      <c r="T860" s="19">
        <f t="shared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-1</v>
      </c>
      <c r="Z860" s="20">
        <f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5.67</v>
      </c>
      <c r="S861" s="18">
        <f t="shared" si="174"/>
        <v>0</v>
      </c>
      <c r="T861" s="19">
        <f t="shared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>Tabela1[[#This Row],[QTDE/ Fabricação]]-Tabela1[[#This Row],[QTE]]</f>
        <v>-2</v>
      </c>
      <c r="R862" s="7">
        <f t="shared" si="173"/>
        <v>10.4</v>
      </c>
      <c r="S862" s="7">
        <f t="shared" si="174"/>
        <v>10.4</v>
      </c>
      <c r="T862" s="7">
        <f t="shared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>IFERROR(Tabela1[[#This Row],[QIANTIDADE EXPEDIDA]]*Tabela1[[#This Row],[PESO UNI]],"")</f>
        <v>10.4</v>
      </c>
      <c r="Y862" s="14">
        <f t="shared" si="176"/>
        <v>0</v>
      </c>
      <c r="Z862" s="20">
        <f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-2</v>
      </c>
      <c r="R863" s="18">
        <f t="shared" si="173"/>
        <v>48.330000000000005</v>
      </c>
      <c r="S863" s="18">
        <f t="shared" si="174"/>
        <v>0</v>
      </c>
      <c r="T863" s="19">
        <f t="shared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-2</v>
      </c>
      <c r="Z863" s="20">
        <f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76.59</v>
      </c>
      <c r="S864" s="18">
        <f t="shared" si="174"/>
        <v>0</v>
      </c>
      <c r="T864" s="19">
        <f t="shared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-1</v>
      </c>
      <c r="R865" s="18">
        <f t="shared" si="173"/>
        <v>99.09</v>
      </c>
      <c r="S865" s="18">
        <f t="shared" si="174"/>
        <v>0</v>
      </c>
      <c r="T865" s="19">
        <f t="shared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-1</v>
      </c>
      <c r="Z865" s="20">
        <f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-1</v>
      </c>
      <c r="R866" s="18">
        <f t="shared" si="173"/>
        <v>99.09</v>
      </c>
      <c r="S866" s="18">
        <f t="shared" si="174"/>
        <v>0</v>
      </c>
      <c r="T866" s="19">
        <f t="shared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-1</v>
      </c>
      <c r="Z866" s="20">
        <f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>Tabela1[[#This Row],[QTDE/ Fabricação]]-Tabela1[[#This Row],[QTE]]</f>
        <v>-2</v>
      </c>
      <c r="R867" s="18">
        <f t="shared" si="173"/>
        <v>49.59</v>
      </c>
      <c r="S867" s="18">
        <f t="shared" si="174"/>
        <v>0</v>
      </c>
      <c r="T867" s="19">
        <f t="shared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-2</v>
      </c>
      <c r="Z867" s="20">
        <f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>Tabela1[[#This Row],[QTDE/ Fabricação]]-Tabela1[[#This Row],[QTE]]</f>
        <v>-2</v>
      </c>
      <c r="R868" s="18">
        <f t="shared" si="173"/>
        <v>62.1</v>
      </c>
      <c r="S868" s="18">
        <f t="shared" si="174"/>
        <v>0</v>
      </c>
      <c r="T868" s="19">
        <f t="shared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si="176"/>
        <v>-2</v>
      </c>
      <c r="Z868" s="20">
        <f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-6</v>
      </c>
      <c r="R869" s="18">
        <f t="shared" si="173"/>
        <v>90</v>
      </c>
      <c r="S869" s="18">
        <f t="shared" si="174"/>
        <v>90</v>
      </c>
      <c r="T869" s="19">
        <f t="shared" si="175"/>
        <v>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si="176"/>
        <v>-6</v>
      </c>
      <c r="Z869" s="20">
        <f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1</v>
      </c>
      <c r="AE869" s="33">
        <v>1</v>
      </c>
      <c r="AF869" s="33">
        <v>1</v>
      </c>
      <c r="AG869" s="33">
        <v>1</v>
      </c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>Tabela1[[#This Row],[QTDE/ Fabricação]]-Tabela1[[#This Row],[QTE]]</f>
        <v>-10</v>
      </c>
      <c r="R870" s="18">
        <f t="shared" ref="R870" si="177">IFERROR(H870*((AA870*0.25)+(AC870*0.25)+(AD870*0.225)+(AE870*0.225)+(AF870*0.05)),"")</f>
        <v>105</v>
      </c>
      <c r="S870" s="18">
        <f t="shared" ref="S870" si="178">IFERROR(H870*AG870,"")</f>
        <v>105</v>
      </c>
      <c r="T870" s="19">
        <f t="shared" ref="T870" si="179">IFERROR(S870-H870,"")</f>
        <v>0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ref="Y870" si="180">U870-C870</f>
        <v>-10</v>
      </c>
      <c r="Z870" s="20">
        <f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1</v>
      </c>
      <c r="AE870" s="33">
        <v>1</v>
      </c>
      <c r="AF870" s="33">
        <v>1</v>
      </c>
      <c r="AG870" s="33">
        <v>1</v>
      </c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>Tabela1[[#This Row],[QTDE/ Fabricação]]-Tabela1[[#This Row],[QTE]]</f>
        <v>-5</v>
      </c>
      <c r="R871" s="18">
        <f t="shared" ref="R871:R928" si="181">IFERROR(H871*((AA871*0.25)+(AC871*0.25)+(AD871*0.225)+(AE871*0.225)+(AF871*0.05)),"")</f>
        <v>175</v>
      </c>
      <c r="S871" s="18">
        <f t="shared" ref="S871:S928" si="182">IFERROR(H871*AG871,"")</f>
        <v>175</v>
      </c>
      <c r="T871" s="19">
        <f t="shared" ref="T871:T928" si="183">IFERROR(S871-H871,"")</f>
        <v>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ref="Y871:Y928" si="184">U871-C871</f>
        <v>-5</v>
      </c>
      <c r="Z871" s="20">
        <f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1</v>
      </c>
      <c r="AE871" s="33">
        <v>1</v>
      </c>
      <c r="AF871" s="33">
        <v>1</v>
      </c>
      <c r="AG871" s="33">
        <v>1</v>
      </c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>Tabela1[[#This Row],[QTDE/ Fabricação]]-Tabela1[[#This Row],[QTE]]</f>
        <v>-710</v>
      </c>
      <c r="R872" s="18">
        <f t="shared" si="181"/>
        <v>0</v>
      </c>
      <c r="S872" s="18">
        <f t="shared" si="182"/>
        <v>0</v>
      </c>
      <c r="T872" s="19">
        <f t="shared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-710</v>
      </c>
      <c r="Z872" s="20">
        <f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customHeight="1" x14ac:dyDescent="0.25">
      <c r="A873" s="19" t="s">
        <v>414</v>
      </c>
      <c r="B873" s="19"/>
      <c r="C873" s="240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>Tabela1[[#This Row],[QTDE/ Fabricação]]-Tabela1[[#This Row],[QTE]]</f>
        <v>-10</v>
      </c>
      <c r="R873" s="19">
        <f t="shared" si="181"/>
        <v>50</v>
      </c>
      <c r="S873" s="19">
        <f t="shared" si="182"/>
        <v>50</v>
      </c>
      <c r="T873" s="19">
        <f t="shared" si="183"/>
        <v>0</v>
      </c>
      <c r="U873" s="19">
        <f>IFERROR(SUMIF('LISTA DE EMBARQUE'!B:B,MICRO!E:E,'LISTA DE EMBARQUE'!G:G),"")</f>
        <v>10</v>
      </c>
      <c r="V873" s="19">
        <f>IFERROR(VLOOKUP(Tabela1[[#This Row],[COD.MDE]],'LISTA DE EMBARQUE'!B:L,11,0),"")</f>
        <v>1</v>
      </c>
      <c r="W873" s="239">
        <f>IFERROR(VLOOKUP(Tabela1[[#This Row],[COD.MDE]],'LISTA DE EMBARQUE'!B:M,12,0),"")</f>
        <v>46273</v>
      </c>
      <c r="X873" s="19">
        <f>IFERROR(Tabela1[[#This Row],[QIANTIDADE EXPEDIDA]]*Tabela1[[#This Row],[PESO UNI]],"")</f>
        <v>50</v>
      </c>
      <c r="Y873" s="14">
        <f t="shared" si="184"/>
        <v>0</v>
      </c>
      <c r="Z873" s="20">
        <f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297.8</v>
      </c>
      <c r="S874" s="18">
        <f t="shared" si="182"/>
        <v>297.8</v>
      </c>
      <c r="T874" s="19">
        <f t="shared" si="183"/>
        <v>0</v>
      </c>
      <c r="U874" s="16">
        <f>IFERROR(SUMIF('LISTA DE EMBARQUE'!B:B,MICRO!E:E,'LISTA DE EMBARQUE'!G:G),"")</f>
        <v>1</v>
      </c>
      <c r="V874" s="12">
        <f>IFERROR(VLOOKUP(Tabela1[[#This Row],[COD.MDE]],'LISTA DE EMBARQUE'!B:L,11,0),"")</f>
        <v>8</v>
      </c>
      <c r="W874" s="13">
        <f>IFERROR(VLOOKUP(Tabela1[[#This Row],[COD.MDE]],'LISTA DE EMBARQUE'!B:M,12,0),"")</f>
        <v>46280</v>
      </c>
      <c r="X874" s="14">
        <f>IFERROR(Tabela1[[#This Row],[QIANTIDADE EXPEDIDA]]*Tabela1[[#This Row],[PESO UNI]],"")</f>
        <v>297.8</v>
      </c>
      <c r="Y874" s="14">
        <f t="shared" si="184"/>
        <v>0</v>
      </c>
      <c r="Z874" s="20">
        <f>Tabela1[[#This Row],[PESO TOTAL]]-Tabela1[[#This Row],[Peso Expedido]]</f>
        <v>0</v>
      </c>
      <c r="AA874" s="17">
        <v>1</v>
      </c>
      <c r="AB874" s="33"/>
      <c r="AC874" s="33">
        <v>1</v>
      </c>
      <c r="AD874" s="33">
        <v>1</v>
      </c>
      <c r="AE874" s="33">
        <v>1</v>
      </c>
      <c r="AF874" s="33">
        <v>1</v>
      </c>
      <c r="AG874" s="33">
        <v>1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>Tabela1[[#This Row],[QTDE/ Fabricação]]-Tabela1[[#This Row],[QTE]]</f>
        <v>-1</v>
      </c>
      <c r="R875" s="18">
        <f t="shared" si="181"/>
        <v>297.8</v>
      </c>
      <c r="S875" s="18">
        <f t="shared" si="182"/>
        <v>297.8</v>
      </c>
      <c r="T875" s="19">
        <f t="shared" si="183"/>
        <v>0</v>
      </c>
      <c r="U875" s="16">
        <f>IFERROR(SUMIF('LISTA DE EMBARQUE'!B:B,MICRO!E:E,'LISTA DE EMBARQUE'!G:G),"")</f>
        <v>1</v>
      </c>
      <c r="V875" s="12">
        <f>IFERROR(VLOOKUP(Tabela1[[#This Row],[COD.MDE]],'LISTA DE EMBARQUE'!B:L,11,0),"")</f>
        <v>8</v>
      </c>
      <c r="W875" s="13">
        <f>IFERROR(VLOOKUP(Tabela1[[#This Row],[COD.MDE]],'LISTA DE EMBARQUE'!B:M,12,0),"")</f>
        <v>46280</v>
      </c>
      <c r="X875" s="14">
        <f>IFERROR(Tabela1[[#This Row],[QIANTIDADE EXPEDIDA]]*Tabela1[[#This Row],[PESO UNI]],"")</f>
        <v>297.8</v>
      </c>
      <c r="Y875" s="14">
        <f t="shared" si="184"/>
        <v>0</v>
      </c>
      <c r="Z875" s="20">
        <f>Tabela1[[#This Row],[PESO TOTAL]]-Tabela1[[#This Row],[Peso Expedido]]</f>
        <v>0</v>
      </c>
      <c r="AA875" s="17">
        <v>1</v>
      </c>
      <c r="AB875" s="33"/>
      <c r="AC875" s="33">
        <v>1</v>
      </c>
      <c r="AD875" s="33">
        <v>1</v>
      </c>
      <c r="AE875" s="33">
        <v>1</v>
      </c>
      <c r="AF875" s="33">
        <v>1</v>
      </c>
      <c r="AG875" s="33">
        <v>1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>Tabela1[[#This Row],[QTDE/ Fabricação]]-Tabela1[[#This Row],[QTE]]</f>
        <v>-1</v>
      </c>
      <c r="R876" s="18">
        <f t="shared" si="181"/>
        <v>886.6</v>
      </c>
      <c r="S876" s="18">
        <f t="shared" si="182"/>
        <v>886.6</v>
      </c>
      <c r="T876" s="19">
        <f t="shared" si="183"/>
        <v>0</v>
      </c>
      <c r="U876" s="16">
        <f>IFERROR(SUMIF('LISTA DE EMBARQUE'!B:B,MICRO!E:E,'LISTA DE EMBARQUE'!G:G),"")</f>
        <v>1</v>
      </c>
      <c r="V876" s="12">
        <f>IFERROR(VLOOKUP(Tabela1[[#This Row],[COD.MDE]],'LISTA DE EMBARQUE'!B:L,11,0),"")</f>
        <v>8</v>
      </c>
      <c r="W876" s="13">
        <f>IFERROR(VLOOKUP(Tabela1[[#This Row],[COD.MDE]],'LISTA DE EMBARQUE'!B:M,12,0),"")</f>
        <v>46280</v>
      </c>
      <c r="X876" s="14">
        <f>IFERROR(Tabela1[[#This Row],[QIANTIDADE EXPEDIDA]]*Tabela1[[#This Row],[PESO UNI]],"")</f>
        <v>886.6</v>
      </c>
      <c r="Y876" s="14">
        <f t="shared" si="184"/>
        <v>0</v>
      </c>
      <c r="Z876" s="20">
        <f>Tabela1[[#This Row],[PESO TOTAL]]-Tabela1[[#This Row],[Peso Expedido]]</f>
        <v>0</v>
      </c>
      <c r="AA876" s="17">
        <v>1</v>
      </c>
      <c r="AB876" s="33"/>
      <c r="AC876" s="33">
        <v>1</v>
      </c>
      <c r="AD876" s="33">
        <v>1</v>
      </c>
      <c r="AE876" s="33">
        <v>1</v>
      </c>
      <c r="AF876" s="33">
        <v>1</v>
      </c>
      <c r="AG876" s="33">
        <v>1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>Tabela1[[#This Row],[QTDE/ Fabricação]]-Tabela1[[#This Row],[QTE]]</f>
        <v>-1</v>
      </c>
      <c r="R877" s="18">
        <f t="shared" si="181"/>
        <v>643.4</v>
      </c>
      <c r="S877" s="18">
        <f t="shared" si="182"/>
        <v>643.4</v>
      </c>
      <c r="T877" s="19">
        <f t="shared" si="183"/>
        <v>0</v>
      </c>
      <c r="U877" s="16">
        <f>IFERROR(SUMIF('LISTA DE EMBARQUE'!B:B,MICRO!E:E,'LISTA DE EMBARQUE'!G:G),"")</f>
        <v>1</v>
      </c>
      <c r="V877" s="12">
        <f>IFERROR(VLOOKUP(Tabela1[[#This Row],[COD.MDE]],'LISTA DE EMBARQUE'!B:L,11,0),"")</f>
        <v>8</v>
      </c>
      <c r="W877" s="13">
        <f>IFERROR(VLOOKUP(Tabela1[[#This Row],[COD.MDE]],'LISTA DE EMBARQUE'!B:M,12,0),"")</f>
        <v>46280</v>
      </c>
      <c r="X877" s="14">
        <f>IFERROR(Tabela1[[#This Row],[QIANTIDADE EXPEDIDA]]*Tabela1[[#This Row],[PESO UNI]],"")</f>
        <v>643.4</v>
      </c>
      <c r="Y877" s="14">
        <f t="shared" si="184"/>
        <v>0</v>
      </c>
      <c r="Z877" s="20">
        <f>Tabela1[[#This Row],[PESO TOTAL]]-Tabela1[[#This Row],[Peso Expedido]]</f>
        <v>0</v>
      </c>
      <c r="AA877" s="17">
        <v>1</v>
      </c>
      <c r="AB877" s="33"/>
      <c r="AC877" s="33">
        <v>1</v>
      </c>
      <c r="AD877" s="33">
        <v>1</v>
      </c>
      <c r="AE877" s="33">
        <v>1</v>
      </c>
      <c r="AF877" s="33">
        <v>1</v>
      </c>
      <c r="AG877" s="33">
        <v>1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>Tabela1[[#This Row],[QTDE/ Fabricação]]-Tabela1[[#This Row],[QTE]]</f>
        <v>-1</v>
      </c>
      <c r="R878" s="18">
        <f t="shared" si="181"/>
        <v>368.4</v>
      </c>
      <c r="S878" s="18">
        <f t="shared" si="182"/>
        <v>368.4</v>
      </c>
      <c r="T878" s="19">
        <f t="shared" si="183"/>
        <v>0</v>
      </c>
      <c r="U878" s="16">
        <f>IFERROR(SUMIF('LISTA DE EMBARQUE'!B:B,MICRO!E:E,'LISTA DE EMBARQUE'!G:G),"")</f>
        <v>1</v>
      </c>
      <c r="V878" s="12">
        <f>IFERROR(VLOOKUP(Tabela1[[#This Row],[COD.MDE]],'LISTA DE EMBARQUE'!B:L,11,0),"")</f>
        <v>8</v>
      </c>
      <c r="W878" s="13">
        <f>IFERROR(VLOOKUP(Tabela1[[#This Row],[COD.MDE]],'LISTA DE EMBARQUE'!B:M,12,0),"")</f>
        <v>46280</v>
      </c>
      <c r="X878" s="14">
        <f>IFERROR(Tabela1[[#This Row],[QIANTIDADE EXPEDIDA]]*Tabela1[[#This Row],[PESO UNI]],"")</f>
        <v>368.4</v>
      </c>
      <c r="Y878" s="14">
        <f t="shared" si="184"/>
        <v>0</v>
      </c>
      <c r="Z878" s="20">
        <f>Tabela1[[#This Row],[PESO TOTAL]]-Tabela1[[#This Row],[Peso Expedido]]</f>
        <v>0</v>
      </c>
      <c r="AA878" s="17">
        <v>1</v>
      </c>
      <c r="AB878" s="33"/>
      <c r="AC878" s="33">
        <v>1</v>
      </c>
      <c r="AD878" s="33">
        <v>1</v>
      </c>
      <c r="AE878" s="33">
        <v>1</v>
      </c>
      <c r="AF878" s="33">
        <v>1</v>
      </c>
      <c r="AG878" s="33">
        <v>1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>Tabela1[[#This Row],[QTDE/ Fabricação]]-Tabela1[[#This Row],[QTE]]</f>
        <v>-1</v>
      </c>
      <c r="R879" s="18">
        <f t="shared" si="181"/>
        <v>340.7</v>
      </c>
      <c r="S879" s="18">
        <f t="shared" si="182"/>
        <v>340.7</v>
      </c>
      <c r="T879" s="19">
        <f t="shared" si="183"/>
        <v>0</v>
      </c>
      <c r="U879" s="16">
        <f>IFERROR(SUMIF('LISTA DE EMBARQUE'!B:B,MICRO!E:E,'LISTA DE EMBARQUE'!G:G),"")</f>
        <v>1</v>
      </c>
      <c r="V879" s="12">
        <f>IFERROR(VLOOKUP(Tabela1[[#This Row],[COD.MDE]],'LISTA DE EMBARQUE'!B:L,11,0),"")</f>
        <v>8</v>
      </c>
      <c r="W879" s="13">
        <f>IFERROR(VLOOKUP(Tabela1[[#This Row],[COD.MDE]],'LISTA DE EMBARQUE'!B:M,12,0),"")</f>
        <v>46280</v>
      </c>
      <c r="X879" s="14">
        <f>IFERROR(Tabela1[[#This Row],[QIANTIDADE EXPEDIDA]]*Tabela1[[#This Row],[PESO UNI]],"")</f>
        <v>340.7</v>
      </c>
      <c r="Y879" s="14">
        <f t="shared" si="184"/>
        <v>0</v>
      </c>
      <c r="Z879" s="20">
        <f>Tabela1[[#This Row],[PESO TOTAL]]-Tabela1[[#This Row],[Peso Expedido]]</f>
        <v>0</v>
      </c>
      <c r="AA879" s="17">
        <v>1</v>
      </c>
      <c r="AB879" s="33"/>
      <c r="AC879" s="33">
        <v>1</v>
      </c>
      <c r="AD879" s="33">
        <v>1</v>
      </c>
      <c r="AE879" s="33">
        <v>1</v>
      </c>
      <c r="AF879" s="33">
        <v>1</v>
      </c>
      <c r="AG879" s="33">
        <v>1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>Tabela1[[#This Row],[QTDE/ Fabricação]]-Tabela1[[#This Row],[QTE]]</f>
        <v>-4</v>
      </c>
      <c r="R880" s="18">
        <f t="shared" si="181"/>
        <v>20.707999999999998</v>
      </c>
      <c r="S880" s="18">
        <f t="shared" si="182"/>
        <v>8.68</v>
      </c>
      <c r="T880" s="19">
        <f t="shared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-4</v>
      </c>
      <c r="Z880" s="20">
        <f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>Tabela1[[#This Row],[QTDE/ Fabricação]]-Tabela1[[#This Row],[QTE]]</f>
        <v>-1</v>
      </c>
      <c r="R881" s="18">
        <f t="shared" si="181"/>
        <v>260.85399999999998</v>
      </c>
      <c r="S881" s="18">
        <f t="shared" si="182"/>
        <v>109.33999999999999</v>
      </c>
      <c r="T881" s="19">
        <f t="shared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-1</v>
      </c>
      <c r="Z881" s="20">
        <f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>Tabela1[[#This Row],[QTDE/ Fabricação]]-Tabela1[[#This Row],[QTE]]</f>
        <v>-2</v>
      </c>
      <c r="R882" s="18">
        <f t="shared" si="181"/>
        <v>9.0180000000000007</v>
      </c>
      <c r="S882" s="18">
        <f t="shared" si="182"/>
        <v>3.78</v>
      </c>
      <c r="T882" s="19">
        <f t="shared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-2</v>
      </c>
      <c r="Z882" s="20">
        <f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>Tabela1[[#This Row],[QTDE/ Fabricação]]-Tabela1[[#This Row],[QTE]]</f>
        <v>-2</v>
      </c>
      <c r="R883" s="18">
        <f t="shared" si="181"/>
        <v>7.8490000000000002</v>
      </c>
      <c r="S883" s="18">
        <f t="shared" si="182"/>
        <v>3.29</v>
      </c>
      <c r="T883" s="19">
        <f t="shared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-2</v>
      </c>
      <c r="Z883" s="20">
        <f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>Tabela1[[#This Row],[QTDE/ Fabricação]]-Tabela1[[#This Row],[QTE]]</f>
        <v>-1</v>
      </c>
      <c r="R884" s="18">
        <f t="shared" si="181"/>
        <v>176.51900000000001</v>
      </c>
      <c r="S884" s="18">
        <f t="shared" si="182"/>
        <v>73.989999999999995</v>
      </c>
      <c r="T884" s="19">
        <f t="shared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>Tabela1[[#This Row],[PESO UNI]]*Tabela1[[#This Row],[QTE]]</f>
        <v>593.20000000000005</v>
      </c>
      <c r="I885" s="7" t="s">
        <v>5714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593.20000000000005</v>
      </c>
      <c r="S885" s="18">
        <f t="shared" si="182"/>
        <v>593.20000000000005</v>
      </c>
      <c r="T885" s="19">
        <f t="shared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>Tabela1[[#This Row],[PESO UNI]]*Tabela1[[#This Row],[QTE]]</f>
        <v>713.6</v>
      </c>
      <c r="I886" s="7" t="s">
        <v>5714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693.976</v>
      </c>
      <c r="S886" s="18">
        <f t="shared" si="182"/>
        <v>0</v>
      </c>
      <c r="T886" s="19">
        <f t="shared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>Tabela1[[#This Row],[PESO UNI]]*Tabela1[[#This Row],[QTE]]</f>
        <v>355.4</v>
      </c>
      <c r="I887" s="7" t="s">
        <v>5714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306.53249999999997</v>
      </c>
      <c r="S887" s="18">
        <f t="shared" si="182"/>
        <v>0</v>
      </c>
      <c r="T887" s="19">
        <f t="shared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>Tabela1[[#This Row],[PESO UNI]]*Tabela1[[#This Row],[QTE]]</f>
        <v>604.79999999999995</v>
      </c>
      <c r="I888" s="7" t="s">
        <v>5714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604.79999999999995</v>
      </c>
      <c r="S888" s="18">
        <f t="shared" si="182"/>
        <v>604.79999999999995</v>
      </c>
      <c r="T888" s="19">
        <f t="shared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>Tabela1[[#This Row],[PESO UNI]]*Tabela1[[#This Row],[QTE]]</f>
        <v>484.8</v>
      </c>
      <c r="I889" s="7" t="s">
        <v>5714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484.8</v>
      </c>
      <c r="S889" s="18">
        <f t="shared" si="182"/>
        <v>484.8</v>
      </c>
      <c r="T889" s="19">
        <f t="shared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>Tabela1[[#This Row],[PESO UNI]]*Tabela1[[#This Row],[QTE]]</f>
        <v>1096.4000000000001</v>
      </c>
      <c r="I890" s="7" t="s">
        <v>5714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>Tabela1[[#This Row],[QTDE/ Fabricação]]-Tabela1[[#This Row],[QTE]]</f>
        <v>-1</v>
      </c>
      <c r="R890" s="18">
        <f t="shared" si="181"/>
        <v>945.6450000000001</v>
      </c>
      <c r="S890" s="18">
        <f t="shared" si="182"/>
        <v>0</v>
      </c>
      <c r="T890" s="19">
        <f t="shared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>Tabela1[[#This Row],[PESO UNI]]*Tabela1[[#This Row],[QTE]]</f>
        <v>289.5</v>
      </c>
      <c r="I891" s="7" t="s">
        <v>5714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>Tabela1[[#This Row],[QTDE/ Fabricação]]-Tabela1[[#This Row],[QTE]]</f>
        <v>-1</v>
      </c>
      <c r="R891" s="18">
        <f t="shared" si="181"/>
        <v>249.69375000000002</v>
      </c>
      <c r="S891" s="18">
        <f t="shared" si="182"/>
        <v>0</v>
      </c>
      <c r="T891" s="19">
        <f t="shared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>Tabela1[[#This Row],[QTDE/ Fabricação]]-Tabela1[[#This Row],[QTE]]</f>
        <v>-1</v>
      </c>
      <c r="R892" s="18">
        <f t="shared" si="181"/>
        <v>637.43899999999996</v>
      </c>
      <c r="S892" s="18">
        <f t="shared" si="182"/>
        <v>267.19</v>
      </c>
      <c r="T892" s="19">
        <f t="shared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>Tabela1[[#This Row],[QTDE/ Fabricação]]-Tabela1[[#This Row],[QTE]]</f>
        <v>-1</v>
      </c>
      <c r="R893" s="18">
        <f t="shared" si="181"/>
        <v>424.59749999999997</v>
      </c>
      <c r="S893" s="18">
        <f t="shared" si="182"/>
        <v>177.97499999999999</v>
      </c>
      <c r="T893" s="19">
        <f t="shared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>Tabela1[[#This Row],[QTDE/ Fabricação]]-Tabela1[[#This Row],[QTE]]</f>
        <v>-1</v>
      </c>
      <c r="R894" s="18">
        <f t="shared" si="181"/>
        <v>368.40199999999999</v>
      </c>
      <c r="S894" s="18">
        <f t="shared" si="182"/>
        <v>154.41999999999999</v>
      </c>
      <c r="T894" s="19">
        <f t="shared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>Tabela1[[#This Row],[QTDE/ Fabricação]]-Tabela1[[#This Row],[QTE]]</f>
        <v>-1</v>
      </c>
      <c r="R895" s="18">
        <f t="shared" si="181"/>
        <v>605.95950000000005</v>
      </c>
      <c r="S895" s="18">
        <f t="shared" si="182"/>
        <v>253.995</v>
      </c>
      <c r="T895" s="19">
        <f t="shared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-1</v>
      </c>
      <c r="Z895" s="20">
        <f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>Tabela1[[#This Row],[QTDE/ Fabricação]]-Tabela1[[#This Row],[QTE]]</f>
        <v>-1</v>
      </c>
      <c r="R896" s="18">
        <f t="shared" si="181"/>
        <v>292.41699999999997</v>
      </c>
      <c r="S896" s="18">
        <f t="shared" si="182"/>
        <v>122.57</v>
      </c>
      <c r="T896" s="19">
        <f t="shared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>Tabela1[[#This Row],[QTDE/ Fabricação]]-Tabela1[[#This Row],[QTE]]</f>
        <v>-3</v>
      </c>
      <c r="R897" s="18">
        <f t="shared" si="181"/>
        <v>7.7655000000000003</v>
      </c>
      <c r="S897" s="18">
        <f t="shared" si="182"/>
        <v>3.2549999999999999</v>
      </c>
      <c r="T897" s="19">
        <f t="shared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-3</v>
      </c>
      <c r="Z897" s="20">
        <f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>Tabela1[[#This Row],[QTDE/ Fabricação]]-Tabela1[[#This Row],[QTE]]</f>
        <v>-1</v>
      </c>
      <c r="R898" s="18">
        <f t="shared" si="181"/>
        <v>27.555</v>
      </c>
      <c r="S898" s="18">
        <f t="shared" si="182"/>
        <v>11.549999999999999</v>
      </c>
      <c r="T898" s="19">
        <f t="shared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customHeight="1" x14ac:dyDescent="0.25">
      <c r="A899" s="1" t="s">
        <v>5585</v>
      </c>
      <c r="B899" s="21" t="s">
        <v>5104</v>
      </c>
      <c r="C899" s="1">
        <v>67</v>
      </c>
      <c r="D899" s="1" t="s">
        <v>5586</v>
      </c>
      <c r="E899" s="7">
        <v>4552</v>
      </c>
      <c r="F899" s="7">
        <v>57</v>
      </c>
      <c r="G899" s="1">
        <v>8.1</v>
      </c>
      <c r="H899" s="34">
        <f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>Tabela1[[#This Row],[QTDE/ Fabricação]]-Tabela1[[#This Row],[QTE]]</f>
        <v>-67</v>
      </c>
      <c r="R899" s="18">
        <f t="shared" ref="R899:R927" si="185">IFERROR(H899*((AA899*0.25)+(AC899*0.25)+(AD899*0.225)+(AE899*0.225)+(AF899*0.05)),"")</f>
        <v>135.67499999999998</v>
      </c>
      <c r="S899" s="18">
        <f t="shared" ref="S899:S927" si="186">IFERROR(H899*AG899,"")</f>
        <v>0</v>
      </c>
      <c r="T899" s="19">
        <f t="shared" ref="T899:T927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ref="Y899:Y927" si="188">U899-C899</f>
        <v>-67</v>
      </c>
      <c r="Z899" s="20">
        <f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customHeight="1" x14ac:dyDescent="0.25">
      <c r="A900" s="1" t="s">
        <v>5585</v>
      </c>
      <c r="B900" s="21" t="s">
        <v>5104</v>
      </c>
      <c r="C900" s="1">
        <v>3</v>
      </c>
      <c r="D900" s="1" t="s">
        <v>5587</v>
      </c>
      <c r="E900" s="7">
        <v>4553</v>
      </c>
      <c r="F900" s="7">
        <v>57</v>
      </c>
      <c r="G900" s="1">
        <v>9.4</v>
      </c>
      <c r="H900" s="34">
        <f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>Tabela1[[#This Row],[QTDE/ Fabricação]]-Tabela1[[#This Row],[QTE]]</f>
        <v>-3</v>
      </c>
      <c r="R900" s="18">
        <f t="shared" si="185"/>
        <v>7.0500000000000007</v>
      </c>
      <c r="S900" s="18">
        <f t="shared" si="186"/>
        <v>0</v>
      </c>
      <c r="T900" s="19">
        <f t="shared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8"/>
        <v>-3</v>
      </c>
      <c r="Z900" s="20">
        <f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customHeight="1" x14ac:dyDescent="0.25">
      <c r="A901" s="1" t="s">
        <v>5585</v>
      </c>
      <c r="B901" s="21" t="s">
        <v>5104</v>
      </c>
      <c r="C901" s="1">
        <v>1</v>
      </c>
      <c r="D901" s="1" t="s">
        <v>5588</v>
      </c>
      <c r="E901" s="7">
        <v>4554</v>
      </c>
      <c r="F901" s="7">
        <v>57</v>
      </c>
      <c r="G901" s="1">
        <v>5.4</v>
      </c>
      <c r="H901" s="34">
        <f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>Tabela1[[#This Row],[QTDE/ Fabricação]]-Tabela1[[#This Row],[QTE]]</f>
        <v>-1</v>
      </c>
      <c r="R901" s="18">
        <f t="shared" si="185"/>
        <v>1.35</v>
      </c>
      <c r="S901" s="18">
        <f t="shared" si="186"/>
        <v>0</v>
      </c>
      <c r="T901" s="19">
        <f t="shared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si="188"/>
        <v>-1</v>
      </c>
      <c r="Z901" s="20">
        <f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customHeight="1" x14ac:dyDescent="0.25">
      <c r="A902" s="1" t="s">
        <v>5585</v>
      </c>
      <c r="B902" s="21" t="s">
        <v>5104</v>
      </c>
      <c r="C902" s="1">
        <v>6</v>
      </c>
      <c r="D902" s="1" t="s">
        <v>5589</v>
      </c>
      <c r="E902" s="7">
        <v>4800</v>
      </c>
      <c r="F902" s="7">
        <v>57</v>
      </c>
      <c r="G902" s="1">
        <v>3.9</v>
      </c>
      <c r="H902" s="34">
        <f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si="185"/>
        <v>5.85</v>
      </c>
      <c r="S902" s="18">
        <f t="shared" si="186"/>
        <v>0</v>
      </c>
      <c r="T902" s="19">
        <f t="shared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-6</v>
      </c>
      <c r="Z902" s="20">
        <f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customHeight="1" x14ac:dyDescent="0.25">
      <c r="A903" s="1" t="s">
        <v>5585</v>
      </c>
      <c r="B903" s="21" t="s">
        <v>5104</v>
      </c>
      <c r="C903" s="1">
        <v>4</v>
      </c>
      <c r="D903" s="1" t="s">
        <v>5590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si="185"/>
        <v>2.8</v>
      </c>
      <c r="S903" s="18">
        <f t="shared" si="186"/>
        <v>0</v>
      </c>
      <c r="T903" s="19">
        <f t="shared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-4</v>
      </c>
      <c r="Z903" s="20">
        <f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customHeight="1" x14ac:dyDescent="0.25">
      <c r="A904" s="1" t="s">
        <v>5585</v>
      </c>
      <c r="B904" s="21" t="s">
        <v>5104</v>
      </c>
      <c r="C904" s="1">
        <v>2</v>
      </c>
      <c r="D904" s="1" t="s">
        <v>5591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si="185"/>
        <v>2.35</v>
      </c>
      <c r="S904" s="18">
        <f t="shared" si="186"/>
        <v>0</v>
      </c>
      <c r="T904" s="19">
        <f t="shared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-2</v>
      </c>
      <c r="Z904" s="20">
        <f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customHeight="1" x14ac:dyDescent="0.25">
      <c r="A905" s="1" t="s">
        <v>5585</v>
      </c>
      <c r="B905" s="21" t="s">
        <v>5104</v>
      </c>
      <c r="C905" s="1">
        <v>1</v>
      </c>
      <c r="D905" s="1" t="s">
        <v>5592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>Tabela1[[#This Row],[QTDE/ Fabricação]]-Tabela1[[#This Row],[QTE]]</f>
        <v>-1</v>
      </c>
      <c r="R905" s="18">
        <f t="shared" si="185"/>
        <v>2.85</v>
      </c>
      <c r="S905" s="18">
        <f t="shared" si="186"/>
        <v>0</v>
      </c>
      <c r="T905" s="19">
        <f t="shared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customHeight="1" x14ac:dyDescent="0.25">
      <c r="A906" s="1" t="s">
        <v>5585</v>
      </c>
      <c r="B906" s="21" t="s">
        <v>5104</v>
      </c>
      <c r="C906" s="1">
        <v>1</v>
      </c>
      <c r="D906" s="1" t="s">
        <v>5593</v>
      </c>
      <c r="E906" s="7">
        <v>4804</v>
      </c>
      <c r="F906" s="7">
        <v>57</v>
      </c>
      <c r="G906" s="1">
        <v>4.3</v>
      </c>
      <c r="H906" s="34">
        <f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si="185"/>
        <v>1.075</v>
      </c>
      <c r="S906" s="18">
        <f t="shared" si="186"/>
        <v>0</v>
      </c>
      <c r="T906" s="19">
        <f t="shared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customHeight="1" x14ac:dyDescent="0.25">
      <c r="A907" s="1" t="s">
        <v>5585</v>
      </c>
      <c r="B907" s="21" t="s">
        <v>5104</v>
      </c>
      <c r="C907" s="1">
        <v>1</v>
      </c>
      <c r="D907" s="1" t="s">
        <v>5594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si="185"/>
        <v>1.3</v>
      </c>
      <c r="S907" s="18">
        <f t="shared" si="186"/>
        <v>0</v>
      </c>
      <c r="T907" s="19">
        <f t="shared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-1</v>
      </c>
      <c r="Z907" s="20">
        <f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customHeight="1" x14ac:dyDescent="0.25">
      <c r="A908" s="1" t="s">
        <v>5585</v>
      </c>
      <c r="B908" s="21" t="s">
        <v>5104</v>
      </c>
      <c r="C908" s="1">
        <v>1</v>
      </c>
      <c r="D908" s="1" t="s">
        <v>5595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si="185"/>
        <v>1.55</v>
      </c>
      <c r="S908" s="18">
        <f t="shared" si="186"/>
        <v>0</v>
      </c>
      <c r="T908" s="19">
        <f t="shared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customHeight="1" x14ac:dyDescent="0.25">
      <c r="A909" s="1" t="s">
        <v>5585</v>
      </c>
      <c r="B909" s="21" t="s">
        <v>5104</v>
      </c>
      <c r="C909" s="1">
        <v>1</v>
      </c>
      <c r="D909" s="1" t="s">
        <v>5596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>Tabela1[[#This Row],[QTDE/ Fabricação]]-Tabela1[[#This Row],[QTE]]</f>
        <v>-1</v>
      </c>
      <c r="R909" s="18">
        <f t="shared" si="185"/>
        <v>1.7749999999999999</v>
      </c>
      <c r="S909" s="18">
        <f t="shared" si="186"/>
        <v>0</v>
      </c>
      <c r="T909" s="19">
        <f t="shared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customHeight="1" x14ac:dyDescent="0.25">
      <c r="A910" s="1" t="s">
        <v>5585</v>
      </c>
      <c r="B910" s="21" t="s">
        <v>5104</v>
      </c>
      <c r="C910" s="1">
        <v>1</v>
      </c>
      <c r="D910" s="1" t="s">
        <v>5597</v>
      </c>
      <c r="E910" s="7">
        <v>4808</v>
      </c>
      <c r="F910" s="7">
        <v>57</v>
      </c>
      <c r="G910" s="1">
        <v>13.5</v>
      </c>
      <c r="H910" s="34">
        <f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si="185"/>
        <v>3.375</v>
      </c>
      <c r="S910" s="18">
        <f t="shared" si="186"/>
        <v>0</v>
      </c>
      <c r="T910" s="19">
        <f t="shared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-1</v>
      </c>
      <c r="Z910" s="20">
        <f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customHeight="1" x14ac:dyDescent="0.25">
      <c r="A911" s="1" t="s">
        <v>5585</v>
      </c>
      <c r="B911" s="21" t="s">
        <v>5104</v>
      </c>
      <c r="C911" s="1">
        <v>1</v>
      </c>
      <c r="D911" s="1" t="s">
        <v>5598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si="185"/>
        <v>1.625</v>
      </c>
      <c r="S911" s="18">
        <f t="shared" si="186"/>
        <v>0</v>
      </c>
      <c r="T911" s="19">
        <f t="shared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-1</v>
      </c>
      <c r="Z911" s="20">
        <f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customHeight="1" x14ac:dyDescent="0.25">
      <c r="A912" s="1" t="s">
        <v>5585</v>
      </c>
      <c r="B912" s="21" t="s">
        <v>5104</v>
      </c>
      <c r="C912" s="1">
        <v>1</v>
      </c>
      <c r="D912" s="1" t="s">
        <v>5599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si="185"/>
        <v>1.825</v>
      </c>
      <c r="S912" s="18">
        <f t="shared" si="186"/>
        <v>0</v>
      </c>
      <c r="T912" s="19">
        <f t="shared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customHeight="1" x14ac:dyDescent="0.25">
      <c r="A913" s="1" t="s">
        <v>5585</v>
      </c>
      <c r="B913" s="21" t="s">
        <v>5104</v>
      </c>
      <c r="C913" s="1">
        <v>1</v>
      </c>
      <c r="D913" s="1" t="s">
        <v>5600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>Tabela1[[#This Row],[QTDE/ Fabricação]]-Tabela1[[#This Row],[QTE]]</f>
        <v>-1</v>
      </c>
      <c r="R913" s="18">
        <f t="shared" si="185"/>
        <v>1.325</v>
      </c>
      <c r="S913" s="18">
        <f t="shared" si="186"/>
        <v>0</v>
      </c>
      <c r="T913" s="19">
        <f t="shared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customHeight="1" x14ac:dyDescent="0.25">
      <c r="A914" s="1" t="s">
        <v>5585</v>
      </c>
      <c r="B914" s="21" t="s">
        <v>5104</v>
      </c>
      <c r="C914" s="1">
        <v>2</v>
      </c>
      <c r="D914" s="1" t="s">
        <v>5601</v>
      </c>
      <c r="E914" s="7">
        <v>4812</v>
      </c>
      <c r="F914" s="7">
        <v>57</v>
      </c>
      <c r="G914" s="1">
        <v>12.2</v>
      </c>
      <c r="H914" s="34">
        <f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si="185"/>
        <v>6.1</v>
      </c>
      <c r="S914" s="18">
        <f t="shared" si="186"/>
        <v>0</v>
      </c>
      <c r="T914" s="19">
        <f t="shared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-2</v>
      </c>
      <c r="Z914" s="20">
        <f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customHeight="1" x14ac:dyDescent="0.25">
      <c r="A915" s="1" t="s">
        <v>5585</v>
      </c>
      <c r="B915" s="21" t="s">
        <v>5104</v>
      </c>
      <c r="C915" s="1">
        <v>2</v>
      </c>
      <c r="D915" s="1" t="s">
        <v>5602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si="185"/>
        <v>5.7</v>
      </c>
      <c r="S915" s="18">
        <f t="shared" si="186"/>
        <v>0</v>
      </c>
      <c r="T915" s="19">
        <f t="shared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-2</v>
      </c>
      <c r="Z915" s="20">
        <f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customHeight="1" x14ac:dyDescent="0.25">
      <c r="A916" s="1" t="s">
        <v>5585</v>
      </c>
      <c r="B916" s="21" t="s">
        <v>5104</v>
      </c>
      <c r="C916" s="1">
        <v>2</v>
      </c>
      <c r="D916" s="1" t="s">
        <v>5603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si="185"/>
        <v>5.25</v>
      </c>
      <c r="S916" s="18">
        <f t="shared" si="186"/>
        <v>0</v>
      </c>
      <c r="T916" s="19">
        <f t="shared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-2</v>
      </c>
      <c r="Z916" s="20">
        <f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customHeight="1" x14ac:dyDescent="0.25">
      <c r="A917" s="1" t="s">
        <v>5585</v>
      </c>
      <c r="B917" s="21" t="s">
        <v>5104</v>
      </c>
      <c r="C917" s="1">
        <v>2</v>
      </c>
      <c r="D917" s="1" t="s">
        <v>5604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>Tabela1[[#This Row],[QTDE/ Fabricação]]-Tabela1[[#This Row],[QTE]]</f>
        <v>-2</v>
      </c>
      <c r="R917" s="18">
        <f t="shared" si="185"/>
        <v>6.45</v>
      </c>
      <c r="S917" s="18">
        <f t="shared" si="186"/>
        <v>0</v>
      </c>
      <c r="T917" s="19">
        <f t="shared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-2</v>
      </c>
      <c r="Z917" s="20">
        <f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customHeight="1" x14ac:dyDescent="0.25">
      <c r="A918" s="1" t="s">
        <v>5585</v>
      </c>
      <c r="B918" s="21" t="s">
        <v>5104</v>
      </c>
      <c r="C918" s="1">
        <v>2</v>
      </c>
      <c r="D918" s="1" t="s">
        <v>5605</v>
      </c>
      <c r="E918" s="7">
        <v>4816</v>
      </c>
      <c r="F918" s="7">
        <v>57</v>
      </c>
      <c r="G918" s="1">
        <v>11.4</v>
      </c>
      <c r="H918" s="34">
        <f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si="185"/>
        <v>5.7</v>
      </c>
      <c r="S918" s="18">
        <f t="shared" si="186"/>
        <v>0</v>
      </c>
      <c r="T918" s="19">
        <f t="shared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customHeight="1" x14ac:dyDescent="0.25">
      <c r="A919" s="1" t="s">
        <v>5585</v>
      </c>
      <c r="B919" s="21" t="s">
        <v>5104</v>
      </c>
      <c r="C919" s="1">
        <v>2</v>
      </c>
      <c r="D919" s="1" t="s">
        <v>5606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si="185"/>
        <v>2.35</v>
      </c>
      <c r="S919" s="18">
        <f t="shared" si="186"/>
        <v>0</v>
      </c>
      <c r="T919" s="19">
        <f t="shared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customHeight="1" x14ac:dyDescent="0.25">
      <c r="A920" s="1" t="s">
        <v>5585</v>
      </c>
      <c r="B920" s="21" t="s">
        <v>5104</v>
      </c>
      <c r="C920" s="1">
        <v>2</v>
      </c>
      <c r="D920" s="1" t="s">
        <v>5607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si="185"/>
        <v>7.4</v>
      </c>
      <c r="S920" s="18">
        <f t="shared" si="186"/>
        <v>0</v>
      </c>
      <c r="T920" s="19">
        <f t="shared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customHeight="1" x14ac:dyDescent="0.25">
      <c r="A921" s="1" t="s">
        <v>5585</v>
      </c>
      <c r="B921" s="21" t="s">
        <v>5104</v>
      </c>
      <c r="C921" s="1">
        <v>2</v>
      </c>
      <c r="D921" s="1" t="s">
        <v>5608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>Tabela1[[#This Row],[QTDE/ Fabricação]]-Tabela1[[#This Row],[QTE]]</f>
        <v>-2</v>
      </c>
      <c r="R921" s="18">
        <f t="shared" si="185"/>
        <v>5.45</v>
      </c>
      <c r="S921" s="18">
        <f t="shared" si="186"/>
        <v>0</v>
      </c>
      <c r="T921" s="19">
        <f t="shared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customHeight="1" x14ac:dyDescent="0.25">
      <c r="A922" s="1" t="s">
        <v>5585</v>
      </c>
      <c r="B922" s="21" t="s">
        <v>5104</v>
      </c>
      <c r="C922" s="1">
        <v>2</v>
      </c>
      <c r="D922" s="1" t="s">
        <v>5609</v>
      </c>
      <c r="E922" s="7">
        <v>4820</v>
      </c>
      <c r="F922" s="7">
        <v>57</v>
      </c>
      <c r="G922" s="1">
        <v>12</v>
      </c>
      <c r="H922" s="34">
        <f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si="185"/>
        <v>6</v>
      </c>
      <c r="S922" s="18">
        <f t="shared" si="186"/>
        <v>0</v>
      </c>
      <c r="T922" s="19">
        <f t="shared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-2</v>
      </c>
      <c r="Z922" s="20">
        <f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customHeight="1" x14ac:dyDescent="0.25">
      <c r="A923" s="1" t="s">
        <v>5585</v>
      </c>
      <c r="B923" s="21" t="s">
        <v>5104</v>
      </c>
      <c r="C923" s="1">
        <v>2</v>
      </c>
      <c r="D923" s="1" t="s">
        <v>5610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si="185"/>
        <v>6.1</v>
      </c>
      <c r="S923" s="18">
        <f t="shared" si="186"/>
        <v>0</v>
      </c>
      <c r="T923" s="19">
        <f t="shared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-2</v>
      </c>
      <c r="Z923" s="20">
        <f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customHeight="1" x14ac:dyDescent="0.25">
      <c r="A924" s="1" t="s">
        <v>5585</v>
      </c>
      <c r="B924" s="21" t="s">
        <v>5104</v>
      </c>
      <c r="C924" s="1">
        <v>2</v>
      </c>
      <c r="D924" s="1" t="s">
        <v>5611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si="185"/>
        <v>8.3249999999999993</v>
      </c>
      <c r="S924" s="18">
        <f t="shared" si="186"/>
        <v>0</v>
      </c>
      <c r="T924" s="19">
        <f t="shared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-2</v>
      </c>
      <c r="Z924" s="20">
        <f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customHeight="1" x14ac:dyDescent="0.25">
      <c r="A925" s="1" t="s">
        <v>5585</v>
      </c>
      <c r="B925" s="21" t="s">
        <v>5104</v>
      </c>
      <c r="C925" s="1">
        <v>2</v>
      </c>
      <c r="D925" s="1" t="s">
        <v>5612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>Tabela1[[#This Row],[QTDE/ Fabricação]]-Tabela1[[#This Row],[QTE]]</f>
        <v>-2</v>
      </c>
      <c r="R925" s="18">
        <f t="shared" si="185"/>
        <v>3.75</v>
      </c>
      <c r="S925" s="18">
        <f t="shared" si="186"/>
        <v>0</v>
      </c>
      <c r="T925" s="19">
        <f t="shared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customHeight="1" x14ac:dyDescent="0.25">
      <c r="A926" s="1" t="s">
        <v>5585</v>
      </c>
      <c r="B926" s="21" t="s">
        <v>5104</v>
      </c>
      <c r="C926" s="1">
        <v>1</v>
      </c>
      <c r="D926" s="1" t="s">
        <v>5613</v>
      </c>
      <c r="E926" s="7">
        <v>4824</v>
      </c>
      <c r="F926" s="7">
        <v>57</v>
      </c>
      <c r="G926" s="1">
        <v>5.5</v>
      </c>
      <c r="H926" s="34">
        <f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si="185"/>
        <v>1.375</v>
      </c>
      <c r="S926" s="18">
        <f t="shared" si="186"/>
        <v>0</v>
      </c>
      <c r="T926" s="19">
        <f t="shared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customHeight="1" x14ac:dyDescent="0.25">
      <c r="A927" s="1" t="s">
        <v>5585</v>
      </c>
      <c r="B927" s="21" t="s">
        <v>5104</v>
      </c>
      <c r="C927" s="1">
        <v>1</v>
      </c>
      <c r="D927" s="1" t="s">
        <v>5614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si="185"/>
        <v>1.375</v>
      </c>
      <c r="S927" s="18">
        <f t="shared" si="186"/>
        <v>0</v>
      </c>
      <c r="T927" s="19">
        <f t="shared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>Tabela1[[#This Row],[QTDE/ Fabricação]]-Tabela1[[#This Row],[QTE]]</f>
        <v>-1</v>
      </c>
      <c r="R928" s="18">
        <f t="shared" si="181"/>
        <v>70.52409999999999</v>
      </c>
      <c r="S928" s="18">
        <f t="shared" si="182"/>
        <v>29.560999999999996</v>
      </c>
      <c r="T928" s="19">
        <f t="shared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4"/>
        <v>-1</v>
      </c>
      <c r="Z928" s="20">
        <f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>Tabela1[[#This Row],[QTDE/ Fabricação]]-Tabela1[[#This Row],[QTE]]</f>
        <v>-2</v>
      </c>
      <c r="R929" s="18">
        <f t="shared" ref="R929:R960" si="189">IFERROR(H929*((AA929*0.25)+(AC929*0.25)+(AD929*0.225)+(AE929*0.225)+(AF929*0.05)),"")</f>
        <v>116.2487</v>
      </c>
      <c r="S929" s="18">
        <f t="shared" ref="S929:S960" si="190">IFERROR(H929*AG929,"")</f>
        <v>48.726999999999997</v>
      </c>
      <c r="T929" s="19">
        <f t="shared" ref="T929:T960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ref="Y929:Y960" si="192">U929-C929</f>
        <v>-2</v>
      </c>
      <c r="Z929" s="20">
        <f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>Tabela1[[#This Row],[QTDE/ Fabricação]]-Tabela1[[#This Row],[QTE]]</f>
        <v>-2</v>
      </c>
      <c r="R930" s="18">
        <f t="shared" si="189"/>
        <v>50.734599999999993</v>
      </c>
      <c r="S930" s="18">
        <f t="shared" si="190"/>
        <v>21.265999999999998</v>
      </c>
      <c r="T930" s="19">
        <f t="shared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92"/>
        <v>-2</v>
      </c>
      <c r="Z930" s="20">
        <f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>Tabela1[[#This Row],[QTDE/ Fabricação]]-Tabela1[[#This Row],[QTE]]</f>
        <v>-6</v>
      </c>
      <c r="R931" s="18">
        <f t="shared" si="189"/>
        <v>30.410699999999999</v>
      </c>
      <c r="S931" s="18">
        <f t="shared" si="190"/>
        <v>12.747</v>
      </c>
      <c r="T931" s="19">
        <f t="shared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92"/>
        <v>-6</v>
      </c>
      <c r="Z931" s="20">
        <f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>Tabela1[[#This Row],[QTDE/ Fabricação]]-Tabela1[[#This Row],[QTE]]</f>
        <v>-1</v>
      </c>
      <c r="R932" s="18">
        <f>IFERROR(H932*((AA932*0.25)+(AC932*0.25)+(AD932*0.225)+(AE932*0.225)+(AF932*0.05)),"")</f>
        <v>18.428449999999998</v>
      </c>
      <c r="S932" s="18">
        <f t="shared" si="190"/>
        <v>7.7244999999999999</v>
      </c>
      <c r="T932" s="19">
        <f t="shared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92"/>
        <v>-1</v>
      </c>
      <c r="Z932" s="20">
        <f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>Tabela1[[#This Row],[QTDE/ Fabricação]]-Tabela1[[#This Row],[QTE]]</f>
        <v>-1</v>
      </c>
      <c r="R933" s="18">
        <f>IFERROR(H933*((AA933*0.25)+(AC933*0.25)+(AD933*0.225)+(AE933*0.225)+(AF933*0.05)),"")</f>
        <v>28.047650000000001</v>
      </c>
      <c r="S933" s="18">
        <f t="shared" si="190"/>
        <v>11.756500000000001</v>
      </c>
      <c r="T933" s="19">
        <f t="shared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si="192"/>
        <v>-1</v>
      </c>
      <c r="Z933" s="20">
        <f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>Tabela1[[#This Row],[QTDE/ Fabricação]]-Tabela1[[#This Row],[QTE]]</f>
        <v>-1</v>
      </c>
      <c r="R934" s="18">
        <f t="shared" si="189"/>
        <v>17.1008</v>
      </c>
      <c r="S934" s="18">
        <f t="shared" si="190"/>
        <v>7.1679999999999993</v>
      </c>
      <c r="T934" s="19">
        <f t="shared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>Tabela1[[#This Row],[QTDE/ Fabricação]]-Tabela1[[#This Row],[QTE]]</f>
        <v>-2</v>
      </c>
      <c r="R935" s="18">
        <f t="shared" si="189"/>
        <v>30.961799999999997</v>
      </c>
      <c r="S935" s="18">
        <f t="shared" si="190"/>
        <v>12.977999999999998</v>
      </c>
      <c r="T935" s="19">
        <f t="shared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-2</v>
      </c>
      <c r="Z935" s="20">
        <f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68.887500000000003</v>
      </c>
      <c r="S936" s="18">
        <f t="shared" si="190"/>
        <v>28.874999999999996</v>
      </c>
      <c r="T936" s="19">
        <f t="shared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68.353099999999998</v>
      </c>
      <c r="S937" s="18">
        <f t="shared" si="190"/>
        <v>28.650999999999996</v>
      </c>
      <c r="T937" s="19">
        <f t="shared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>Tabela1[[#This Row],[QTDE/ Fabricação]]-Tabela1[[#This Row],[QTE]]</f>
        <v>-3</v>
      </c>
      <c r="R938" s="18">
        <f t="shared" si="189"/>
        <v>209.96909999999997</v>
      </c>
      <c r="S938" s="18">
        <f t="shared" si="190"/>
        <v>88.010999999999981</v>
      </c>
      <c r="T938" s="19">
        <f t="shared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-3</v>
      </c>
      <c r="Z938" s="20">
        <f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>Tabela1[[#This Row],[QTDE/ Fabricação]]-Tabela1[[#This Row],[QTE]]</f>
        <v>-2</v>
      </c>
      <c r="R939" s="18">
        <f t="shared" si="189"/>
        <v>142.11699999999999</v>
      </c>
      <c r="S939" s="18">
        <f t="shared" si="190"/>
        <v>59.569999999999993</v>
      </c>
      <c r="T939" s="19">
        <f t="shared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-2</v>
      </c>
      <c r="Z939" s="20">
        <f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>Tabela1[[#This Row],[QTDE/ Fabricação]]-Tabela1[[#This Row],[QTE]]</f>
        <v>-1</v>
      </c>
      <c r="R940" s="18">
        <f t="shared" si="189"/>
        <v>72.619950000000003</v>
      </c>
      <c r="S940" s="18">
        <f t="shared" si="190"/>
        <v>30.439499999999999</v>
      </c>
      <c r="T940" s="19">
        <f t="shared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-1</v>
      </c>
      <c r="Z940" s="20">
        <f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>Tabela1[[#This Row],[QTDE/ Fabricação]]-Tabela1[[#This Row],[QTE]]</f>
        <v>-1</v>
      </c>
      <c r="R941" s="18">
        <f t="shared" si="189"/>
        <v>73.154349999999994</v>
      </c>
      <c r="S941" s="18">
        <f t="shared" si="190"/>
        <v>30.663499999999999</v>
      </c>
      <c r="T941" s="19">
        <f t="shared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-1</v>
      </c>
      <c r="Z941" s="20">
        <f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>Tabela1[[#This Row],[QTDE/ Fabricação]]-Tabela1[[#This Row],[QTE]]</f>
        <v>-4</v>
      </c>
      <c r="R942" s="18">
        <f t="shared" si="189"/>
        <v>87.708399999999997</v>
      </c>
      <c r="S942" s="18">
        <f t="shared" si="190"/>
        <v>36.764000000000003</v>
      </c>
      <c r="T942" s="19">
        <f t="shared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-4</v>
      </c>
      <c r="Z942" s="20">
        <f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>Tabela1[[#This Row],[QTDE/ Fabricação]]-Tabela1[[#This Row],[QTE]]</f>
        <v>-4</v>
      </c>
      <c r="R943" s="18">
        <f t="shared" si="189"/>
        <v>106.27879999999999</v>
      </c>
      <c r="S943" s="18">
        <f t="shared" si="190"/>
        <v>44.547999999999995</v>
      </c>
      <c r="T943" s="19">
        <f t="shared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-4</v>
      </c>
      <c r="Z943" s="20">
        <f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>Tabela1[[#This Row],[QTDE/ Fabricação]]-Tabela1[[#This Row],[QTE]]</f>
        <v>-4</v>
      </c>
      <c r="R944" s="18">
        <f t="shared" si="189"/>
        <v>100.53400000000001</v>
      </c>
      <c r="S944" s="18">
        <f t="shared" si="190"/>
        <v>42.14</v>
      </c>
      <c r="T944" s="19">
        <f t="shared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-4</v>
      </c>
      <c r="Z944" s="20">
        <f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>Tabela1[[#This Row],[QTDE/ Fabricação]]-Tabela1[[#This Row],[QTE]]</f>
        <v>-4</v>
      </c>
      <c r="R945" s="18">
        <f t="shared" si="189"/>
        <v>114.22800000000001</v>
      </c>
      <c r="S945" s="18">
        <f t="shared" si="190"/>
        <v>47.88</v>
      </c>
      <c r="T945" s="19">
        <f t="shared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-4</v>
      </c>
      <c r="Z945" s="20">
        <f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>Tabela1[[#This Row],[QTDE/ Fabricação]]-Tabela1[[#This Row],[QTE]]</f>
        <v>-2</v>
      </c>
      <c r="R946" s="18">
        <f t="shared" si="189"/>
        <v>49.031199999999998</v>
      </c>
      <c r="S946" s="18">
        <f t="shared" si="190"/>
        <v>20.552</v>
      </c>
      <c r="T946" s="19">
        <f t="shared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-2</v>
      </c>
      <c r="Z946" s="20">
        <f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>Tabela1[[#This Row],[QTDE/ Fabricação]]-Tabela1[[#This Row],[QTE]]</f>
        <v>-2</v>
      </c>
      <c r="R947" s="18">
        <f t="shared" si="189"/>
        <v>45.858199999999997</v>
      </c>
      <c r="S947" s="18">
        <f t="shared" si="190"/>
        <v>19.221999999999998</v>
      </c>
      <c r="T947" s="19">
        <f t="shared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-2</v>
      </c>
      <c r="Z947" s="20">
        <f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>Tabela1[[#This Row],[QTDE/ Fabricação]]-Tabela1[[#This Row],[QTE]]</f>
        <v>-2</v>
      </c>
      <c r="R948" s="18">
        <f t="shared" si="189"/>
        <v>119.6054</v>
      </c>
      <c r="S948" s="18">
        <f t="shared" si="190"/>
        <v>50.134</v>
      </c>
      <c r="T948" s="19">
        <f t="shared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-2</v>
      </c>
      <c r="Z948" s="20">
        <f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>Tabela1[[#This Row],[QTDE/ Fabricação]]-Tabela1[[#This Row],[QTE]]</f>
        <v>-2</v>
      </c>
      <c r="R949" s="18">
        <f t="shared" si="189"/>
        <v>138.1591</v>
      </c>
      <c r="S949" s="18">
        <f t="shared" si="190"/>
        <v>57.911000000000001</v>
      </c>
      <c r="T949" s="19">
        <f t="shared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-2</v>
      </c>
      <c r="Z949" s="20">
        <f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>Tabela1[[#This Row],[QTDE/ Fabricação]]-Tabela1[[#This Row],[QTE]]</f>
        <v>-1</v>
      </c>
      <c r="R950" s="18">
        <f t="shared" si="189"/>
        <v>77.045449999999988</v>
      </c>
      <c r="S950" s="18">
        <f t="shared" si="190"/>
        <v>32.294499999999999</v>
      </c>
      <c r="T950" s="19">
        <f t="shared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>Tabela1[[#This Row],[QTDE/ Fabricação]]-Tabela1[[#This Row],[QTE]]</f>
        <v>-1</v>
      </c>
      <c r="R951" s="18">
        <f t="shared" si="189"/>
        <v>77.922199999999989</v>
      </c>
      <c r="S951" s="18">
        <f t="shared" si="190"/>
        <v>32.661999999999999</v>
      </c>
      <c r="T951" s="19">
        <f t="shared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>Tabela1[[#This Row],[QTDE/ Fabricação]]-Tabela1[[#This Row],[QTE]]</f>
        <v>-1</v>
      </c>
      <c r="R952" s="18">
        <f t="shared" si="189"/>
        <v>50.634399999999999</v>
      </c>
      <c r="S952" s="18">
        <f t="shared" si="190"/>
        <v>21.224</v>
      </c>
      <c r="T952" s="19">
        <f t="shared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>Tabela1[[#This Row],[QTDE/ Fabricação]]-Tabela1[[#This Row],[QTE]]</f>
        <v>-2</v>
      </c>
      <c r="R953" s="18" t="str">
        <f>IFERROR(H953*((AA953*0.25)+(#REF!*0.25)+(#REF!*0.225)+(#REF!*0.225)+(#REF!*0.05)),"")</f>
        <v/>
      </c>
      <c r="S953" s="18" t="str">
        <f>IFERROR(H953*#REF!,"")</f>
        <v/>
      </c>
      <c r="T953" s="19" t="str">
        <f t="shared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-2</v>
      </c>
      <c r="Z953" s="20">
        <f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>Tabela1[[#This Row],[QTDE/ Fabricação]]-Tabela1[[#This Row],[QTE]]</f>
        <v>-1</v>
      </c>
      <c r="R954" s="18">
        <f>IFERROR(H954*((AA954*0.25)+(AC953*0.25)+(AD953*0.225)+(AE953*0.225)+(AF953*0.05)),"")</f>
        <v>21.743399999999998</v>
      </c>
      <c r="S954" s="18">
        <f>IFERROR(H954*AG953,"")</f>
        <v>9.113999999999999</v>
      </c>
      <c r="T954" s="19">
        <f t="shared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21.743399999999998</v>
      </c>
      <c r="S955" s="18">
        <f t="shared" si="190"/>
        <v>9.113999999999999</v>
      </c>
      <c r="T955" s="19">
        <f t="shared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>Tabela1[[#This Row],[QTDE/ Fabricação]]-Tabela1[[#This Row],[QTE]]</f>
        <v>-1</v>
      </c>
      <c r="R956" s="18">
        <f t="shared" si="189"/>
        <v>148.57155</v>
      </c>
      <c r="S956" s="18">
        <f t="shared" si="190"/>
        <v>62.275500000000001</v>
      </c>
      <c r="T956" s="19">
        <f t="shared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>Tabela1[[#This Row],[QTDE/ Fabricação]]-Tabela1[[#This Row],[QTE]]</f>
        <v>-1</v>
      </c>
      <c r="R957" s="18">
        <f t="shared" si="189"/>
        <v>148.57155</v>
      </c>
      <c r="S957" s="18">
        <f t="shared" si="190"/>
        <v>62.275500000000001</v>
      </c>
      <c r="T957" s="19">
        <f t="shared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-1</v>
      </c>
      <c r="Z957" s="20">
        <f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>Tabela1[[#This Row],[QTDE/ Fabricação]]-Tabela1[[#This Row],[QTE]]</f>
        <v>-2</v>
      </c>
      <c r="R958" s="18">
        <f t="shared" si="189"/>
        <v>181.02799999999999</v>
      </c>
      <c r="S958" s="18">
        <f t="shared" si="190"/>
        <v>75.88</v>
      </c>
      <c r="T958" s="19">
        <f t="shared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-2</v>
      </c>
      <c r="Z958" s="20">
        <f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>Tabela1[[#This Row],[QTDE/ Fabricação]]-Tabela1[[#This Row],[QTE]]</f>
        <v>-2</v>
      </c>
      <c r="R959" s="18">
        <f t="shared" si="189"/>
        <v>186.0547</v>
      </c>
      <c r="S959" s="18">
        <f t="shared" si="190"/>
        <v>77.986999999999995</v>
      </c>
      <c r="T959" s="19">
        <f t="shared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-2</v>
      </c>
      <c r="Z959" s="20">
        <f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>Tabela1[[#This Row],[QTDE/ Fabricação]]-Tabela1[[#This Row],[QTE]]</f>
        <v>-1</v>
      </c>
      <c r="R960" s="18">
        <f t="shared" si="189"/>
        <v>89.87939999999999</v>
      </c>
      <c r="S960" s="18">
        <f t="shared" si="190"/>
        <v>37.673999999999999</v>
      </c>
      <c r="T960" s="19">
        <f t="shared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>Tabela1[[#This Row],[QTDE/ Fabricação]]-Tabela1[[#This Row],[QTE]]</f>
        <v>-2</v>
      </c>
      <c r="R961" s="18">
        <f t="shared" ref="R961:R992" si="193">IFERROR(H961*((AA961*0.25)+(AC961*0.25)+(AD961*0.225)+(AE961*0.225)+(AF961*0.05)),"")</f>
        <v>248.22879999999998</v>
      </c>
      <c r="S961" s="18">
        <f t="shared" ref="S961:S992" si="194">IFERROR(H961*AG961,"")</f>
        <v>104.04799999999999</v>
      </c>
      <c r="T961" s="19">
        <f t="shared" ref="T961:T992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ref="Y961:Y992" si="196">U961-C961</f>
        <v>-2</v>
      </c>
      <c r="Z961" s="20">
        <f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>Tabela1[[#This Row],[QTDE/ Fabricação]]-Tabela1[[#This Row],[QTE]]</f>
        <v>-1</v>
      </c>
      <c r="R962" s="18">
        <f t="shared" si="193"/>
        <v>21.743399999999998</v>
      </c>
      <c r="S962" s="18">
        <f t="shared" si="194"/>
        <v>9.113999999999999</v>
      </c>
      <c r="T962" s="19">
        <f t="shared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6"/>
        <v>-1</v>
      </c>
      <c r="Z962" s="20">
        <f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>Tabela1[[#This Row],[QTDE/ Fabricação]]-Tabela1[[#This Row],[QTE]]</f>
        <v>-1</v>
      </c>
      <c r="R963" s="18">
        <f t="shared" si="193"/>
        <v>21.743399999999998</v>
      </c>
      <c r="S963" s="18">
        <f t="shared" si="194"/>
        <v>9.113999999999999</v>
      </c>
      <c r="T963" s="19">
        <f t="shared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6"/>
        <v>-1</v>
      </c>
      <c r="Z963" s="20">
        <f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>Tabela1[[#This Row],[QTDE/ Fabricação]]-Tabela1[[#This Row],[QTE]]</f>
        <v>-1</v>
      </c>
      <c r="R964" s="18">
        <f t="shared" si="193"/>
        <v>21.743399999999998</v>
      </c>
      <c r="S964" s="18">
        <f t="shared" si="194"/>
        <v>9.113999999999999</v>
      </c>
      <c r="T964" s="19">
        <f t="shared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6"/>
        <v>-1</v>
      </c>
      <c r="Z964" s="20">
        <f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>Tabela1[[#This Row],[QTDE/ Fabricação]]-Tabela1[[#This Row],[QTE]]</f>
        <v>-1</v>
      </c>
      <c r="R965" s="18">
        <f t="shared" si="193"/>
        <v>21.743399999999998</v>
      </c>
      <c r="S965" s="18">
        <f t="shared" si="194"/>
        <v>9.113999999999999</v>
      </c>
      <c r="T965" s="19">
        <f t="shared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si="196"/>
        <v>-1</v>
      </c>
      <c r="Z965" s="20">
        <f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>Tabela1[[#This Row],[QTDE/ Fabricação]]-Tabela1[[#This Row],[QTE]]</f>
        <v>-12</v>
      </c>
      <c r="R966" s="18">
        <f t="shared" si="193"/>
        <v>79.057799999999986</v>
      </c>
      <c r="S966" s="18">
        <f t="shared" si="194"/>
        <v>33.137999999999998</v>
      </c>
      <c r="T966" s="19">
        <f t="shared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-12</v>
      </c>
      <c r="Z966" s="20">
        <f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>Tabela1[[#This Row],[QTDE/ Fabricação]]-Tabela1[[#This Row],[QTE]]</f>
        <v>-3</v>
      </c>
      <c r="R967" s="18">
        <f t="shared" si="193"/>
        <v>25.876650000000001</v>
      </c>
      <c r="S967" s="18">
        <f t="shared" si="194"/>
        <v>10.846500000000001</v>
      </c>
      <c r="T967" s="19">
        <f t="shared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-3</v>
      </c>
      <c r="Z967" s="20">
        <f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>Tabela1[[#This Row],[QTDE/ Fabricação]]-Tabela1[[#This Row],[QTE]]</f>
        <v>-6</v>
      </c>
      <c r="R968" s="18">
        <f t="shared" si="193"/>
        <v>33.116100000000003</v>
      </c>
      <c r="S968" s="18">
        <f t="shared" si="194"/>
        <v>13.881</v>
      </c>
      <c r="T968" s="19">
        <f t="shared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-6</v>
      </c>
      <c r="Z968" s="20">
        <f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>Tabela1[[#This Row],[QTDE/ Fabricação]]-Tabela1[[#This Row],[QTE]]</f>
        <v>-2</v>
      </c>
      <c r="R969" s="18">
        <f t="shared" si="193"/>
        <v>161.2218</v>
      </c>
      <c r="S969" s="18">
        <f t="shared" si="194"/>
        <v>67.578000000000003</v>
      </c>
      <c r="T969" s="19">
        <f t="shared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-2</v>
      </c>
      <c r="Z969" s="20">
        <f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>Tabela1[[#This Row],[QTDE/ Fabricação]]-Tabela1[[#This Row],[QTE]]</f>
        <v>-2</v>
      </c>
      <c r="R970" s="18">
        <f t="shared" si="193"/>
        <v>188.09209999999999</v>
      </c>
      <c r="S970" s="18">
        <f t="shared" si="194"/>
        <v>78.840999999999994</v>
      </c>
      <c r="T970" s="19">
        <f t="shared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-2</v>
      </c>
      <c r="Z970" s="20">
        <f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>Tabela1[[#This Row],[QTDE/ Fabricação]]-Tabela1[[#This Row],[QTE]]</f>
        <v>-1</v>
      </c>
      <c r="R971" s="18">
        <f t="shared" si="193"/>
        <v>74.406849999999991</v>
      </c>
      <c r="S971" s="18">
        <f t="shared" si="194"/>
        <v>31.188499999999998</v>
      </c>
      <c r="T971" s="19">
        <f t="shared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>Tabela1[[#This Row],[QTDE/ Fabricação]]-Tabela1[[#This Row],[QTE]]</f>
        <v>-1</v>
      </c>
      <c r="R972" s="18">
        <f t="shared" si="193"/>
        <v>73.763900000000007</v>
      </c>
      <c r="S972" s="18">
        <f t="shared" si="194"/>
        <v>30.919</v>
      </c>
      <c r="T972" s="19">
        <f t="shared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>Tabela1[[#This Row],[QTDE/ Fabricação]]-Tabela1[[#This Row],[QTE]]</f>
        <v>-1</v>
      </c>
      <c r="R973" s="18">
        <f t="shared" si="193"/>
        <v>69.672399999999996</v>
      </c>
      <c r="S973" s="18">
        <f t="shared" si="194"/>
        <v>29.203999999999997</v>
      </c>
      <c r="T973" s="19">
        <f t="shared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-1</v>
      </c>
      <c r="Z973" s="20">
        <f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>Tabela1[[#This Row],[QTDE/ Fabricação]]-Tabela1[[#This Row],[QTE]]</f>
        <v>-1</v>
      </c>
      <c r="R974" s="18">
        <f t="shared" si="193"/>
        <v>87.791899999999998</v>
      </c>
      <c r="S974" s="18">
        <f t="shared" si="194"/>
        <v>36.798999999999999</v>
      </c>
      <c r="T974" s="19">
        <f t="shared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-1</v>
      </c>
      <c r="Z974" s="20">
        <f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>Tabela1[[#This Row],[QTDE/ Fabricação]]-Tabela1[[#This Row],[QTE]]</f>
        <v>-1</v>
      </c>
      <c r="R975" s="18">
        <f t="shared" si="193"/>
        <v>87.791899999999998</v>
      </c>
      <c r="S975" s="18">
        <f t="shared" si="194"/>
        <v>36.798999999999999</v>
      </c>
      <c r="T975" s="19">
        <f t="shared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-1</v>
      </c>
      <c r="Z975" s="20">
        <f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>Tabela1[[#This Row],[QTDE/ Fabricação]]-Tabela1[[#This Row],[QTE]]</f>
        <v>-1</v>
      </c>
      <c r="R976" s="18">
        <f t="shared" si="193"/>
        <v>89.87939999999999</v>
      </c>
      <c r="S976" s="18">
        <f t="shared" si="194"/>
        <v>37.673999999999999</v>
      </c>
      <c r="T976" s="19">
        <f t="shared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-1</v>
      </c>
      <c r="Z976" s="20">
        <f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>Tabela1[[#This Row],[QTDE/ Fabricação]]-Tabela1[[#This Row],[QTE]]</f>
        <v>-1</v>
      </c>
      <c r="R977" s="18">
        <f t="shared" si="193"/>
        <v>429.08144999999996</v>
      </c>
      <c r="S977" s="18">
        <f t="shared" si="194"/>
        <v>179.8545</v>
      </c>
      <c r="T977" s="19">
        <f t="shared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-1</v>
      </c>
      <c r="Z977" s="20">
        <f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>Tabela1[[#This Row],[QTDE/ Fabricação]]-Tabela1[[#This Row],[QTE]]</f>
        <v>-1</v>
      </c>
      <c r="R978" s="18">
        <f t="shared" si="193"/>
        <v>403.69745</v>
      </c>
      <c r="S978" s="18">
        <f t="shared" si="194"/>
        <v>169.21449999999999</v>
      </c>
      <c r="T978" s="19">
        <f t="shared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>Tabela1[[#This Row],[QTDE/ Fabricação]]-Tabela1[[#This Row],[QTE]]</f>
        <v>-1</v>
      </c>
      <c r="R979" s="18">
        <f t="shared" si="193"/>
        <v>398.86279999999999</v>
      </c>
      <c r="S979" s="18">
        <f t="shared" si="194"/>
        <v>167.18799999999999</v>
      </c>
      <c r="T979" s="19">
        <f t="shared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-1</v>
      </c>
      <c r="Z979" s="20">
        <f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>Tabela1[[#This Row],[QTDE/ Fabricação]]-Tabela1[[#This Row],[QTE]]</f>
        <v>-1</v>
      </c>
      <c r="R980" s="18">
        <f t="shared" si="193"/>
        <v>417.08249999999998</v>
      </c>
      <c r="S980" s="18">
        <f t="shared" si="194"/>
        <v>174.82499999999999</v>
      </c>
      <c r="T980" s="19">
        <f t="shared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>Tabela1[[#This Row],[QTDE/ Fabricação]]-Tabela1[[#This Row],[QTE]]</f>
        <v>-3</v>
      </c>
      <c r="R981" s="18">
        <f t="shared" si="193"/>
        <v>230.53515000000002</v>
      </c>
      <c r="S981" s="18">
        <f t="shared" si="194"/>
        <v>96.631500000000003</v>
      </c>
      <c r="T981" s="19">
        <f t="shared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-3</v>
      </c>
      <c r="Z981" s="20">
        <f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>Tabela1[[#This Row],[QTDE/ Fabricação]]-Tabela1[[#This Row],[QTE]]</f>
        <v>-1</v>
      </c>
      <c r="R982" s="18">
        <f t="shared" si="193"/>
        <v>95.574099999999987</v>
      </c>
      <c r="S982" s="18">
        <f t="shared" si="194"/>
        <v>40.060999999999993</v>
      </c>
      <c r="T982" s="19">
        <f t="shared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-1</v>
      </c>
      <c r="Z982" s="20">
        <f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>Tabela1[[#This Row],[QTDE/ Fabricação]]-Tabela1[[#This Row],[QTE]]</f>
        <v>-1</v>
      </c>
      <c r="R983" s="18">
        <f t="shared" si="193"/>
        <v>66.941950000000006</v>
      </c>
      <c r="S983" s="18">
        <f t="shared" si="194"/>
        <v>28.0595</v>
      </c>
      <c r="T983" s="19">
        <f t="shared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-1</v>
      </c>
      <c r="Z983" s="20">
        <f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>Tabela1[[#This Row],[QTDE/ Fabricação]]-Tabela1[[#This Row],[QTE]]</f>
        <v>-1</v>
      </c>
      <c r="R984" s="18">
        <f t="shared" si="193"/>
        <v>94.939499999999995</v>
      </c>
      <c r="S984" s="18">
        <f t="shared" si="194"/>
        <v>39.795000000000002</v>
      </c>
      <c r="T984" s="19">
        <f t="shared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-1</v>
      </c>
      <c r="Z984" s="20">
        <f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>Tabela1[[#This Row],[QTDE/ Fabricação]]-Tabela1[[#This Row],[QTE]]</f>
        <v>-3</v>
      </c>
      <c r="R985" s="18">
        <f t="shared" si="193"/>
        <v>117.23399999999998</v>
      </c>
      <c r="S985" s="18">
        <f t="shared" si="194"/>
        <v>49.139999999999986</v>
      </c>
      <c r="T985" s="19">
        <f t="shared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-3</v>
      </c>
      <c r="Z985" s="20">
        <f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>Tabela1[[#This Row],[QTDE/ Fabricação]]-Tabela1[[#This Row],[QTE]]</f>
        <v>-1</v>
      </c>
      <c r="R986" s="18">
        <f t="shared" si="193"/>
        <v>111.94844999999999</v>
      </c>
      <c r="S986" s="18">
        <f t="shared" si="194"/>
        <v>46.924499999999995</v>
      </c>
      <c r="T986" s="19">
        <f t="shared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 t="shared" si="196"/>
        <v>-1</v>
      </c>
      <c r="Z986" s="20">
        <f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>Tabela1[[#This Row],[QTDE/ Fabricação]]-Tabela1[[#This Row],[QTE]]</f>
        <v>-1</v>
      </c>
      <c r="R987" s="18">
        <f>IFERROR(H987*((AA987*0.25)+(AC988*0.25)+(AD988*0.225)+(AE988*0.225)+(AF988*0.05)),"")</f>
        <v>124.8826</v>
      </c>
      <c r="S987" s="18">
        <f>IFERROR(H987*AG988,"")</f>
        <v>52.345999999999997</v>
      </c>
      <c r="T987" s="19">
        <f t="shared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-1</v>
      </c>
      <c r="Z987" s="20">
        <f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>Tabela1[[#This Row],[QTDE/ Fabricação]]-Tabela1[[#This Row],[QTE]]</f>
        <v>-1</v>
      </c>
      <c r="R988" s="18" t="str">
        <f>IFERROR(H988*((AA988*0.25)+(#REF!*0.25)+(#REF!*0.225)+(#REF!*0.225)+(#REF!*0.05)),"")</f>
        <v/>
      </c>
      <c r="S988" s="18" t="str">
        <f>IFERROR(H988*#REF!,"")</f>
        <v/>
      </c>
      <c r="T988" s="19" t="str">
        <f t="shared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-1</v>
      </c>
      <c r="Z988" s="20">
        <f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>Tabela1[[#This Row],[QTDE/ Fabricação]]-Tabela1[[#This Row],[QTE]]</f>
        <v>-2</v>
      </c>
      <c r="R989" s="18">
        <f t="shared" si="193"/>
        <v>318.36879999999996</v>
      </c>
      <c r="S989" s="18">
        <f t="shared" si="194"/>
        <v>133.44799999999998</v>
      </c>
      <c r="T989" s="19">
        <f t="shared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>Tabela1[[#This Row],[QTDE/ Fabricação]]-Tabela1[[#This Row],[QTE]]</f>
        <v>-2</v>
      </c>
      <c r="R990" s="18">
        <f t="shared" si="193"/>
        <v>183.7167</v>
      </c>
      <c r="S990" s="18">
        <f t="shared" si="194"/>
        <v>77.007000000000005</v>
      </c>
      <c r="T990" s="19">
        <f t="shared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-2</v>
      </c>
      <c r="Z990" s="20">
        <f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>Tabela1[[#This Row],[QTDE/ Fabricação]]-Tabela1[[#This Row],[QTE]]</f>
        <v>-1</v>
      </c>
      <c r="R991" s="18">
        <f t="shared" si="193"/>
        <v>91.349000000000004</v>
      </c>
      <c r="S991" s="18">
        <f t="shared" si="194"/>
        <v>38.29</v>
      </c>
      <c r="T991" s="19">
        <f t="shared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-1</v>
      </c>
      <c r="Z991" s="20">
        <f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>Tabela1[[#This Row],[QTDE/ Fabricação]]-Tabela1[[#This Row],[QTE]]</f>
        <v>-1</v>
      </c>
      <c r="R992" s="18">
        <f t="shared" si="193"/>
        <v>156.01140000000001</v>
      </c>
      <c r="S992" s="18">
        <f t="shared" si="194"/>
        <v>65.393999999999991</v>
      </c>
      <c r="T992" s="19">
        <f t="shared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-1</v>
      </c>
      <c r="Z992" s="20">
        <f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>Tabela1[[#This Row],[QTDE/ Fabricação]]-Tabela1[[#This Row],[QTE]]</f>
        <v>-1</v>
      </c>
      <c r="R993" s="18">
        <f t="shared" ref="R993:R1025" si="197">IFERROR(H993*((AA993*0.25)+(AC993*0.25)+(AD993*0.225)+(AE993*0.225)+(AF993*0.05)),"")</f>
        <v>121.30045</v>
      </c>
      <c r="S993" s="18">
        <f t="shared" ref="S993:S1025" si="198">IFERROR(H993*AG993,"")</f>
        <v>50.844500000000004</v>
      </c>
      <c r="T993" s="19">
        <f t="shared" ref="T993:T1025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ref="Y993:Y1025" si="200">U993-C993</f>
        <v>-1</v>
      </c>
      <c r="Z993" s="20">
        <f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>Tabela1[[#This Row],[QTDE/ Fabricação]]-Tabela1[[#This Row],[QTE]]</f>
        <v>-4</v>
      </c>
      <c r="R994" s="18">
        <f t="shared" si="197"/>
        <v>5.1101999999999999</v>
      </c>
      <c r="S994" s="18">
        <f t="shared" si="198"/>
        <v>2.1419999999999999</v>
      </c>
      <c r="T994" s="19">
        <f t="shared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200"/>
        <v>-4</v>
      </c>
      <c r="Z994" s="20">
        <f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>Tabela1[[#This Row],[QTDE/ Fabricação]]-Tabela1[[#This Row],[QTE]]</f>
        <v>-2</v>
      </c>
      <c r="R995" s="18">
        <f t="shared" si="197"/>
        <v>2.6052</v>
      </c>
      <c r="S995" s="18">
        <f t="shared" si="198"/>
        <v>1.0919999999999999</v>
      </c>
      <c r="T995" s="19">
        <f t="shared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200"/>
        <v>-2</v>
      </c>
      <c r="Z995" s="20">
        <f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>Tabela1[[#This Row],[QTDE/ Fabricação]]-Tabela1[[#This Row],[QTE]]</f>
        <v>-2</v>
      </c>
      <c r="R996" s="18" t="str">
        <f>IFERROR(H996*((AA996*0.25)+(#REF!*0.25)+(#REF!*0.225)+(#REF!*0.225)+(#REF!*0.05)),"")</f>
        <v/>
      </c>
      <c r="S996" s="18" t="str">
        <f>IFERROR(H996*#REF!,"")</f>
        <v/>
      </c>
      <c r="T996" s="19" t="str">
        <f t="shared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200"/>
        <v>-2</v>
      </c>
      <c r="Z996" s="20">
        <f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>Tabela1[[#This Row],[QTDE/ Fabricação]]-Tabela1[[#This Row],[QTE]]</f>
        <v>-3</v>
      </c>
      <c r="R997" s="18">
        <f>IFERROR(H997*((AA997*0.25)+(AC996*0.25)+(AD996*0.225)+(AE996*0.225)+(AF996*0.05)),"")</f>
        <v>126.6027</v>
      </c>
      <c r="S997" s="18">
        <f>IFERROR(H997*AG996,"")</f>
        <v>53.067</v>
      </c>
      <c r="T997" s="19">
        <f t="shared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si="200"/>
        <v>-3</v>
      </c>
      <c r="Z997" s="20">
        <f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>Tabela1[[#This Row],[QTDE/ Fabricação]]-Tabela1[[#This Row],[QTE]]</f>
        <v>-1</v>
      </c>
      <c r="R998" s="18">
        <f t="shared" si="197"/>
        <v>96.951849999999993</v>
      </c>
      <c r="S998" s="18">
        <f t="shared" si="198"/>
        <v>40.638500000000001</v>
      </c>
      <c r="T998" s="19">
        <f t="shared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>Tabela1[[#This Row],[QTDE/ Fabricação]]-Tabela1[[#This Row],[QTE]]</f>
        <v>-1</v>
      </c>
      <c r="R999" s="18">
        <f t="shared" si="197"/>
        <v>94.112849999999995</v>
      </c>
      <c r="S999" s="18">
        <f t="shared" si="198"/>
        <v>39.448499999999996</v>
      </c>
      <c r="T999" s="19">
        <f t="shared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>Tabela1[[#This Row],[PESO UNI]]*Tabela1[[#This Row],[QTE]]</f>
        <v>372</v>
      </c>
      <c r="I1000" s="7" t="s">
        <v>5281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>Tabela1[[#This Row],[QTDE/ Fabricação]]-Tabela1[[#This Row],[QTE]]</f>
        <v>-1</v>
      </c>
      <c r="R1000" s="18">
        <f t="shared" si="197"/>
        <v>372</v>
      </c>
      <c r="S1000" s="18">
        <f t="shared" si="198"/>
        <v>372</v>
      </c>
      <c r="T1000" s="19">
        <f t="shared" si="199"/>
        <v>0</v>
      </c>
      <c r="U1000" s="16">
        <f>IFERROR(SUMIF('LISTA DE EMBARQUE'!B:B,MICRO!E:E,'LISTA DE EMBARQUE'!G:G),"")</f>
        <v>1</v>
      </c>
      <c r="V1000" s="12">
        <f>IFERROR(VLOOKUP(Tabela1[[#This Row],[COD.MDE]],'LISTA DE EMBARQUE'!B:L,11,0),"")</f>
        <v>8</v>
      </c>
      <c r="W1000" s="13">
        <f>IFERROR(VLOOKUP(Tabela1[[#This Row],[COD.MDE]],'LISTA DE EMBARQUE'!B:M,12,0),"")</f>
        <v>46280</v>
      </c>
      <c r="X1000" s="14">
        <f>IFERROR(Tabela1[[#This Row],[QIANTIDADE EXPEDIDA]]*Tabela1[[#This Row],[PESO UNI]],"")</f>
        <v>372</v>
      </c>
      <c r="Y1000" s="14">
        <f t="shared" si="200"/>
        <v>0</v>
      </c>
      <c r="Z1000" s="20">
        <f>Tabela1[[#This Row],[PESO TOTAL]]-Tabela1[[#This Row],[Peso Expedido]]</f>
        <v>0</v>
      </c>
      <c r="AA1000" s="17">
        <v>1</v>
      </c>
      <c r="AB1000" s="33"/>
      <c r="AC1000" s="33">
        <v>1</v>
      </c>
      <c r="AD1000" s="33">
        <v>1</v>
      </c>
      <c r="AE1000" s="33">
        <v>1</v>
      </c>
      <c r="AF1000" s="33">
        <v>1</v>
      </c>
      <c r="AG1000" s="33">
        <v>1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>Tabela1[[#This Row],[PESO UNI]]*Tabela1[[#This Row],[QTE]]</f>
        <v>26</v>
      </c>
      <c r="I1001" s="7" t="s">
        <v>5281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>Tabela1[[#This Row],[QTDE/ Fabricação]]-Tabela1[[#This Row],[QTE]]</f>
        <v>-4</v>
      </c>
      <c r="R1001" s="18">
        <f t="shared" si="197"/>
        <v>21.71</v>
      </c>
      <c r="S1001" s="18">
        <f t="shared" si="198"/>
        <v>9.1</v>
      </c>
      <c r="T1001" s="19">
        <f t="shared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-4</v>
      </c>
      <c r="Z1001" s="20">
        <f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>Tabela1[[#This Row],[PESO UNI]]*Tabela1[[#This Row],[QTE]]</f>
        <v>16.8</v>
      </c>
      <c r="I1002" s="7" t="s">
        <v>5281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>Tabela1[[#This Row],[QTDE/ Fabricação]]-Tabela1[[#This Row],[QTE]]</f>
        <v>-8</v>
      </c>
      <c r="R1002" s="18">
        <f t="shared" si="197"/>
        <v>16.8</v>
      </c>
      <c r="S1002" s="18">
        <f t="shared" si="198"/>
        <v>16.8</v>
      </c>
      <c r="T1002" s="19">
        <f t="shared" si="199"/>
        <v>0</v>
      </c>
      <c r="U1002" s="16">
        <f>IFERROR(SUMIF('LISTA DE EMBARQUE'!B:B,MICRO!E:E,'LISTA DE EMBARQUE'!G:G),"")</f>
        <v>8</v>
      </c>
      <c r="V1002" s="12">
        <f>IFERROR(VLOOKUP(Tabela1[[#This Row],[COD.MDE]],'LISTA DE EMBARQUE'!B:L,11,0),"")</f>
        <v>8</v>
      </c>
      <c r="W1002" s="13">
        <f>IFERROR(VLOOKUP(Tabela1[[#This Row],[COD.MDE]],'LISTA DE EMBARQUE'!B:M,12,0),"")</f>
        <v>46280</v>
      </c>
      <c r="X1002" s="14">
        <f>IFERROR(Tabela1[[#This Row],[QIANTIDADE EXPEDIDA]]*Tabela1[[#This Row],[PESO UNI]],"")</f>
        <v>16.8</v>
      </c>
      <c r="Y1002" s="14">
        <f t="shared" si="200"/>
        <v>0</v>
      </c>
      <c r="Z1002" s="20">
        <f>Tabela1[[#This Row],[PESO TOTAL]]-Tabela1[[#This Row],[Peso Expedido]]</f>
        <v>0</v>
      </c>
      <c r="AA1002" s="17">
        <v>1</v>
      </c>
      <c r="AB1002" s="33"/>
      <c r="AC1002" s="33">
        <v>1</v>
      </c>
      <c r="AD1002" s="33">
        <v>1</v>
      </c>
      <c r="AE1002" s="33">
        <v>1</v>
      </c>
      <c r="AF1002" s="33">
        <v>1</v>
      </c>
      <c r="AG1002" s="33">
        <v>1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>Tabela1[[#This Row],[PESO UNI]]*Tabela1[[#This Row],[QTE]]</f>
        <v>3.2</v>
      </c>
      <c r="I1003" s="7" t="s">
        <v>5281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>Tabela1[[#This Row],[QTDE/ Fabricação]]-Tabela1[[#This Row],[QTE]]</f>
        <v>-2</v>
      </c>
      <c r="R1003" s="18">
        <f t="shared" si="197"/>
        <v>3.2</v>
      </c>
      <c r="S1003" s="18">
        <f t="shared" si="198"/>
        <v>3.2</v>
      </c>
      <c r="T1003" s="19">
        <f t="shared" si="199"/>
        <v>0</v>
      </c>
      <c r="U1003" s="16">
        <f>IFERROR(SUMIF('LISTA DE EMBARQUE'!B:B,MICRO!E:E,'LISTA DE EMBARQUE'!G:G),"")</f>
        <v>2</v>
      </c>
      <c r="V1003" s="12">
        <f>IFERROR(VLOOKUP(Tabela1[[#This Row],[COD.MDE]],'LISTA DE EMBARQUE'!B:L,11,0),"")</f>
        <v>8</v>
      </c>
      <c r="W1003" s="13">
        <f>IFERROR(VLOOKUP(Tabela1[[#This Row],[COD.MDE]],'LISTA DE EMBARQUE'!B:M,12,0),"")</f>
        <v>46280</v>
      </c>
      <c r="X1003" s="14">
        <f>IFERROR(Tabela1[[#This Row],[QIANTIDADE EXPEDIDA]]*Tabela1[[#This Row],[PESO UNI]],"")</f>
        <v>3.2</v>
      </c>
      <c r="Y1003" s="14">
        <f t="shared" si="200"/>
        <v>0</v>
      </c>
      <c r="Z1003" s="20">
        <f>Tabela1[[#This Row],[PESO TOTAL]]-Tabela1[[#This Row],[Peso Expedido]]</f>
        <v>0</v>
      </c>
      <c r="AA1003" s="17">
        <v>1</v>
      </c>
      <c r="AB1003" s="33"/>
      <c r="AC1003" s="33">
        <v>1</v>
      </c>
      <c r="AD1003" s="33">
        <v>1</v>
      </c>
      <c r="AE1003" s="33">
        <v>1</v>
      </c>
      <c r="AF1003" s="33">
        <v>1</v>
      </c>
      <c r="AG1003" s="33">
        <v>1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>Tabela1[[#This Row],[PESO UNI]]*Tabela1[[#This Row],[QTE]]</f>
        <v>1.2</v>
      </c>
      <c r="I1004" s="7" t="s">
        <v>5281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>Tabela1[[#This Row],[QTDE/ Fabricação]]-Tabela1[[#This Row],[QTE]]</f>
        <v>-4</v>
      </c>
      <c r="R1004" s="18">
        <f t="shared" si="197"/>
        <v>1.2</v>
      </c>
      <c r="S1004" s="18">
        <f t="shared" si="198"/>
        <v>1.2</v>
      </c>
      <c r="T1004" s="19">
        <f t="shared" si="199"/>
        <v>0</v>
      </c>
      <c r="U1004" s="16">
        <f>IFERROR(SUMIF('LISTA DE EMBARQUE'!B:B,MICRO!E:E,'LISTA DE EMBARQUE'!G:G),"")</f>
        <v>4</v>
      </c>
      <c r="V1004" s="12">
        <f>IFERROR(VLOOKUP(Tabela1[[#This Row],[COD.MDE]],'LISTA DE EMBARQUE'!B:L,11,0),"")</f>
        <v>8</v>
      </c>
      <c r="W1004" s="13">
        <f>IFERROR(VLOOKUP(Tabela1[[#This Row],[COD.MDE]],'LISTA DE EMBARQUE'!B:M,12,0),"")</f>
        <v>46280</v>
      </c>
      <c r="X1004" s="14">
        <f>IFERROR(Tabela1[[#This Row],[QIANTIDADE EXPEDIDA]]*Tabela1[[#This Row],[PESO UNI]],"")</f>
        <v>1.2</v>
      </c>
      <c r="Y1004" s="14">
        <f t="shared" si="200"/>
        <v>0</v>
      </c>
      <c r="Z1004" s="20">
        <f>Tabela1[[#This Row],[PESO TOTAL]]-Tabela1[[#This Row],[Peso Expedido]]</f>
        <v>0</v>
      </c>
      <c r="AA1004" s="17">
        <v>1</v>
      </c>
      <c r="AB1004" s="33"/>
      <c r="AC1004" s="33">
        <v>1</v>
      </c>
      <c r="AD1004" s="33">
        <v>1</v>
      </c>
      <c r="AE1004" s="33">
        <v>1</v>
      </c>
      <c r="AF1004" s="33">
        <v>1</v>
      </c>
      <c r="AG1004" s="33">
        <v>1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>Tabela1[[#This Row],[PESO UNI]]*Tabela1[[#This Row],[QTE]]</f>
        <v>28.8</v>
      </c>
      <c r="I1005" s="7" t="s">
        <v>5281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>Tabela1[[#This Row],[QTDE/ Fabricação]]-Tabela1[[#This Row],[QTE]]</f>
        <v>-2</v>
      </c>
      <c r="R1005" s="18">
        <f t="shared" si="197"/>
        <v>28.8</v>
      </c>
      <c r="S1005" s="18">
        <f t="shared" si="198"/>
        <v>28.8</v>
      </c>
      <c r="T1005" s="19">
        <f t="shared" si="199"/>
        <v>0</v>
      </c>
      <c r="U1005" s="16">
        <f>IFERROR(SUMIF('LISTA DE EMBARQUE'!B:B,MICRO!E:E,'LISTA DE EMBARQUE'!G:G),"")</f>
        <v>2</v>
      </c>
      <c r="V1005" s="12">
        <f>IFERROR(VLOOKUP(Tabela1[[#This Row],[COD.MDE]],'LISTA DE EMBARQUE'!B:L,11,0),"")</f>
        <v>8</v>
      </c>
      <c r="W1005" s="13">
        <f>IFERROR(VLOOKUP(Tabela1[[#This Row],[COD.MDE]],'LISTA DE EMBARQUE'!B:M,12,0),"")</f>
        <v>46280</v>
      </c>
      <c r="X1005" s="14">
        <f>IFERROR(Tabela1[[#This Row],[QIANTIDADE EXPEDIDA]]*Tabela1[[#This Row],[PESO UNI]],"")</f>
        <v>28.8</v>
      </c>
      <c r="Y1005" s="14">
        <f t="shared" si="200"/>
        <v>0</v>
      </c>
      <c r="Z1005" s="20">
        <f>Tabela1[[#This Row],[PESO TOTAL]]-Tabela1[[#This Row],[Peso Expedido]]</f>
        <v>0</v>
      </c>
      <c r="AA1005" s="17">
        <v>1</v>
      </c>
      <c r="AB1005" s="33"/>
      <c r="AC1005" s="33">
        <v>1</v>
      </c>
      <c r="AD1005" s="33">
        <v>1</v>
      </c>
      <c r="AE1005" s="33">
        <v>1</v>
      </c>
      <c r="AF1005" s="33">
        <v>1</v>
      </c>
      <c r="AG1005" s="33">
        <v>1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customHeight="1" x14ac:dyDescent="0.25">
      <c r="A1006" s="1" t="s">
        <v>5416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>Tabela1[[#This Row],[PESO UNI]]*Tabela1[[#This Row],[QTE]]</f>
        <v>408.6</v>
      </c>
      <c r="I1006" s="7" t="s">
        <v>5281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>Tabela1[[#This Row],[QTDE/ Fabricação]]-Tabela1[[#This Row],[QTE]]</f>
        <v>-1</v>
      </c>
      <c r="R1006" s="18">
        <f t="shared" si="197"/>
        <v>408.6</v>
      </c>
      <c r="S1006" s="18">
        <f t="shared" si="198"/>
        <v>408.6</v>
      </c>
      <c r="T1006" s="19">
        <f t="shared" si="199"/>
        <v>0</v>
      </c>
      <c r="U1006" s="16">
        <f>IFERROR(SUMIF('LISTA DE EMBARQUE'!B:B,MICRO!E:E,'LISTA DE EMBARQUE'!G:G),"")</f>
        <v>1</v>
      </c>
      <c r="V1006" s="12">
        <f>IFERROR(VLOOKUP(Tabela1[[#This Row],[COD.MDE]],'LISTA DE EMBARQUE'!B:L,11,0),"")</f>
        <v>8</v>
      </c>
      <c r="W1006" s="13">
        <f>IFERROR(VLOOKUP(Tabela1[[#This Row],[COD.MDE]],'LISTA DE EMBARQUE'!B:M,12,0),"")</f>
        <v>46280</v>
      </c>
      <c r="X1006" s="14">
        <f>IFERROR(Tabela1[[#This Row],[QIANTIDADE EXPEDIDA]]*Tabela1[[#This Row],[PESO UNI]],"")</f>
        <v>408.6</v>
      </c>
      <c r="Y1006" s="14">
        <f t="shared" si="200"/>
        <v>0</v>
      </c>
      <c r="Z1006" s="20">
        <f>Tabela1[[#This Row],[PESO TOTAL]]-Tabela1[[#This Row],[Peso Expedido]]</f>
        <v>0</v>
      </c>
      <c r="AA1006" s="17">
        <v>1</v>
      </c>
      <c r="AB1006" s="33"/>
      <c r="AC1006" s="33">
        <v>1</v>
      </c>
      <c r="AD1006" s="33">
        <v>1</v>
      </c>
      <c r="AE1006" s="33">
        <v>1</v>
      </c>
      <c r="AF1006" s="33">
        <v>1</v>
      </c>
      <c r="AG1006" s="33">
        <v>1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customHeight="1" x14ac:dyDescent="0.25">
      <c r="A1007" s="1" t="s">
        <v>5283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>Tabela1[[#This Row],[PESO UNI]]*Tabela1[[#This Row],[QTE]]</f>
        <v>62.6</v>
      </c>
      <c r="I1007" s="7" t="s">
        <v>5281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>Tabela1[[#This Row],[QTDE/ Fabricação]]-Tabela1[[#This Row],[QTE]]</f>
        <v>-2</v>
      </c>
      <c r="R1007" s="18">
        <f t="shared" si="197"/>
        <v>52.271000000000001</v>
      </c>
      <c r="S1007" s="18">
        <f t="shared" si="198"/>
        <v>21.91</v>
      </c>
      <c r="T1007" s="19">
        <f t="shared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0"/>
        <v>-2</v>
      </c>
      <c r="Z1007" s="20">
        <f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customHeight="1" x14ac:dyDescent="0.25">
      <c r="A1008" s="1" t="s">
        <v>5283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>Tabela1[[#This Row],[PESO UNI]]*Tabela1[[#This Row],[QTE]]</f>
        <v>37.200000000000003</v>
      </c>
      <c r="I1008" s="7" t="s">
        <v>5281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>Tabela1[[#This Row],[QTDE/ Fabricação]]-Tabela1[[#This Row],[QTE]]</f>
        <v>-1</v>
      </c>
      <c r="R1008" s="18">
        <f t="shared" si="197"/>
        <v>31.062000000000001</v>
      </c>
      <c r="S1008" s="18">
        <f t="shared" si="198"/>
        <v>13.02</v>
      </c>
      <c r="T1008" s="19">
        <f t="shared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0"/>
        <v>-1</v>
      </c>
      <c r="Z1008" s="20">
        <f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customHeight="1" x14ac:dyDescent="0.25">
      <c r="A1009" s="1" t="s">
        <v>5283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>Tabela1[[#This Row],[PESO UNI]]*Tabela1[[#This Row],[QTE]]</f>
        <v>470.8</v>
      </c>
      <c r="I1009" s="7" t="s">
        <v>5281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>Tabela1[[#This Row],[QTDE/ Fabricação]]-Tabela1[[#This Row],[QTE]]</f>
        <v>-2</v>
      </c>
      <c r="R1009" s="18">
        <f t="shared" si="197"/>
        <v>393.11799999999999</v>
      </c>
      <c r="S1009" s="18">
        <f t="shared" si="198"/>
        <v>164.78</v>
      </c>
      <c r="T1009" s="19">
        <f t="shared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0"/>
        <v>-2</v>
      </c>
      <c r="Z1009" s="20">
        <f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customHeight="1" x14ac:dyDescent="0.25">
      <c r="A1010" s="1" t="s">
        <v>5283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>Tabela1[[#This Row],[PESO UNI]]*Tabela1[[#This Row],[QTE]]</f>
        <v>17.8</v>
      </c>
      <c r="I1010" s="7" t="s">
        <v>5281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>Tabela1[[#This Row],[QTDE/ Fabricação]]-Tabela1[[#This Row],[QTE]]</f>
        <v>-2</v>
      </c>
      <c r="R1010" s="18">
        <f t="shared" si="197"/>
        <v>14.863</v>
      </c>
      <c r="S1010" s="18">
        <f t="shared" si="198"/>
        <v>6.2299999999999995</v>
      </c>
      <c r="T1010" s="19">
        <f t="shared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0"/>
        <v>-2</v>
      </c>
      <c r="Z1010" s="20">
        <f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customHeight="1" x14ac:dyDescent="0.25">
      <c r="A1011" s="1" t="s">
        <v>5283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>Tabela1[[#This Row],[PESO UNI]]*Tabela1[[#This Row],[QTE]]</f>
        <v>3.2</v>
      </c>
      <c r="I1011" s="7" t="s">
        <v>5281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>Tabela1[[#This Row],[QTDE/ Fabricação]]-Tabela1[[#This Row],[QTE]]</f>
        <v>-2</v>
      </c>
      <c r="R1011" s="18">
        <f t="shared" si="197"/>
        <v>2.6720000000000002</v>
      </c>
      <c r="S1011" s="18">
        <f t="shared" si="198"/>
        <v>1.1199999999999999</v>
      </c>
      <c r="T1011" s="19">
        <f t="shared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0"/>
        <v>-2</v>
      </c>
      <c r="Z1011" s="20">
        <f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customHeight="1" x14ac:dyDescent="0.25">
      <c r="A1012" s="1" t="s">
        <v>5283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>Tabela1[[#This Row],[PESO UNI]]*Tabela1[[#This Row],[QTE]]</f>
        <v>1.2</v>
      </c>
      <c r="I1012" s="7" t="s">
        <v>5281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>Tabela1[[#This Row],[QTDE/ Fabricação]]-Tabela1[[#This Row],[QTE]]</f>
        <v>-4</v>
      </c>
      <c r="R1012" s="18">
        <f t="shared" si="197"/>
        <v>1.002</v>
      </c>
      <c r="S1012" s="18">
        <f t="shared" si="198"/>
        <v>0.42</v>
      </c>
      <c r="T1012" s="19">
        <f t="shared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0"/>
        <v>-4</v>
      </c>
      <c r="Z1012" s="20">
        <f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customHeight="1" x14ac:dyDescent="0.25">
      <c r="A1013" s="1" t="s">
        <v>5282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>Tabela1[[#This Row],[PESO UNI]]*Tabela1[[#This Row],[QTE]]</f>
        <v>204.2</v>
      </c>
      <c r="I1013" s="7" t="s">
        <v>5281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>Tabela1[[#This Row],[QTDE/ Fabricação]]-Tabela1[[#This Row],[QTE]]</f>
        <v>-1</v>
      </c>
      <c r="R1013" s="18">
        <f t="shared" si="197"/>
        <v>204.2</v>
      </c>
      <c r="S1013" s="18">
        <f t="shared" si="198"/>
        <v>204.2</v>
      </c>
      <c r="T1013" s="19">
        <f t="shared" si="199"/>
        <v>0</v>
      </c>
      <c r="U1013" s="16">
        <f>IFERROR(SUMIF('LISTA DE EMBARQUE'!B:B,MICRO!E:E,'LISTA DE EMBARQUE'!G:G),"")</f>
        <v>1</v>
      </c>
      <c r="V1013" s="12">
        <f>IFERROR(VLOOKUP(Tabela1[[#This Row],[COD.MDE]],'LISTA DE EMBARQUE'!B:L,11,0),"")</f>
        <v>8</v>
      </c>
      <c r="W1013" s="13">
        <f>IFERROR(VLOOKUP(Tabela1[[#This Row],[COD.MDE]],'LISTA DE EMBARQUE'!B:M,12,0),"")</f>
        <v>46280</v>
      </c>
      <c r="X1013" s="14">
        <f>IFERROR(Tabela1[[#This Row],[QIANTIDADE EXPEDIDA]]*Tabela1[[#This Row],[PESO UNI]],"")</f>
        <v>204.2</v>
      </c>
      <c r="Y1013" s="14">
        <f t="shared" si="200"/>
        <v>0</v>
      </c>
      <c r="Z1013" s="20">
        <f>Tabela1[[#This Row],[PESO TOTAL]]-Tabela1[[#This Row],[Peso Expedido]]</f>
        <v>0</v>
      </c>
      <c r="AA1013" s="17">
        <v>1</v>
      </c>
      <c r="AB1013" s="33"/>
      <c r="AC1013" s="33">
        <v>1</v>
      </c>
      <c r="AD1013" s="33">
        <v>1</v>
      </c>
      <c r="AE1013" s="33">
        <v>1</v>
      </c>
      <c r="AF1013" s="33">
        <v>1</v>
      </c>
      <c r="AG1013" s="33">
        <v>1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customHeight="1" x14ac:dyDescent="0.25">
      <c r="A1014" s="1" t="s">
        <v>5282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>Tabela1[[#This Row],[PESO UNI]]*Tabela1[[#This Row],[QTE]]</f>
        <v>168.6</v>
      </c>
      <c r="I1014" s="7" t="s">
        <v>5281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>Tabela1[[#This Row],[QTDE/ Fabricação]]-Tabela1[[#This Row],[QTE]]</f>
        <v>-1</v>
      </c>
      <c r="R1014" s="18">
        <f>IFERROR(H1014*((AA1014*0.25)+(AC1014*0.25)+(AD1014*0.225)+(AE1014*0.225)+(AF1014*0.05)),"")</f>
        <v>168.6</v>
      </c>
      <c r="S1014" s="18">
        <f>IFERROR(H1014*AG1014,"")</f>
        <v>168.6</v>
      </c>
      <c r="T1014" s="19">
        <f>IFERROR(S1014-H1014,"")</f>
        <v>0</v>
      </c>
      <c r="U1014" s="16">
        <f>IFERROR(SUMIF('LISTA DE EMBARQUE'!B:B,MICRO!E:E,'LISTA DE EMBARQUE'!G:G),"")</f>
        <v>1</v>
      </c>
      <c r="V1014" s="12">
        <f>IFERROR(VLOOKUP(Tabela1[[#This Row],[COD.MDE]],'LISTA DE EMBARQUE'!B:L,11,0),"")</f>
        <v>8</v>
      </c>
      <c r="W1014" s="13">
        <f>IFERROR(VLOOKUP(Tabela1[[#This Row],[COD.MDE]],'LISTA DE EMBARQUE'!B:M,12,0),"")</f>
        <v>46280</v>
      </c>
      <c r="X1014" s="14">
        <f>IFERROR(Tabela1[[#This Row],[QIANTIDADE EXPEDIDA]]*Tabela1[[#This Row],[PESO UNI]],"")</f>
        <v>168.6</v>
      </c>
      <c r="Y1014" s="14">
        <f>U1014-C1014</f>
        <v>0</v>
      </c>
      <c r="Z1014" s="20">
        <f>Tabela1[[#This Row],[PESO TOTAL]]-Tabela1[[#This Row],[Peso Expedido]]</f>
        <v>0</v>
      </c>
      <c r="AA1014" s="17">
        <v>1</v>
      </c>
      <c r="AB1014" s="33"/>
      <c r="AC1014" s="33">
        <v>1</v>
      </c>
      <c r="AD1014" s="33">
        <v>1</v>
      </c>
      <c r="AE1014" s="33">
        <v>1</v>
      </c>
      <c r="AF1014" s="33">
        <v>1</v>
      </c>
      <c r="AG1014" s="33">
        <v>1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customHeight="1" x14ac:dyDescent="0.25">
      <c r="A1015" s="1" t="s">
        <v>5282</v>
      </c>
      <c r="B1015" s="21" t="s">
        <v>5238</v>
      </c>
      <c r="C1015" s="1">
        <v>1</v>
      </c>
      <c r="D1015" s="1" t="s">
        <v>5417</v>
      </c>
      <c r="E1015" s="7">
        <v>4750</v>
      </c>
      <c r="F1015" s="7">
        <v>61</v>
      </c>
      <c r="G1015" s="1">
        <v>36.4</v>
      </c>
      <c r="H1015" s="34">
        <f>Tabela1[[#This Row],[PESO UNI]]*Tabela1[[#This Row],[QTE]]</f>
        <v>36.4</v>
      </c>
      <c r="I1015" s="7" t="s">
        <v>5281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>Tabela1[[#This Row],[QTDE/ Fabricação]]-Tabela1[[#This Row],[QTE]]</f>
        <v>-1</v>
      </c>
      <c r="R1015" s="18">
        <f>IFERROR(H1015*((AA1015*0.25)+(AC1015*0.25)+(AD1015*0.225)+(AE1015*0.225)+(AF1015*0.05)),"")</f>
        <v>36.4</v>
      </c>
      <c r="S1015" s="18">
        <f>IFERROR(H1015*AG1015,"")</f>
        <v>36.4</v>
      </c>
      <c r="T1015" s="19">
        <f>IFERROR(S1015-H1015,"")</f>
        <v>0</v>
      </c>
      <c r="U1015" s="16">
        <f>IFERROR(SUMIF('LISTA DE EMBARQUE'!B:B,MICRO!E:E,'LISTA DE EMBARQUE'!G:G),"")</f>
        <v>1</v>
      </c>
      <c r="V1015" s="12">
        <f>IFERROR(VLOOKUP(Tabela1[[#This Row],[COD.MDE]],'LISTA DE EMBARQUE'!B:L,11,0),"")</f>
        <v>8</v>
      </c>
      <c r="W1015" s="13">
        <f>IFERROR(VLOOKUP(Tabela1[[#This Row],[COD.MDE]],'LISTA DE EMBARQUE'!B:M,12,0),"")</f>
        <v>46280</v>
      </c>
      <c r="X1015" s="14">
        <f>IFERROR(Tabela1[[#This Row],[QIANTIDADE EXPEDIDA]]*Tabela1[[#This Row],[PESO UNI]],"")</f>
        <v>36.4</v>
      </c>
      <c r="Y1015" s="14">
        <f>U1015-C1015</f>
        <v>0</v>
      </c>
      <c r="Z1015" s="20">
        <f>Tabela1[[#This Row],[PESO TOTAL]]-Tabela1[[#This Row],[Peso Expedido]]</f>
        <v>0</v>
      </c>
      <c r="AA1015" s="17">
        <v>1</v>
      </c>
      <c r="AB1015" s="33"/>
      <c r="AC1015" s="33">
        <v>1</v>
      </c>
      <c r="AD1015" s="33">
        <v>1</v>
      </c>
      <c r="AE1015" s="33">
        <v>1</v>
      </c>
      <c r="AF1015" s="33">
        <v>1</v>
      </c>
      <c r="AG1015" s="33">
        <v>1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>Tabela1[[#This Row],[PESO UNI]]*Tabela1[[#This Row],[QTE]]</f>
        <v>112.4</v>
      </c>
      <c r="I1016" s="7" t="s">
        <v>5642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>Tabela1[[#This Row],[QTDE/ Fabricação]]-Tabela1[[#This Row],[QTE]]</f>
        <v>-4</v>
      </c>
      <c r="R1016" s="18">
        <f t="shared" si="197"/>
        <v>93.853999999999999</v>
      </c>
      <c r="S1016" s="18">
        <f t="shared" si="198"/>
        <v>39.339999999999996</v>
      </c>
      <c r="T1016" s="19">
        <f t="shared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0"/>
        <v>-4</v>
      </c>
      <c r="Z1016" s="20">
        <f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>Tabela1[[#This Row],[PESO UNI]]*Tabela1[[#This Row],[QTE]]</f>
        <v>153.19999999999999</v>
      </c>
      <c r="I1017" s="7" t="s">
        <v>5642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>Tabela1[[#This Row],[QTDE/ Fabricação]]-Tabela1[[#This Row],[QTE]]</f>
        <v>-4</v>
      </c>
      <c r="R1017" s="18">
        <f t="shared" si="197"/>
        <v>127.92199999999998</v>
      </c>
      <c r="S1017" s="18">
        <f t="shared" si="198"/>
        <v>53.61999999999999</v>
      </c>
      <c r="T1017" s="19">
        <f t="shared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0"/>
        <v>-4</v>
      </c>
      <c r="Z1017" s="20">
        <f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>Tabela1[[#This Row],[PESO UNI]]*Tabela1[[#This Row],[QTE]]</f>
        <v>31.6</v>
      </c>
      <c r="I1018" s="7" t="s">
        <v>5642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>Tabela1[[#This Row],[QTDE/ Fabricação]]-Tabela1[[#This Row],[QTE]]</f>
        <v>-2</v>
      </c>
      <c r="R1018" s="18">
        <f t="shared" si="197"/>
        <v>26.385999999999999</v>
      </c>
      <c r="S1018" s="18">
        <f t="shared" si="198"/>
        <v>11.06</v>
      </c>
      <c r="T1018" s="19">
        <f t="shared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0"/>
        <v>-2</v>
      </c>
      <c r="Z1018" s="20">
        <f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>Tabela1[[#This Row],[PESO UNI]]*Tabela1[[#This Row],[QTE]]</f>
        <v>113.6</v>
      </c>
      <c r="I1019" s="7" t="s">
        <v>5642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>Tabela1[[#This Row],[QTDE/ Fabricação]]-Tabela1[[#This Row],[QTE]]</f>
        <v>-4</v>
      </c>
      <c r="R1019" s="18">
        <f t="shared" si="197"/>
        <v>94.855999999999995</v>
      </c>
      <c r="S1019" s="18">
        <f t="shared" si="198"/>
        <v>39.76</v>
      </c>
      <c r="T1019" s="19">
        <f t="shared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0"/>
        <v>-4</v>
      </c>
      <c r="Z1019" s="20">
        <f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>Tabela1[[#This Row],[PESO UNI]]*Tabela1[[#This Row],[QTE]]</f>
        <v>117.6</v>
      </c>
      <c r="I1020" s="7" t="s">
        <v>5642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>Tabela1[[#This Row],[QTDE/ Fabricação]]-Tabela1[[#This Row],[QTE]]</f>
        <v>-4</v>
      </c>
      <c r="R1020" s="18">
        <f t="shared" si="197"/>
        <v>98.195999999999998</v>
      </c>
      <c r="S1020" s="18">
        <f t="shared" si="198"/>
        <v>41.16</v>
      </c>
      <c r="T1020" s="19">
        <f t="shared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si="200"/>
        <v>-4</v>
      </c>
      <c r="Z1020" s="20">
        <f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>Tabela1[[#This Row],[PESO UNI]]*Tabela1[[#This Row],[QTE]]</f>
        <v>144.5</v>
      </c>
      <c r="I1021" s="7" t="s">
        <v>5642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>Tabela1[[#This Row],[QTDE/ Fabricação]]-Tabela1[[#This Row],[QTE]]</f>
        <v>-5</v>
      </c>
      <c r="R1021" s="18">
        <f t="shared" si="197"/>
        <v>120.6575</v>
      </c>
      <c r="S1021" s="18">
        <f t="shared" si="198"/>
        <v>50.574999999999996</v>
      </c>
      <c r="T1021" s="19">
        <f t="shared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00"/>
        <v>-5</v>
      </c>
      <c r="Z1021" s="20">
        <f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>Tabela1[[#This Row],[PESO UNI]]*Tabela1[[#This Row],[QTE]]</f>
        <v>1.6</v>
      </c>
      <c r="I1022" s="7" t="s">
        <v>5642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>Tabela1[[#This Row],[QTDE/ Fabricação]]-Tabela1[[#This Row],[QTE]]</f>
        <v>-8</v>
      </c>
      <c r="R1022" s="18">
        <f t="shared" si="197"/>
        <v>1.3360000000000001</v>
      </c>
      <c r="S1022" s="18">
        <f t="shared" si="198"/>
        <v>0.55999999999999994</v>
      </c>
      <c r="T1022" s="19">
        <f t="shared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si="200"/>
        <v>-8</v>
      </c>
      <c r="Z1022" s="20">
        <f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>Tabela1[[#This Row],[QTDE/ Fabricação]]-Tabela1[[#This Row],[QTE]]</f>
        <v>-40</v>
      </c>
      <c r="R1023" s="18">
        <f t="shared" si="197"/>
        <v>0</v>
      </c>
      <c r="S1023" s="18">
        <f t="shared" si="198"/>
        <v>0</v>
      </c>
      <c r="T1023" s="19">
        <f t="shared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00"/>
        <v>-40</v>
      </c>
      <c r="Z1023" s="20">
        <f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>Tabela1[[#This Row],[PESO UNI]]*Tabela1[[#This Row],[QTE]]</f>
        <v>12297.599999999999</v>
      </c>
      <c r="I1024" s="7" t="s">
        <v>5581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>Tabela1[[#This Row],[QTDE/ Fabricação]]-Tabela1[[#This Row],[QTE]]</f>
        <v>-126</v>
      </c>
      <c r="R1024" s="18">
        <f t="shared" si="197"/>
        <v>0</v>
      </c>
      <c r="S1024" s="18">
        <f t="shared" si="198"/>
        <v>0</v>
      </c>
      <c r="T1024" s="19">
        <f t="shared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00"/>
        <v>-126</v>
      </c>
      <c r="Z1024" s="20">
        <f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>Tabela1[[#This Row],[PESO UNI]]*Tabela1[[#This Row],[QTE]]</f>
        <v>1738.1999999999998</v>
      </c>
      <c r="I1025" s="7" t="s">
        <v>5581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38</v>
      </c>
      <c r="O1025" s="12"/>
      <c r="P1025" s="13"/>
      <c r="Q1025" s="14">
        <f>Tabela1[[#This Row],[QTDE/ Fabricação]]-Tabela1[[#This Row],[QTE]]</f>
        <v>-6</v>
      </c>
      <c r="R1025" s="18">
        <f t="shared" si="197"/>
        <v>0</v>
      </c>
      <c r="S1025" s="18">
        <f t="shared" si="198"/>
        <v>0</v>
      </c>
      <c r="T1025" s="19">
        <f t="shared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00"/>
        <v>-6</v>
      </c>
      <c r="Z1025" s="20">
        <f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>Tabela1[[#This Row],[PESO UNI]]*Tabela1[[#This Row],[QTE]]</f>
        <v>579.4</v>
      </c>
      <c r="I1026" s="7" t="s">
        <v>5581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38</v>
      </c>
      <c r="O1026" s="12"/>
      <c r="P1026" s="13"/>
      <c r="Q1026" s="14">
        <f>Tabela1[[#This Row],[QTDE/ Fabricação]]-Tabela1[[#This Row],[QTE]]</f>
        <v>-2</v>
      </c>
      <c r="R1026" s="18">
        <f t="shared" ref="R1026:R1032" si="201">IFERROR(H1026*((AA1026*0.25)+(AC1026*0.25)+(AD1026*0.225)+(AE1026*0.225)+(AF1026*0.05)),"")</f>
        <v>0</v>
      </c>
      <c r="S1026" s="18">
        <f t="shared" ref="S1026:S1032" si="202">IFERROR(H1026*AG1026,"")</f>
        <v>0</v>
      </c>
      <c r="T1026" s="19">
        <f t="shared" ref="T1026:T1032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ref="Y1026:Y1032" si="204">U1026-C1026</f>
        <v>-2</v>
      </c>
      <c r="Z1026" s="20">
        <f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>Tabela1[[#This Row],[PESO UNI]]*Tabela1[[#This Row],[QTE]]</f>
        <v>588</v>
      </c>
      <c r="I1027" s="7" t="s">
        <v>5581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38</v>
      </c>
      <c r="O1027" s="12"/>
      <c r="P1027" s="13"/>
      <c r="Q1027" s="14">
        <f>Tabela1[[#This Row],[QTDE/ Fabricação]]-Tabela1[[#This Row],[QTE]]</f>
        <v>-1</v>
      </c>
      <c r="R1027" s="18">
        <f t="shared" si="201"/>
        <v>0</v>
      </c>
      <c r="S1027" s="18">
        <f t="shared" si="202"/>
        <v>0</v>
      </c>
      <c r="T1027" s="19">
        <f t="shared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04"/>
        <v>-1</v>
      </c>
      <c r="Z1027" s="20">
        <f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>Tabela1[[#This Row],[PESO UNI]]*Tabela1[[#This Row],[QTE]]</f>
        <v>743</v>
      </c>
      <c r="I1028" s="7" t="s">
        <v>5581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38</v>
      </c>
      <c r="O1028" s="12"/>
      <c r="P1028" s="13"/>
      <c r="Q1028" s="14">
        <f>Tabela1[[#This Row],[QTDE/ Fabricação]]-Tabela1[[#This Row],[QTE]]</f>
        <v>-1</v>
      </c>
      <c r="R1028" s="18">
        <f t="shared" si="201"/>
        <v>0</v>
      </c>
      <c r="S1028" s="18">
        <f t="shared" si="202"/>
        <v>0</v>
      </c>
      <c r="T1028" s="19">
        <f t="shared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04"/>
        <v>-1</v>
      </c>
      <c r="Z1028" s="20">
        <f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>Tabela1[[#This Row],[PESO UNI]]*Tabela1[[#This Row],[QTE]]</f>
        <v>3022.8</v>
      </c>
      <c r="I1029" s="7" t="s">
        <v>5581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38</v>
      </c>
      <c r="O1029" s="12"/>
      <c r="P1029" s="13"/>
      <c r="Q1029" s="14">
        <f>Tabela1[[#This Row],[QTDE/ Fabricação]]-Tabela1[[#This Row],[QTE]]</f>
        <v>-6</v>
      </c>
      <c r="R1029" s="18">
        <f t="shared" si="201"/>
        <v>0</v>
      </c>
      <c r="S1029" s="18">
        <f t="shared" si="202"/>
        <v>0</v>
      </c>
      <c r="T1029" s="19">
        <f t="shared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04"/>
        <v>-6</v>
      </c>
      <c r="Z1029" s="20">
        <f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>Tabela1[[#This Row],[PESO UNI]]*Tabela1[[#This Row],[QTE]]</f>
        <v>550.4</v>
      </c>
      <c r="I1030" s="7" t="s">
        <v>5581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38</v>
      </c>
      <c r="O1030" s="12"/>
      <c r="P1030" s="13"/>
      <c r="Q1030" s="14">
        <f>Tabela1[[#This Row],[QTDE/ Fabricação]]-Tabela1[[#This Row],[QTE]]</f>
        <v>-64</v>
      </c>
      <c r="R1030" s="18">
        <f t="shared" si="201"/>
        <v>0</v>
      </c>
      <c r="S1030" s="18">
        <f t="shared" si="202"/>
        <v>0</v>
      </c>
      <c r="T1030" s="19">
        <f t="shared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04"/>
        <v>-64</v>
      </c>
      <c r="Z1030" s="20">
        <f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01"/>
        <v>0</v>
      </c>
      <c r="S1031" s="18">
        <f t="shared" si="202"/>
        <v>0</v>
      </c>
      <c r="T1031" s="19">
        <f t="shared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04"/>
        <v>-1</v>
      </c>
      <c r="Z1031" s="20">
        <f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>Tabela1[[#This Row],[QTDE/ Fabricação]]-Tabela1[[#This Row],[QTE]]</f>
        <v>-3</v>
      </c>
      <c r="R1032" s="18">
        <f t="shared" si="201"/>
        <v>0</v>
      </c>
      <c r="S1032" s="18">
        <f t="shared" si="202"/>
        <v>0</v>
      </c>
      <c r="T1032" s="19">
        <f t="shared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04"/>
        <v>-3</v>
      </c>
      <c r="Z1032" s="20">
        <f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>Tabela1[[#This Row],[QTDE/ Fabricação]]-Tabela1[[#This Row],[QTE]]</f>
        <v>-252</v>
      </c>
      <c r="R1033" s="18">
        <f t="shared" ref="R1033:R1041" si="205">IFERROR(H1033*((AA1033*0.25)+(AC1033*0.25)+(AD1033*0.225)+(AE1033*0.225)+(AF1033*0.05)),"")</f>
        <v>0</v>
      </c>
      <c r="S1033" s="18">
        <f t="shared" ref="S1033:S1041" si="206">IFERROR(H1033*AG1033,"")</f>
        <v>0</v>
      </c>
      <c r="T1033" s="19">
        <f t="shared" ref="T1033:T104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ref="Y1033:Y1041" si="208">U1033-C1033</f>
        <v>-252</v>
      </c>
      <c r="Z1033" s="20">
        <f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customHeight="1" x14ac:dyDescent="0.25">
      <c r="A1034" s="1" t="s">
        <v>5278</v>
      </c>
      <c r="B1034" s="21" t="s">
        <v>5279</v>
      </c>
      <c r="C1034" s="1">
        <v>1</v>
      </c>
      <c r="D1034" s="1" t="s">
        <v>5280</v>
      </c>
      <c r="E1034" s="7">
        <v>4680</v>
      </c>
      <c r="F1034" s="7">
        <v>63</v>
      </c>
      <c r="G1034" s="1">
        <v>101.4</v>
      </c>
      <c r="H1034" s="34">
        <f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>Tabela1[[#This Row],[QTDE/ Fabricação]]-Tabela1[[#This Row],[QTE]]</f>
        <v>-1</v>
      </c>
      <c r="R1034" s="18">
        <f t="shared" si="205"/>
        <v>45.63</v>
      </c>
      <c r="S1034" s="18">
        <f t="shared" si="206"/>
        <v>0</v>
      </c>
      <c r="T1034" s="19">
        <f t="shared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08"/>
        <v>-1</v>
      </c>
      <c r="Z1034" s="20">
        <f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customHeight="1" x14ac:dyDescent="0.25">
      <c r="A1035" s="1" t="s">
        <v>5285</v>
      </c>
      <c r="B1035" s="21"/>
      <c r="C1035" s="206">
        <v>2</v>
      </c>
      <c r="D1035" s="1" t="s">
        <v>5286</v>
      </c>
      <c r="E1035" s="227">
        <v>4681</v>
      </c>
      <c r="F1035" s="192">
        <v>4</v>
      </c>
      <c r="G1035" s="1">
        <v>44</v>
      </c>
      <c r="H1035" s="34">
        <f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>Tabela1[[#This Row],[QTDE/ Fabricação]]-Tabela1[[#This Row],[QTE]]</f>
        <v>-2</v>
      </c>
      <c r="R1035" s="18">
        <f t="shared" si="205"/>
        <v>0</v>
      </c>
      <c r="S1035" s="18">
        <f t="shared" si="206"/>
        <v>0</v>
      </c>
      <c r="T1035" s="19">
        <f t="shared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08"/>
        <v>-2</v>
      </c>
      <c r="Z1035" s="20">
        <f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customHeight="1" x14ac:dyDescent="0.25">
      <c r="A1036" s="1" t="s">
        <v>5287</v>
      </c>
      <c r="B1036" s="21"/>
      <c r="C1036" s="206">
        <v>2</v>
      </c>
      <c r="D1036" s="1" t="s">
        <v>5288</v>
      </c>
      <c r="E1036" s="227">
        <v>4682</v>
      </c>
      <c r="F1036" s="192">
        <v>4</v>
      </c>
      <c r="G1036" s="1">
        <v>0.1</v>
      </c>
      <c r="H1036" s="34">
        <f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>Tabela1[[#This Row],[QTDE/ Fabricação]]-Tabela1[[#This Row],[QTE]]</f>
        <v>-2</v>
      </c>
      <c r="R1036" s="18">
        <f t="shared" si="205"/>
        <v>0</v>
      </c>
      <c r="S1036" s="18">
        <f t="shared" si="206"/>
        <v>0</v>
      </c>
      <c r="T1036" s="19">
        <f t="shared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08"/>
        <v>-2</v>
      </c>
      <c r="Z1036" s="20">
        <f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customHeight="1" x14ac:dyDescent="0.25">
      <c r="A1037" s="1" t="s">
        <v>5284</v>
      </c>
      <c r="B1037" s="21"/>
      <c r="C1037" s="206">
        <v>1</v>
      </c>
      <c r="D1037" s="1" t="s">
        <v>5289</v>
      </c>
      <c r="E1037" s="227">
        <v>4683</v>
      </c>
      <c r="F1037" s="192">
        <v>4</v>
      </c>
      <c r="G1037" s="1">
        <v>741.4</v>
      </c>
      <c r="H1037" s="34">
        <f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>Tabela1[[#This Row],[QTDE/ Fabricação]]-Tabela1[[#This Row],[QTE]]</f>
        <v>-1</v>
      </c>
      <c r="R1037" s="18">
        <f t="shared" si="205"/>
        <v>0</v>
      </c>
      <c r="S1037" s="18">
        <f t="shared" si="206"/>
        <v>0</v>
      </c>
      <c r="T1037" s="19">
        <f t="shared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08"/>
        <v>-1</v>
      </c>
      <c r="Z1037" s="20">
        <f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customHeight="1" x14ac:dyDescent="0.25">
      <c r="A1038" s="1" t="s">
        <v>5290</v>
      </c>
      <c r="B1038" s="21"/>
      <c r="C1038" s="206">
        <v>2</v>
      </c>
      <c r="D1038" s="1" t="s">
        <v>5291</v>
      </c>
      <c r="E1038" s="227">
        <v>4684</v>
      </c>
      <c r="F1038" s="192">
        <v>4</v>
      </c>
      <c r="G1038" s="1">
        <v>103.5</v>
      </c>
      <c r="H1038" s="34">
        <f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>Tabela1[[#This Row],[QTDE/ Fabricação]]-Tabela1[[#This Row],[QTE]]</f>
        <v>-2</v>
      </c>
      <c r="R1038" s="18">
        <f t="shared" si="205"/>
        <v>0</v>
      </c>
      <c r="S1038" s="18">
        <f t="shared" si="206"/>
        <v>0</v>
      </c>
      <c r="T1038" s="19">
        <f t="shared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08"/>
        <v>-2</v>
      </c>
      <c r="Z1038" s="20">
        <f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customHeight="1" x14ac:dyDescent="0.25">
      <c r="A1039" s="1" t="s">
        <v>5292</v>
      </c>
      <c r="B1039" s="21"/>
      <c r="C1039" s="206">
        <v>2</v>
      </c>
      <c r="D1039" s="1" t="s">
        <v>5293</v>
      </c>
      <c r="E1039" s="227">
        <v>4685</v>
      </c>
      <c r="F1039" s="192">
        <v>4</v>
      </c>
      <c r="G1039" s="1">
        <v>2.5</v>
      </c>
      <c r="H1039" s="34">
        <f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si="205"/>
        <v>0</v>
      </c>
      <c r="S1039" s="18">
        <f t="shared" si="206"/>
        <v>0</v>
      </c>
      <c r="T1039" s="19">
        <f t="shared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si="208"/>
        <v>-2</v>
      </c>
      <c r="Z1039" s="20">
        <f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customHeight="1" x14ac:dyDescent="0.25">
      <c r="A1040" s="1" t="s">
        <v>5294</v>
      </c>
      <c r="C1040" s="25">
        <v>2</v>
      </c>
      <c r="D1040" s="1" t="s">
        <v>5295</v>
      </c>
      <c r="E1040" s="25">
        <v>4686</v>
      </c>
      <c r="F1040" s="25">
        <v>4</v>
      </c>
      <c r="G1040" s="1">
        <v>115.7</v>
      </c>
      <c r="H1040" s="34">
        <f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>Tabela1[[#This Row],[QTDE/ Fabricação]]-Tabela1[[#This Row],[QTE]]</f>
        <v>-2</v>
      </c>
      <c r="R1040" s="18">
        <f t="shared" si="205"/>
        <v>0</v>
      </c>
      <c r="S1040" s="18">
        <f t="shared" si="206"/>
        <v>0</v>
      </c>
      <c r="T1040" s="19">
        <f t="shared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08"/>
        <v>-2</v>
      </c>
      <c r="Z1040" s="20">
        <f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customHeight="1" x14ac:dyDescent="0.25">
      <c r="A1041" s="1" t="s">
        <v>5296</v>
      </c>
      <c r="C1041" s="25">
        <v>2</v>
      </c>
      <c r="D1041" s="1" t="s">
        <v>5297</v>
      </c>
      <c r="E1041" s="25">
        <v>4687</v>
      </c>
      <c r="F1041" s="25">
        <v>4</v>
      </c>
      <c r="G1041" s="1">
        <v>2</v>
      </c>
      <c r="H1041" s="34">
        <f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>Tabela1[[#This Row],[QTDE/ Fabricação]]-Tabela1[[#This Row],[QTE]]</f>
        <v>-2</v>
      </c>
      <c r="R1041" s="18">
        <f t="shared" si="205"/>
        <v>0</v>
      </c>
      <c r="S1041" s="18">
        <f t="shared" si="206"/>
        <v>0</v>
      </c>
      <c r="T1041" s="19">
        <f t="shared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08"/>
        <v>-2</v>
      </c>
      <c r="Z1041" s="20">
        <f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customHeight="1" x14ac:dyDescent="0.25">
      <c r="A1042" s="1" t="s">
        <v>5298</v>
      </c>
      <c r="C1042" s="25">
        <v>2</v>
      </c>
      <c r="D1042" s="1" t="s">
        <v>5299</v>
      </c>
      <c r="E1042" s="25">
        <v>4688</v>
      </c>
      <c r="F1042" s="25">
        <v>4</v>
      </c>
      <c r="G1042" s="1">
        <v>28.6</v>
      </c>
      <c r="H1042" s="34">
        <f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>Tabela1[[#This Row],[QTDE/ Fabricação]]-Tabela1[[#This Row],[QTE]]</f>
        <v>-2</v>
      </c>
      <c r="R1042" s="18">
        <f>IFERROR(H1042*((AA1042*0.25)+(AC1042*0.25)+(AD1042*0.225)+(AE1042*0.225)+(AF1042*0.05)),"")</f>
        <v>0</v>
      </c>
      <c r="S1042" s="18">
        <f>IFERROR(H1042*AG1042,"")</f>
        <v>0</v>
      </c>
      <c r="T1042" s="19">
        <f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>U1042-C1042</f>
        <v>-2</v>
      </c>
      <c r="Z1042" s="20">
        <f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customHeight="1" x14ac:dyDescent="0.25">
      <c r="A1043" s="208" t="s">
        <v>5301</v>
      </c>
      <c r="B1043" s="21" t="s">
        <v>5302</v>
      </c>
      <c r="C1043" s="195">
        <v>1</v>
      </c>
      <c r="D1043" s="1" t="s">
        <v>5303</v>
      </c>
      <c r="E1043" s="227">
        <v>4689</v>
      </c>
      <c r="F1043" s="195">
        <v>24</v>
      </c>
      <c r="G1043" s="1">
        <v>660</v>
      </c>
      <c r="H1043" s="34">
        <f>Tabela1[[#This Row],[PESO UNI]]*Tabela1[[#This Row],[QTE]]</f>
        <v>660</v>
      </c>
      <c r="I1043" s="7" t="s">
        <v>5582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ref="R1043:R1048" si="209">IFERROR(H1043*((AA1043*0.25)+(AC1043*0.25)+(AD1043*0.225)+(AE1043*0.225)+(AF1043*0.05)),"")</f>
        <v>404.25000000000006</v>
      </c>
      <c r="S1043" s="18">
        <f t="shared" ref="S1043:S1048" si="210">IFERROR(H1043*AG1043,"")</f>
        <v>0</v>
      </c>
      <c r="T1043" s="19">
        <f t="shared" ref="T1043:T1048" si="211">IFERROR(S1043-H1043,"")</f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ref="Y1043:Y1048" si="212">U1043-C1043</f>
        <v>-1</v>
      </c>
      <c r="Z1043" s="20">
        <f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customHeight="1" x14ac:dyDescent="0.25">
      <c r="A1044" s="208" t="s">
        <v>5304</v>
      </c>
      <c r="B1044" s="21" t="s">
        <v>5305</v>
      </c>
      <c r="C1044" s="195">
        <v>1</v>
      </c>
      <c r="D1044" s="1" t="s">
        <v>5306</v>
      </c>
      <c r="E1044" s="227">
        <v>4690</v>
      </c>
      <c r="F1044" s="195">
        <v>24</v>
      </c>
      <c r="G1044" s="1">
        <v>424.7</v>
      </c>
      <c r="H1044" s="34">
        <f>Tabela1[[#This Row],[PESO UNI]]*Tabela1[[#This Row],[QTE]]</f>
        <v>424.7</v>
      </c>
      <c r="I1044" s="7" t="s">
        <v>5582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09"/>
        <v>260.12875000000003</v>
      </c>
      <c r="S1044" s="18">
        <f t="shared" si="210"/>
        <v>0</v>
      </c>
      <c r="T1044" s="19">
        <f t="shared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12"/>
        <v>-1</v>
      </c>
      <c r="Z1044" s="20">
        <f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customHeight="1" x14ac:dyDescent="0.25">
      <c r="A1045" s="208" t="s">
        <v>5304</v>
      </c>
      <c r="B1045" s="21" t="s">
        <v>5305</v>
      </c>
      <c r="C1045" s="195">
        <v>1</v>
      </c>
      <c r="D1045" s="1" t="s">
        <v>5307</v>
      </c>
      <c r="E1045" s="227">
        <v>4691</v>
      </c>
      <c r="F1045" s="195">
        <v>24</v>
      </c>
      <c r="G1045" s="1">
        <v>254.4</v>
      </c>
      <c r="H1045" s="34">
        <f>Tabela1[[#This Row],[PESO UNI]]*Tabela1[[#This Row],[QTE]]</f>
        <v>254.4</v>
      </c>
      <c r="I1045" s="7" t="s">
        <v>5582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09"/>
        <v>155.82000000000002</v>
      </c>
      <c r="S1045" s="18">
        <f t="shared" si="210"/>
        <v>0</v>
      </c>
      <c r="T1045" s="19">
        <f t="shared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12"/>
        <v>-1</v>
      </c>
      <c r="Z1045" s="20">
        <f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0"/>
      <c r="AR1045" s="37"/>
      <c r="AS1045" s="37"/>
      <c r="AT1045" s="37"/>
      <c r="AU1045" s="37"/>
      <c r="AV1045" s="37"/>
      <c r="AW1045" s="37"/>
    </row>
    <row r="1046" spans="1:49" ht="15.75" customHeight="1" x14ac:dyDescent="0.25">
      <c r="A1046" s="208" t="s">
        <v>5308</v>
      </c>
      <c r="B1046" s="21" t="s">
        <v>5309</v>
      </c>
      <c r="C1046" s="195">
        <v>1</v>
      </c>
      <c r="D1046" s="1" t="s">
        <v>5310</v>
      </c>
      <c r="E1046" s="227">
        <v>4692</v>
      </c>
      <c r="F1046" s="195">
        <v>24</v>
      </c>
      <c r="G1046" s="1">
        <v>433.2</v>
      </c>
      <c r="H1046" s="34">
        <f>Tabela1[[#This Row],[PESO UNI]]*Tabela1[[#This Row],[QTE]]</f>
        <v>433.2</v>
      </c>
      <c r="I1046" s="7" t="s">
        <v>5582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09"/>
        <v>265.33500000000004</v>
      </c>
      <c r="S1046" s="18">
        <f t="shared" si="210"/>
        <v>0</v>
      </c>
      <c r="T1046" s="19">
        <f t="shared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12"/>
        <v>-1</v>
      </c>
      <c r="Z1046" s="20">
        <f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0"/>
      <c r="AR1046" s="37"/>
      <c r="AS1046" s="37"/>
      <c r="AT1046" s="37"/>
      <c r="AU1046" s="37"/>
      <c r="AV1046" s="37"/>
      <c r="AW1046" s="37"/>
    </row>
    <row r="1047" spans="1:49" ht="15.75" customHeight="1" x14ac:dyDescent="0.25">
      <c r="A1047" s="208" t="s">
        <v>5311</v>
      </c>
      <c r="B1047" s="21" t="s">
        <v>5312</v>
      </c>
      <c r="C1047" s="195">
        <v>1</v>
      </c>
      <c r="D1047" s="1" t="s">
        <v>5313</v>
      </c>
      <c r="E1047" s="227">
        <v>4693</v>
      </c>
      <c r="F1047" s="195">
        <v>23</v>
      </c>
      <c r="G1047" s="1">
        <v>425.4</v>
      </c>
      <c r="H1047" s="34">
        <f>Tabela1[[#This Row],[PESO UNI]]*Tabela1[[#This Row],[QTE]]</f>
        <v>425.4</v>
      </c>
      <c r="I1047" s="7" t="s">
        <v>5714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09"/>
        <v>390.30449999999996</v>
      </c>
      <c r="S1047" s="18">
        <f t="shared" si="210"/>
        <v>0</v>
      </c>
      <c r="T1047" s="19">
        <f t="shared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12"/>
        <v>-1</v>
      </c>
      <c r="Z1047" s="20">
        <f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0"/>
      <c r="AR1047" s="37"/>
      <c r="AS1047" s="37"/>
      <c r="AT1047" s="37"/>
      <c r="AU1047" s="37"/>
      <c r="AV1047" s="37"/>
      <c r="AW1047" s="37"/>
    </row>
    <row r="1048" spans="1:49" ht="15.75" customHeight="1" x14ac:dyDescent="0.25">
      <c r="A1048" s="208" t="s">
        <v>5314</v>
      </c>
      <c r="B1048" s="21" t="s">
        <v>5315</v>
      </c>
      <c r="C1048" s="195">
        <v>1</v>
      </c>
      <c r="D1048" s="1" t="s">
        <v>5316</v>
      </c>
      <c r="E1048" s="227">
        <v>4694</v>
      </c>
      <c r="F1048" s="195">
        <v>23</v>
      </c>
      <c r="G1048" s="1">
        <v>586.79999999999995</v>
      </c>
      <c r="H1048" s="34">
        <f>Tabela1[[#This Row],[PESO UNI]]*Tabela1[[#This Row],[QTE]]</f>
        <v>586.79999999999995</v>
      </c>
      <c r="I1048" s="7" t="s">
        <v>5715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09"/>
        <v>570.66300000000001</v>
      </c>
      <c r="S1048" s="18">
        <f t="shared" si="210"/>
        <v>0</v>
      </c>
      <c r="T1048" s="19">
        <f t="shared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12"/>
        <v>-1</v>
      </c>
      <c r="Z1048" s="20">
        <f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0"/>
      <c r="AR1048" s="37"/>
      <c r="AS1048" s="37"/>
      <c r="AT1048" s="37"/>
      <c r="AU1048" s="37"/>
      <c r="AV1048" s="37"/>
      <c r="AW1048" s="37"/>
    </row>
    <row r="1049" spans="1:49" ht="15.75" customHeight="1" x14ac:dyDescent="0.25">
      <c r="A1049" s="208" t="s">
        <v>5317</v>
      </c>
      <c r="B1049" s="21" t="s">
        <v>5318</v>
      </c>
      <c r="C1049" s="195">
        <v>1</v>
      </c>
      <c r="D1049" s="1" t="s">
        <v>5319</v>
      </c>
      <c r="E1049" s="192">
        <v>4695</v>
      </c>
      <c r="F1049" s="195">
        <v>25</v>
      </c>
      <c r="G1049" s="1">
        <v>319.39999999999998</v>
      </c>
      <c r="H1049" s="34">
        <f>Tabela1[[#This Row],[PESO UNI]]*Tabela1[[#This Row],[QTE]]</f>
        <v>319.39999999999998</v>
      </c>
      <c r="I1049" s="7" t="s">
        <v>5581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-1</v>
      </c>
      <c r="R1049" s="18">
        <f t="shared" ref="R1049:R1050" si="213">IFERROR(H1049*((AA1049*0.25)+(AC1049*0.25)+(AD1049*0.225)+(AE1049*0.225)+(AF1049*0.05)),"")</f>
        <v>151.71499999999997</v>
      </c>
      <c r="S1049" s="18">
        <f t="shared" ref="S1049:S1050" si="214">IFERROR(H1049*AG1049,"")</f>
        <v>0</v>
      </c>
      <c r="T1049" s="19">
        <f t="shared" ref="T1049:T1050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ref="Y1049:Y1050" si="216">U1049-C1049</f>
        <v>-1</v>
      </c>
      <c r="Z1049" s="20">
        <f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0"/>
      <c r="AR1049" s="37"/>
      <c r="AS1049" s="37"/>
      <c r="AT1049" s="37"/>
      <c r="AU1049" s="37"/>
      <c r="AV1049" s="37"/>
      <c r="AW1049" s="37"/>
    </row>
    <row r="1050" spans="1:49" ht="15.75" customHeight="1" x14ac:dyDescent="0.25">
      <c r="A1050" s="208" t="s">
        <v>5317</v>
      </c>
      <c r="B1050" s="21" t="s">
        <v>5318</v>
      </c>
      <c r="C1050" s="195">
        <v>2</v>
      </c>
      <c r="D1050" s="1" t="s">
        <v>5320</v>
      </c>
      <c r="E1050" s="192">
        <v>4696</v>
      </c>
      <c r="F1050" s="195">
        <v>25</v>
      </c>
      <c r="G1050" s="1">
        <v>62.1</v>
      </c>
      <c r="H1050" s="34">
        <f>Tabela1[[#This Row],[PESO UNI]]*Tabela1[[#This Row],[QTE]]</f>
        <v>124.2</v>
      </c>
      <c r="I1050" s="7" t="s">
        <v>5581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-2</v>
      </c>
      <c r="R1050" s="18">
        <f t="shared" si="213"/>
        <v>58.994999999999997</v>
      </c>
      <c r="S1050" s="18">
        <f t="shared" si="214"/>
        <v>0</v>
      </c>
      <c r="T1050" s="19">
        <f t="shared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16"/>
        <v>-2</v>
      </c>
      <c r="Z1050" s="20">
        <f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0"/>
      <c r="AR1050" s="37"/>
      <c r="AS1050" s="37"/>
      <c r="AT1050" s="37"/>
      <c r="AU1050" s="37"/>
      <c r="AV1050" s="37"/>
      <c r="AW1050" s="37"/>
    </row>
    <row r="1051" spans="1:49" ht="15.75" customHeight="1" x14ac:dyDescent="0.25">
      <c r="A1051" s="208" t="s">
        <v>5317</v>
      </c>
      <c r="B1051" s="21" t="s">
        <v>5318</v>
      </c>
      <c r="C1051" s="25">
        <v>2</v>
      </c>
      <c r="D1051" s="1" t="s">
        <v>5321</v>
      </c>
      <c r="E1051" s="25">
        <v>4697</v>
      </c>
      <c r="F1051" s="25">
        <v>25</v>
      </c>
      <c r="G1051" s="1">
        <v>9.5</v>
      </c>
      <c r="H1051" s="34">
        <f>Tabela1[[#This Row],[PESO UNI]]*Tabela1[[#This Row],[QTE]]</f>
        <v>19</v>
      </c>
      <c r="I1051" s="7" t="s">
        <v>5581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ref="R1051:R1067" si="217">IFERROR(H1051*((AA1051*0.25)+(AC1051*0.25)+(AD1051*0.225)+(AE1051*0.225)+(AF1051*0.05)),"")</f>
        <v>9.0250000000000004</v>
      </c>
      <c r="S1051" s="18">
        <f t="shared" ref="S1051:S1067" si="218">IFERROR(H1051*AG1051,"")</f>
        <v>0</v>
      </c>
      <c r="T1051" s="19">
        <f t="shared" ref="T1051:T1067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ref="Y1051:Y1067" si="220">U1051-C1051</f>
        <v>-2</v>
      </c>
      <c r="Z1051" s="20">
        <f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0"/>
      <c r="AR1051" s="37"/>
      <c r="AS1051" s="37"/>
    </row>
    <row r="1052" spans="1:49" ht="15.75" customHeight="1" x14ac:dyDescent="0.25">
      <c r="A1052" s="21" t="s">
        <v>5322</v>
      </c>
      <c r="B1052" s="21" t="s">
        <v>5323</v>
      </c>
      <c r="C1052" s="195">
        <v>6</v>
      </c>
      <c r="D1052" s="1" t="s">
        <v>5324</v>
      </c>
      <c r="E1052" s="192">
        <v>4698</v>
      </c>
      <c r="F1052" s="195">
        <v>26</v>
      </c>
      <c r="G1052" s="1">
        <v>49.6</v>
      </c>
      <c r="H1052" s="34">
        <f>Tabela1[[#This Row],[PESO UNI]]*Tabela1[[#This Row],[QTE]]</f>
        <v>297.60000000000002</v>
      </c>
      <c r="I1052" s="7" t="s">
        <v>5615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-6</v>
      </c>
      <c r="R1052" s="18">
        <f t="shared" si="217"/>
        <v>74.400000000000006</v>
      </c>
      <c r="S1052" s="18">
        <f t="shared" si="218"/>
        <v>0</v>
      </c>
      <c r="T1052" s="19">
        <f t="shared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-6</v>
      </c>
      <c r="Z1052" s="20">
        <f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0"/>
      <c r="AR1052" s="37"/>
      <c r="AS1052" s="37"/>
      <c r="AT1052" s="37"/>
      <c r="AU1052" s="37"/>
      <c r="AV1052" s="37"/>
      <c r="AW1052" s="37"/>
    </row>
    <row r="1053" spans="1:49" ht="15.75" customHeight="1" x14ac:dyDescent="0.25">
      <c r="A1053" s="21" t="s">
        <v>5322</v>
      </c>
      <c r="B1053" s="21" t="s">
        <v>5323</v>
      </c>
      <c r="C1053" s="195">
        <v>6</v>
      </c>
      <c r="D1053" s="1" t="s">
        <v>5325</v>
      </c>
      <c r="E1053" s="192">
        <v>4699</v>
      </c>
      <c r="F1053" s="195">
        <v>26</v>
      </c>
      <c r="G1053" s="1">
        <v>49.6</v>
      </c>
      <c r="H1053" s="34">
        <f>Tabela1[[#This Row],[PESO UNI]]*Tabela1[[#This Row],[QTE]]</f>
        <v>297.60000000000002</v>
      </c>
      <c r="I1053" s="7" t="s">
        <v>5615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-6</v>
      </c>
      <c r="R1053" s="18">
        <f t="shared" si="217"/>
        <v>74.400000000000006</v>
      </c>
      <c r="S1053" s="18">
        <f t="shared" si="218"/>
        <v>0</v>
      </c>
      <c r="T1053" s="19">
        <f t="shared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-6</v>
      </c>
      <c r="Z1053" s="20">
        <f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0"/>
      <c r="AR1053" s="37"/>
      <c r="AS1053" s="37"/>
      <c r="AT1053" s="37"/>
      <c r="AU1053" s="37"/>
      <c r="AV1053" s="37"/>
      <c r="AW1053" s="37"/>
    </row>
    <row r="1054" spans="1:49" ht="15.75" customHeight="1" x14ac:dyDescent="0.25">
      <c r="A1054" s="21" t="s">
        <v>5322</v>
      </c>
      <c r="B1054" s="21" t="s">
        <v>5323</v>
      </c>
      <c r="C1054" s="195">
        <v>1</v>
      </c>
      <c r="D1054" s="1" t="s">
        <v>5326</v>
      </c>
      <c r="E1054" s="192">
        <v>4700</v>
      </c>
      <c r="F1054" s="195">
        <v>26</v>
      </c>
      <c r="G1054" s="1">
        <v>13.7</v>
      </c>
      <c r="H1054" s="34">
        <f>Tabela1[[#This Row],[PESO UNI]]*Tabela1[[#This Row],[QTE]]</f>
        <v>13.7</v>
      </c>
      <c r="I1054" s="7" t="s">
        <v>5615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3.4249999999999998</v>
      </c>
      <c r="S1054" s="18">
        <f t="shared" si="218"/>
        <v>0</v>
      </c>
      <c r="T1054" s="19">
        <f t="shared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0"/>
      <c r="AR1054" s="37"/>
      <c r="AS1054" s="37"/>
      <c r="AT1054" s="37"/>
      <c r="AU1054" s="37"/>
      <c r="AV1054" s="37"/>
      <c r="AW1054" s="37"/>
    </row>
    <row r="1055" spans="1:49" ht="15.75" customHeight="1" x14ac:dyDescent="0.25">
      <c r="A1055" s="21" t="s">
        <v>5322</v>
      </c>
      <c r="B1055" s="21" t="s">
        <v>5323</v>
      </c>
      <c r="C1055" s="195">
        <v>12</v>
      </c>
      <c r="D1055" s="1" t="s">
        <v>5327</v>
      </c>
      <c r="E1055" s="192">
        <v>4701</v>
      </c>
      <c r="F1055" s="195">
        <v>26</v>
      </c>
      <c r="G1055" s="1">
        <v>7</v>
      </c>
      <c r="H1055" s="34">
        <f>Tabela1[[#This Row],[PESO UNI]]*Tabela1[[#This Row],[QTE]]</f>
        <v>84</v>
      </c>
      <c r="I1055" s="7" t="s">
        <v>5615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-12</v>
      </c>
      <c r="R1055" s="18">
        <f t="shared" si="217"/>
        <v>21</v>
      </c>
      <c r="S1055" s="18">
        <f t="shared" si="218"/>
        <v>0</v>
      </c>
      <c r="T1055" s="19">
        <f t="shared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-12</v>
      </c>
      <c r="Z1055" s="20">
        <f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0"/>
      <c r="AR1055" s="37"/>
      <c r="AS1055" s="37"/>
      <c r="AT1055" s="37"/>
      <c r="AU1055" s="37"/>
      <c r="AV1055" s="37"/>
      <c r="AW1055" s="37"/>
    </row>
    <row r="1056" spans="1:49" ht="15.75" customHeight="1" x14ac:dyDescent="0.25">
      <c r="A1056" s="21" t="s">
        <v>5322</v>
      </c>
      <c r="B1056" s="21" t="s">
        <v>5323</v>
      </c>
      <c r="C1056" s="195">
        <v>12</v>
      </c>
      <c r="D1056" s="1" t="s">
        <v>5328</v>
      </c>
      <c r="E1056" s="192">
        <v>4702</v>
      </c>
      <c r="F1056" s="195">
        <v>26</v>
      </c>
      <c r="G1056" s="1">
        <v>7</v>
      </c>
      <c r="H1056" s="34">
        <f>Tabela1[[#This Row],[PESO UNI]]*Tabela1[[#This Row],[QTE]]</f>
        <v>84</v>
      </c>
      <c r="I1056" s="7" t="s">
        <v>5615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-12</v>
      </c>
      <c r="R1056" s="18">
        <f t="shared" si="217"/>
        <v>21</v>
      </c>
      <c r="S1056" s="18">
        <f t="shared" si="218"/>
        <v>0</v>
      </c>
      <c r="T1056" s="19">
        <f t="shared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-12</v>
      </c>
      <c r="Z1056" s="20">
        <f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0"/>
      <c r="AR1056" s="37"/>
      <c r="AS1056" s="37"/>
      <c r="AT1056" s="37"/>
      <c r="AU1056" s="37"/>
      <c r="AV1056" s="37"/>
      <c r="AW1056" s="37"/>
    </row>
    <row r="1057" spans="1:49" ht="15.75" customHeight="1" x14ac:dyDescent="0.25">
      <c r="A1057" s="21" t="s">
        <v>5322</v>
      </c>
      <c r="B1057" s="21" t="s">
        <v>5323</v>
      </c>
      <c r="C1057" s="195">
        <v>24</v>
      </c>
      <c r="D1057" s="1" t="s">
        <v>5329</v>
      </c>
      <c r="E1057" s="192">
        <v>4703</v>
      </c>
      <c r="F1057" s="195">
        <v>26</v>
      </c>
      <c r="G1057" s="1">
        <v>0.6</v>
      </c>
      <c r="H1057" s="34">
        <f>Tabela1[[#This Row],[PESO UNI]]*Tabela1[[#This Row],[QTE]]</f>
        <v>14.399999999999999</v>
      </c>
      <c r="I1057" s="7" t="s">
        <v>5615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-24</v>
      </c>
      <c r="R1057" s="18">
        <f t="shared" si="217"/>
        <v>3.5999999999999996</v>
      </c>
      <c r="S1057" s="18">
        <f t="shared" si="218"/>
        <v>0</v>
      </c>
      <c r="T1057" s="19">
        <f t="shared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-24</v>
      </c>
      <c r="Z1057" s="20">
        <f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0"/>
      <c r="AR1057" s="37"/>
      <c r="AS1057" s="37"/>
      <c r="AT1057" s="37"/>
      <c r="AU1057" s="37"/>
      <c r="AV1057" s="37"/>
      <c r="AW1057" s="37"/>
    </row>
    <row r="1058" spans="1:49" ht="15.75" customHeight="1" x14ac:dyDescent="0.25">
      <c r="A1058" s="21" t="s">
        <v>5322</v>
      </c>
      <c r="B1058" s="21" t="s">
        <v>5323</v>
      </c>
      <c r="C1058" s="195">
        <v>12</v>
      </c>
      <c r="D1058" s="1" t="s">
        <v>5332</v>
      </c>
      <c r="E1058" s="192">
        <v>4704</v>
      </c>
      <c r="F1058" s="195">
        <v>26</v>
      </c>
      <c r="G1058" s="1">
        <v>1.7</v>
      </c>
      <c r="H1058" s="34">
        <f>Tabela1[[#This Row],[PESO UNI]]*Tabela1[[#This Row],[QTE]]</f>
        <v>20.399999999999999</v>
      </c>
      <c r="I1058" s="7" t="s">
        <v>5615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-12</v>
      </c>
      <c r="R1058" s="18">
        <f t="shared" si="217"/>
        <v>5.0999999999999996</v>
      </c>
      <c r="S1058" s="18">
        <f t="shared" si="218"/>
        <v>0</v>
      </c>
      <c r="T1058" s="19">
        <f t="shared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-12</v>
      </c>
      <c r="Z1058" s="20">
        <f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0"/>
      <c r="AR1058" s="37"/>
      <c r="AS1058" s="37"/>
      <c r="AT1058" s="37"/>
      <c r="AU1058" s="37"/>
      <c r="AV1058" s="37"/>
      <c r="AW1058" s="37"/>
    </row>
    <row r="1059" spans="1:49" ht="15.75" customHeight="1" x14ac:dyDescent="0.25">
      <c r="A1059" s="21" t="s">
        <v>5322</v>
      </c>
      <c r="B1059" s="21" t="s">
        <v>5323</v>
      </c>
      <c r="C1059" s="195">
        <v>24</v>
      </c>
      <c r="D1059" s="1" t="s">
        <v>5331</v>
      </c>
      <c r="E1059" s="192">
        <v>4705</v>
      </c>
      <c r="F1059" s="195">
        <v>26</v>
      </c>
      <c r="G1059" s="1">
        <v>1.5</v>
      </c>
      <c r="H1059" s="34">
        <f>Tabela1[[#This Row],[PESO UNI]]*Tabela1[[#This Row],[QTE]]</f>
        <v>36</v>
      </c>
      <c r="I1059" s="7" t="s">
        <v>5615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-24</v>
      </c>
      <c r="R1059" s="18">
        <f t="shared" si="217"/>
        <v>9</v>
      </c>
      <c r="S1059" s="18">
        <f t="shared" si="218"/>
        <v>0</v>
      </c>
      <c r="T1059" s="19">
        <f t="shared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-24</v>
      </c>
      <c r="Z1059" s="20">
        <f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0"/>
      <c r="AR1059" s="37"/>
      <c r="AS1059" s="37"/>
      <c r="AT1059" s="37"/>
      <c r="AU1059" s="37"/>
      <c r="AV1059" s="37"/>
      <c r="AW1059" s="37"/>
    </row>
    <row r="1060" spans="1:49" ht="15.75" customHeight="1" x14ac:dyDescent="0.25">
      <c r="A1060" s="21" t="s">
        <v>5322</v>
      </c>
      <c r="B1060" s="21" t="s">
        <v>5323</v>
      </c>
      <c r="C1060" s="195">
        <v>1</v>
      </c>
      <c r="D1060" s="1" t="s">
        <v>5330</v>
      </c>
      <c r="E1060" s="192">
        <v>4706</v>
      </c>
      <c r="F1060" s="195">
        <v>26</v>
      </c>
      <c r="G1060" s="1">
        <v>1.3</v>
      </c>
      <c r="H1060" s="34">
        <f>Tabela1[[#This Row],[PESO UNI]]*Tabela1[[#This Row],[QTE]]</f>
        <v>1.3</v>
      </c>
      <c r="I1060" s="7" t="s">
        <v>5615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-1</v>
      </c>
      <c r="R1060" s="18">
        <f t="shared" si="217"/>
        <v>0.32500000000000001</v>
      </c>
      <c r="S1060" s="18">
        <f t="shared" si="218"/>
        <v>0</v>
      </c>
      <c r="T1060" s="19">
        <f t="shared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-1</v>
      </c>
      <c r="Z1060" s="20">
        <f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0"/>
      <c r="AR1060" s="37"/>
      <c r="AS1060" s="37"/>
      <c r="AT1060" s="37"/>
      <c r="AU1060" s="37"/>
      <c r="AV1060" s="37"/>
      <c r="AW1060" s="37"/>
    </row>
    <row r="1061" spans="1:49" ht="15.75" customHeight="1" x14ac:dyDescent="0.25">
      <c r="A1061" s="21" t="s">
        <v>5335</v>
      </c>
      <c r="B1061" s="21"/>
      <c r="C1061" s="195">
        <v>2</v>
      </c>
      <c r="D1061" s="1" t="s">
        <v>5336</v>
      </c>
      <c r="E1061" s="192">
        <v>4707</v>
      </c>
      <c r="F1061" s="195">
        <v>22</v>
      </c>
      <c r="G1061" s="1">
        <v>562</v>
      </c>
      <c r="H1061" s="34">
        <f>Tabela1[[#This Row],[PESO UNI]]*Tabela1[[#This Row],[QTE]]</f>
        <v>1124</v>
      </c>
      <c r="I1061" s="7" t="s">
        <v>5402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562</v>
      </c>
      <c r="S1061" s="18">
        <f t="shared" si="218"/>
        <v>0</v>
      </c>
      <c r="T1061" s="19">
        <f t="shared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0"/>
      <c r="AR1061" s="37"/>
      <c r="AS1061" s="37"/>
      <c r="AT1061" s="37"/>
      <c r="AU1061" s="37"/>
      <c r="AV1061" s="37"/>
      <c r="AW1061" s="37"/>
    </row>
    <row r="1062" spans="1:49" ht="15.75" customHeight="1" x14ac:dyDescent="0.25">
      <c r="A1062" s="21" t="s">
        <v>5333</v>
      </c>
      <c r="B1062" s="21" t="s">
        <v>5334</v>
      </c>
      <c r="C1062" s="195">
        <v>1</v>
      </c>
      <c r="D1062" s="1" t="s">
        <v>5337</v>
      </c>
      <c r="E1062" s="192">
        <v>4708</v>
      </c>
      <c r="F1062" s="195">
        <v>27</v>
      </c>
      <c r="G1062" s="1">
        <v>41</v>
      </c>
      <c r="H1062" s="34">
        <f>Tabela1[[#This Row],[PESO UNI]]*Tabela1[[#This Row],[QTE]]</f>
        <v>41</v>
      </c>
      <c r="I1062" s="7" t="s">
        <v>5581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0"/>
      <c r="AR1062" s="37"/>
      <c r="AS1062" s="37"/>
      <c r="AT1062" s="37"/>
      <c r="AU1062" s="37"/>
      <c r="AV1062" s="37"/>
      <c r="AW1062" s="37"/>
    </row>
    <row r="1063" spans="1:49" ht="15.75" customHeight="1" x14ac:dyDescent="0.25">
      <c r="A1063" s="21" t="s">
        <v>5333</v>
      </c>
      <c r="B1063" s="21" t="s">
        <v>5334</v>
      </c>
      <c r="C1063" s="195">
        <v>2</v>
      </c>
      <c r="D1063" s="1" t="s">
        <v>5338</v>
      </c>
      <c r="E1063" s="192">
        <v>4709</v>
      </c>
      <c r="F1063" s="195">
        <v>27</v>
      </c>
      <c r="G1063" s="1">
        <v>5.2</v>
      </c>
      <c r="H1063" s="34">
        <f>Tabela1[[#This Row],[PESO UNI]]*Tabela1[[#This Row],[QTE]]</f>
        <v>10.4</v>
      </c>
      <c r="I1063" s="7" t="s">
        <v>5581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-2</v>
      </c>
      <c r="R1063" s="18">
        <f t="shared" si="217"/>
        <v>0</v>
      </c>
      <c r="S1063" s="18">
        <f t="shared" si="218"/>
        <v>0</v>
      </c>
      <c r="T1063" s="19">
        <f t="shared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-2</v>
      </c>
      <c r="Z1063" s="20">
        <f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0"/>
      <c r="AR1063" s="37"/>
      <c r="AS1063" s="37"/>
      <c r="AT1063" s="37"/>
      <c r="AU1063" s="37"/>
      <c r="AV1063" s="37"/>
      <c r="AW1063" s="37"/>
    </row>
    <row r="1064" spans="1:49" ht="15.75" customHeight="1" x14ac:dyDescent="0.25">
      <c r="A1064" s="21" t="s">
        <v>5333</v>
      </c>
      <c r="B1064" s="21" t="s">
        <v>5334</v>
      </c>
      <c r="C1064" s="195">
        <v>1</v>
      </c>
      <c r="D1064" s="1" t="s">
        <v>5339</v>
      </c>
      <c r="E1064" s="192">
        <v>4710</v>
      </c>
      <c r="F1064" s="195">
        <v>27</v>
      </c>
      <c r="G1064" s="1">
        <v>12.7</v>
      </c>
      <c r="H1064" s="34">
        <f>Tabela1[[#This Row],[PESO UNI]]*Tabela1[[#This Row],[QTE]]</f>
        <v>12.7</v>
      </c>
      <c r="I1064" s="7" t="s">
        <v>5581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0"/>
      <c r="AR1064" s="37"/>
      <c r="AS1064" s="37"/>
      <c r="AT1064" s="37"/>
      <c r="AU1064" s="37"/>
      <c r="AV1064" s="37"/>
      <c r="AW1064" s="37"/>
    </row>
    <row r="1065" spans="1:49" ht="15.75" customHeight="1" x14ac:dyDescent="0.25">
      <c r="A1065" s="21" t="s">
        <v>5333</v>
      </c>
      <c r="B1065" s="21" t="s">
        <v>5334</v>
      </c>
      <c r="C1065" s="195">
        <v>4</v>
      </c>
      <c r="D1065" s="1" t="s">
        <v>5340</v>
      </c>
      <c r="E1065" s="192">
        <v>4711</v>
      </c>
      <c r="F1065" s="195">
        <v>27</v>
      </c>
      <c r="G1065" s="1">
        <v>0.8</v>
      </c>
      <c r="H1065" s="34">
        <f>Tabela1[[#This Row],[PESO UNI]]*Tabela1[[#This Row],[QTE]]</f>
        <v>3.2</v>
      </c>
      <c r="I1065" s="7" t="s">
        <v>5581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-4</v>
      </c>
      <c r="R1065" s="18">
        <f t="shared" si="217"/>
        <v>0</v>
      </c>
      <c r="S1065" s="18">
        <f t="shared" si="218"/>
        <v>0</v>
      </c>
      <c r="T1065" s="19">
        <f t="shared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-4</v>
      </c>
      <c r="Z1065" s="20">
        <f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0"/>
      <c r="AR1065" s="37"/>
      <c r="AS1065" s="37"/>
      <c r="AT1065" s="37"/>
      <c r="AU1065" s="37"/>
      <c r="AV1065" s="37"/>
      <c r="AW1065" s="37"/>
    </row>
    <row r="1066" spans="1:49" ht="15.75" customHeight="1" x14ac:dyDescent="0.25">
      <c r="A1066" s="21" t="s">
        <v>5333</v>
      </c>
      <c r="B1066" s="21" t="s">
        <v>5334</v>
      </c>
      <c r="C1066" s="195">
        <v>2</v>
      </c>
      <c r="D1066" s="1" t="s">
        <v>5341</v>
      </c>
      <c r="E1066" s="192">
        <v>4712</v>
      </c>
      <c r="F1066" s="195">
        <v>27</v>
      </c>
      <c r="G1066" s="1">
        <v>0.4</v>
      </c>
      <c r="H1066" s="34">
        <f>Tabela1[[#This Row],[PESO UNI]]*Tabela1[[#This Row],[QTE]]</f>
        <v>0.8</v>
      </c>
      <c r="I1066" s="7" t="s">
        <v>5581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0"/>
      <c r="AR1066" s="37"/>
      <c r="AS1066" s="37"/>
      <c r="AT1066" s="37"/>
      <c r="AU1066" s="37"/>
      <c r="AV1066" s="37"/>
      <c r="AW1066" s="37"/>
    </row>
    <row r="1067" spans="1:49" ht="15.75" customHeight="1" x14ac:dyDescent="0.25">
      <c r="A1067" s="21" t="s">
        <v>5333</v>
      </c>
      <c r="B1067" s="21" t="s">
        <v>5334</v>
      </c>
      <c r="C1067" s="195">
        <v>4</v>
      </c>
      <c r="D1067" s="1" t="s">
        <v>5342</v>
      </c>
      <c r="E1067" s="192">
        <v>4713</v>
      </c>
      <c r="F1067" s="195">
        <v>27</v>
      </c>
      <c r="G1067" s="1">
        <v>0.4</v>
      </c>
      <c r="H1067" s="34">
        <f>Tabela1[[#This Row],[PESO UNI]]*Tabela1[[#This Row],[QTE]]</f>
        <v>1.6</v>
      </c>
      <c r="I1067" s="7" t="s">
        <v>5581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-4</v>
      </c>
      <c r="R1067" s="18">
        <f t="shared" si="217"/>
        <v>0</v>
      </c>
      <c r="S1067" s="18">
        <f t="shared" si="218"/>
        <v>0</v>
      </c>
      <c r="T1067" s="19">
        <f t="shared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-4</v>
      </c>
      <c r="Z1067" s="20">
        <f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0"/>
      <c r="AR1067" s="37"/>
      <c r="AS1067" s="37"/>
      <c r="AT1067" s="37"/>
      <c r="AU1067" s="37"/>
      <c r="AV1067" s="37"/>
      <c r="AW1067" s="37"/>
    </row>
    <row r="1068" spans="1:49" ht="15.75" customHeight="1" x14ac:dyDescent="0.25">
      <c r="A1068" s="21" t="s">
        <v>5333</v>
      </c>
      <c r="B1068" s="21" t="s">
        <v>5334</v>
      </c>
      <c r="C1068" s="195">
        <v>2</v>
      </c>
      <c r="D1068" s="1" t="s">
        <v>5343</v>
      </c>
      <c r="E1068" s="192">
        <v>4714</v>
      </c>
      <c r="F1068" s="195">
        <v>27</v>
      </c>
      <c r="G1068" s="1">
        <v>0.6</v>
      </c>
      <c r="H1068" s="34">
        <f>Tabela1[[#This Row],[PESO UNI]]*Tabela1[[#This Row],[QTE]]</f>
        <v>1.2</v>
      </c>
      <c r="I1068" s="7" t="s">
        <v>5581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>Tabela1[[#This Row],[QTDE/ Fabricação]]-Tabela1[[#This Row],[QTE]]</f>
        <v>-2</v>
      </c>
      <c r="R1068" s="18">
        <f t="shared" ref="R1068:R1097" si="221">IFERROR(H1068*((AA1068*0.25)+(AC1068*0.25)+(AD1068*0.225)+(AE1068*0.225)+(AF1068*0.05)),"")</f>
        <v>0</v>
      </c>
      <c r="S1068" s="18">
        <f t="shared" ref="S1068:S1097" si="222">IFERROR(H1068*AG1068,"")</f>
        <v>0</v>
      </c>
      <c r="T1068" s="19">
        <f t="shared" ref="T1068:T1097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>IFERROR(Tabela1[[#This Row],[QIANTIDADE EXPEDIDA]]*Tabela1[[#This Row],[PESO UNI]],"")</f>
        <v>0</v>
      </c>
      <c r="Y1068" s="14">
        <f t="shared" ref="Y1068:Y1097" si="224">U1068-C1068</f>
        <v>-2</v>
      </c>
      <c r="Z1068" s="20">
        <f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0"/>
      <c r="AR1068" s="37"/>
      <c r="AS1068" s="37"/>
      <c r="AT1068" s="37"/>
      <c r="AU1068" s="37"/>
      <c r="AV1068" s="37"/>
      <c r="AW1068" s="37"/>
    </row>
    <row r="1069" spans="1:49" ht="15.75" customHeight="1" x14ac:dyDescent="0.25">
      <c r="A1069" s="21" t="s">
        <v>5333</v>
      </c>
      <c r="B1069" s="21" t="s">
        <v>5334</v>
      </c>
      <c r="C1069" s="195">
        <v>1</v>
      </c>
      <c r="D1069" s="1" t="s">
        <v>5344</v>
      </c>
      <c r="E1069" s="192">
        <v>4715</v>
      </c>
      <c r="F1069" s="195">
        <v>27</v>
      </c>
      <c r="G1069" s="1">
        <v>104</v>
      </c>
      <c r="H1069" s="34">
        <f>Tabela1[[#This Row],[PESO UNI]]*Tabela1[[#This Row],[QTE]]</f>
        <v>104</v>
      </c>
      <c r="I1069" s="7" t="s">
        <v>5581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>Tabela1[[#This Row],[QTDE/ Fabricação]]-Tabela1[[#This Row],[QTE]]</f>
        <v>-1</v>
      </c>
      <c r="R1069" s="18">
        <f t="shared" si="221"/>
        <v>0</v>
      </c>
      <c r="S1069" s="18">
        <f t="shared" si="222"/>
        <v>0</v>
      </c>
      <c r="T1069" s="19">
        <f t="shared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>IFERROR(Tabela1[[#This Row],[QIANTIDADE EXPEDIDA]]*Tabela1[[#This Row],[PESO UNI]],"")</f>
        <v>0</v>
      </c>
      <c r="Y1069" s="14">
        <f t="shared" si="224"/>
        <v>-1</v>
      </c>
      <c r="Z1069" s="20">
        <f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0"/>
      <c r="AR1069" s="37"/>
      <c r="AS1069" s="37"/>
      <c r="AT1069" s="37"/>
      <c r="AU1069" s="37"/>
      <c r="AV1069" s="37"/>
      <c r="AW1069" s="37"/>
    </row>
    <row r="1070" spans="1:49" ht="15.75" customHeight="1" x14ac:dyDescent="0.25">
      <c r="A1070" s="21" t="s">
        <v>5345</v>
      </c>
      <c r="B1070" s="21" t="s">
        <v>5346</v>
      </c>
      <c r="C1070" s="195">
        <v>1</v>
      </c>
      <c r="D1070" s="1" t="s">
        <v>5347</v>
      </c>
      <c r="E1070" s="227">
        <v>4716</v>
      </c>
      <c r="F1070" s="195">
        <v>28</v>
      </c>
      <c r="G1070" s="1">
        <v>254.3</v>
      </c>
      <c r="H1070" s="34">
        <f>Tabela1[[#This Row],[PESO UNI]]*Tabela1[[#This Row],[QTE]]</f>
        <v>254.3</v>
      </c>
      <c r="I1070" s="7" t="s">
        <v>5581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>Tabela1[[#This Row],[QTDE/ Fabricação]]-Tabela1[[#This Row],[QTE]]</f>
        <v>-1</v>
      </c>
      <c r="R1070" s="18">
        <f t="shared" si="221"/>
        <v>0</v>
      </c>
      <c r="S1070" s="18">
        <f t="shared" si="222"/>
        <v>0</v>
      </c>
      <c r="T1070" s="19">
        <f t="shared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>IFERROR(Tabela1[[#This Row],[QIANTIDADE EXPEDIDA]]*Tabela1[[#This Row],[PESO UNI]],"")</f>
        <v>0</v>
      </c>
      <c r="Y1070" s="14">
        <f t="shared" si="224"/>
        <v>-1</v>
      </c>
      <c r="Z1070" s="20">
        <f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0"/>
      <c r="AR1070" s="37"/>
      <c r="AS1070" s="37"/>
      <c r="AT1070" s="37"/>
      <c r="AU1070" s="37"/>
      <c r="AV1070" s="37"/>
      <c r="AW1070" s="37"/>
    </row>
    <row r="1071" spans="1:49" ht="15.75" customHeight="1" x14ac:dyDescent="0.25">
      <c r="A1071" s="21" t="s">
        <v>5345</v>
      </c>
      <c r="B1071" s="21" t="s">
        <v>5346</v>
      </c>
      <c r="C1071" s="195">
        <v>1</v>
      </c>
      <c r="D1071" s="1" t="s">
        <v>5348</v>
      </c>
      <c r="E1071" s="192">
        <v>4717</v>
      </c>
      <c r="F1071" s="195">
        <v>28</v>
      </c>
      <c r="G1071" s="1">
        <v>155.5</v>
      </c>
      <c r="H1071" s="34">
        <f>Tabela1[[#This Row],[PESO UNI]]*Tabela1[[#This Row],[QTE]]</f>
        <v>155.5</v>
      </c>
      <c r="I1071" s="7" t="s">
        <v>5581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>Tabela1[[#This Row],[QTDE/ Fabricação]]-Tabela1[[#This Row],[QTE]]</f>
        <v>-1</v>
      </c>
      <c r="R1071" s="18">
        <f t="shared" si="221"/>
        <v>0</v>
      </c>
      <c r="S1071" s="18">
        <f t="shared" si="222"/>
        <v>0</v>
      </c>
      <c r="T1071" s="19">
        <f t="shared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>IFERROR(Tabela1[[#This Row],[QIANTIDADE EXPEDIDA]]*Tabela1[[#This Row],[PESO UNI]],"")</f>
        <v>0</v>
      </c>
      <c r="Y1071" s="14">
        <f t="shared" si="224"/>
        <v>-1</v>
      </c>
      <c r="Z1071" s="20">
        <f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0"/>
      <c r="AR1071" s="37"/>
      <c r="AS1071" s="37"/>
      <c r="AT1071" s="37"/>
      <c r="AU1071" s="37"/>
      <c r="AV1071" s="37"/>
      <c r="AW1071" s="37"/>
    </row>
    <row r="1072" spans="1:49" ht="15.75" customHeight="1" x14ac:dyDescent="0.25">
      <c r="A1072" s="21" t="s">
        <v>5349</v>
      </c>
      <c r="B1072" s="21" t="s">
        <v>5350</v>
      </c>
      <c r="C1072" s="195">
        <v>1</v>
      </c>
      <c r="D1072" s="1" t="s">
        <v>5351</v>
      </c>
      <c r="E1072" s="227">
        <v>4718</v>
      </c>
      <c r="F1072" s="195">
        <v>29</v>
      </c>
      <c r="G1072" s="1">
        <v>27.4</v>
      </c>
      <c r="H1072" s="34">
        <f>Tabela1[[#This Row],[PESO UNI]]*Tabela1[[#This Row],[QTE]]</f>
        <v>27.4</v>
      </c>
      <c r="I1072" s="7" t="s">
        <v>5581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>Tabela1[[#This Row],[QTDE/ Fabricação]]-Tabela1[[#This Row],[QTE]]</f>
        <v>-1</v>
      </c>
      <c r="R1072" s="18">
        <f t="shared" si="221"/>
        <v>0</v>
      </c>
      <c r="S1072" s="18">
        <f t="shared" si="222"/>
        <v>0</v>
      </c>
      <c r="T1072" s="19">
        <f t="shared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>IFERROR(Tabela1[[#This Row],[QIANTIDADE EXPEDIDA]]*Tabela1[[#This Row],[PESO UNI]],"")</f>
        <v>0</v>
      </c>
      <c r="Y1072" s="14">
        <f t="shared" si="224"/>
        <v>-1</v>
      </c>
      <c r="Z1072" s="20">
        <f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0"/>
      <c r="AR1072" s="37"/>
      <c r="AS1072" s="37"/>
      <c r="AT1072" s="37"/>
      <c r="AU1072" s="37"/>
      <c r="AV1072" s="37"/>
      <c r="AW1072" s="37"/>
    </row>
    <row r="1073" spans="1:49" ht="15.75" customHeight="1" x14ac:dyDescent="0.25">
      <c r="A1073" s="21" t="s">
        <v>5349</v>
      </c>
      <c r="B1073" s="21" t="s">
        <v>5350</v>
      </c>
      <c r="C1073" s="195">
        <v>1</v>
      </c>
      <c r="D1073" s="1" t="s">
        <v>5352</v>
      </c>
      <c r="E1073" s="192">
        <v>4719</v>
      </c>
      <c r="F1073" s="195">
        <v>29</v>
      </c>
      <c r="G1073" s="1">
        <v>13.2</v>
      </c>
      <c r="H1073" s="34">
        <f>Tabela1[[#This Row],[PESO UNI]]*Tabela1[[#This Row],[QTE]]</f>
        <v>13.2</v>
      </c>
      <c r="I1073" s="7" t="s">
        <v>5581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>Tabela1[[#This Row],[QTDE/ Fabricação]]-Tabela1[[#This Row],[QTE]]</f>
        <v>-1</v>
      </c>
      <c r="R1073" s="18">
        <f t="shared" si="221"/>
        <v>0</v>
      </c>
      <c r="S1073" s="18">
        <f t="shared" si="222"/>
        <v>0</v>
      </c>
      <c r="T1073" s="19">
        <f t="shared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>IFERROR(Tabela1[[#This Row],[QIANTIDADE EXPEDIDA]]*Tabela1[[#This Row],[PESO UNI]],"")</f>
        <v>0</v>
      </c>
      <c r="Y1073" s="14">
        <f t="shared" si="224"/>
        <v>-1</v>
      </c>
      <c r="Z1073" s="20">
        <f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0"/>
      <c r="AR1073" s="37"/>
      <c r="AS1073" s="37"/>
      <c r="AT1073" s="37"/>
      <c r="AU1073" s="37"/>
      <c r="AV1073" s="37"/>
      <c r="AW1073" s="37"/>
    </row>
    <row r="1074" spans="1:49" ht="15.75" customHeight="1" x14ac:dyDescent="0.25">
      <c r="A1074" s="21" t="s">
        <v>5349</v>
      </c>
      <c r="B1074" s="21" t="s">
        <v>5350</v>
      </c>
      <c r="C1074" s="195">
        <v>1</v>
      </c>
      <c r="D1074" s="1" t="s">
        <v>5353</v>
      </c>
      <c r="E1074" s="192">
        <v>4720</v>
      </c>
      <c r="F1074" s="195">
        <v>29</v>
      </c>
      <c r="G1074" s="1">
        <v>9.6</v>
      </c>
      <c r="H1074" s="34">
        <f>Tabela1[[#This Row],[PESO UNI]]*Tabela1[[#This Row],[QTE]]</f>
        <v>9.6</v>
      </c>
      <c r="I1074" s="7" t="s">
        <v>5581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>Tabela1[[#This Row],[QTDE/ Fabricação]]-Tabela1[[#This Row],[QTE]]</f>
        <v>-1</v>
      </c>
      <c r="R1074" s="18">
        <f t="shared" si="221"/>
        <v>0</v>
      </c>
      <c r="S1074" s="18">
        <f t="shared" si="222"/>
        <v>0</v>
      </c>
      <c r="T1074" s="19">
        <f t="shared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>IFERROR(Tabela1[[#This Row],[QIANTIDADE EXPEDIDA]]*Tabela1[[#This Row],[PESO UNI]],"")</f>
        <v>0</v>
      </c>
      <c r="Y1074" s="14">
        <f t="shared" si="224"/>
        <v>-1</v>
      </c>
      <c r="Z1074" s="20">
        <f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0"/>
      <c r="AR1074" s="37"/>
      <c r="AS1074" s="37"/>
      <c r="AT1074" s="37"/>
      <c r="AU1074" s="37"/>
      <c r="AV1074" s="37"/>
      <c r="AW1074" s="37"/>
    </row>
    <row r="1075" spans="1:49" ht="15.75" customHeight="1" x14ac:dyDescent="0.25">
      <c r="A1075" s="21" t="s">
        <v>5349</v>
      </c>
      <c r="B1075" s="21" t="s">
        <v>5350</v>
      </c>
      <c r="C1075" s="195">
        <v>1</v>
      </c>
      <c r="D1075" s="1" t="s">
        <v>5354</v>
      </c>
      <c r="E1075" s="192">
        <v>4721</v>
      </c>
      <c r="F1075" s="195">
        <v>29</v>
      </c>
      <c r="G1075" s="1">
        <v>20.2</v>
      </c>
      <c r="H1075" s="34">
        <f>Tabela1[[#This Row],[PESO UNI]]*Tabela1[[#This Row],[QTE]]</f>
        <v>20.2</v>
      </c>
      <c r="I1075" s="7" t="s">
        <v>5581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>Tabela1[[#This Row],[QTDE/ Fabricação]]-Tabela1[[#This Row],[QTE]]</f>
        <v>-1</v>
      </c>
      <c r="R1075" s="18">
        <f t="shared" si="221"/>
        <v>0</v>
      </c>
      <c r="S1075" s="18">
        <f t="shared" si="222"/>
        <v>0</v>
      </c>
      <c r="T1075" s="19">
        <f t="shared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>IFERROR(Tabela1[[#This Row],[QIANTIDADE EXPEDIDA]]*Tabela1[[#This Row],[PESO UNI]],"")</f>
        <v>0</v>
      </c>
      <c r="Y1075" s="14">
        <f t="shared" si="224"/>
        <v>-1</v>
      </c>
      <c r="Z1075" s="20">
        <f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0"/>
      <c r="AR1075" s="37"/>
      <c r="AS1075" s="37"/>
      <c r="AT1075" s="37"/>
      <c r="AU1075" s="37"/>
      <c r="AV1075" s="37"/>
      <c r="AW1075" s="37"/>
    </row>
    <row r="1076" spans="1:49" ht="15.75" customHeight="1" x14ac:dyDescent="0.25">
      <c r="A1076" s="21" t="s">
        <v>5349</v>
      </c>
      <c r="B1076" s="21" t="s">
        <v>5350</v>
      </c>
      <c r="C1076" s="195">
        <v>1</v>
      </c>
      <c r="D1076" s="1" t="s">
        <v>5355</v>
      </c>
      <c r="E1076" s="192">
        <v>4722</v>
      </c>
      <c r="F1076" s="195">
        <v>29</v>
      </c>
      <c r="G1076" s="1">
        <v>11</v>
      </c>
      <c r="H1076" s="34">
        <f>Tabela1[[#This Row],[PESO UNI]]*Tabela1[[#This Row],[QTE]]</f>
        <v>11</v>
      </c>
      <c r="I1076" s="7" t="s">
        <v>5581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>Tabela1[[#This Row],[QTDE/ Fabricação]]-Tabela1[[#This Row],[QTE]]</f>
        <v>-1</v>
      </c>
      <c r="R1076" s="18">
        <f t="shared" si="221"/>
        <v>0</v>
      </c>
      <c r="S1076" s="18">
        <f t="shared" si="222"/>
        <v>0</v>
      </c>
      <c r="T1076" s="19">
        <f t="shared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>IFERROR(Tabela1[[#This Row],[QIANTIDADE EXPEDIDA]]*Tabela1[[#This Row],[PESO UNI]],"")</f>
        <v>0</v>
      </c>
      <c r="Y1076" s="14">
        <f t="shared" si="224"/>
        <v>-1</v>
      </c>
      <c r="Z1076" s="20">
        <f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0"/>
      <c r="AR1076" s="37"/>
      <c r="AS1076" s="37"/>
      <c r="AT1076" s="37"/>
      <c r="AU1076" s="37"/>
      <c r="AV1076" s="37"/>
      <c r="AW1076" s="37"/>
    </row>
    <row r="1077" spans="1:49" ht="15.75" customHeight="1" x14ac:dyDescent="0.25">
      <c r="A1077" s="21" t="s">
        <v>5349</v>
      </c>
      <c r="B1077" s="21" t="s">
        <v>5350</v>
      </c>
      <c r="C1077" s="195">
        <v>1</v>
      </c>
      <c r="D1077" s="1" t="s">
        <v>5356</v>
      </c>
      <c r="E1077" s="192">
        <v>4723</v>
      </c>
      <c r="F1077" s="195">
        <v>29</v>
      </c>
      <c r="G1077" s="1">
        <v>36.200000000000003</v>
      </c>
      <c r="H1077" s="34">
        <f>Tabela1[[#This Row],[PESO UNI]]*Tabela1[[#This Row],[QTE]]</f>
        <v>36.200000000000003</v>
      </c>
      <c r="I1077" s="7" t="s">
        <v>5581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>Tabela1[[#This Row],[QTDE/ Fabricação]]-Tabela1[[#This Row],[QTE]]</f>
        <v>-1</v>
      </c>
      <c r="R1077" s="18">
        <f t="shared" si="221"/>
        <v>0</v>
      </c>
      <c r="S1077" s="18">
        <f t="shared" si="222"/>
        <v>0</v>
      </c>
      <c r="T1077" s="19">
        <f t="shared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>IFERROR(Tabela1[[#This Row],[QIANTIDADE EXPEDIDA]]*Tabela1[[#This Row],[PESO UNI]],"")</f>
        <v>0</v>
      </c>
      <c r="Y1077" s="14">
        <f t="shared" si="224"/>
        <v>-1</v>
      </c>
      <c r="Z1077" s="20">
        <f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0"/>
      <c r="AR1077" s="37"/>
      <c r="AS1077" s="37"/>
      <c r="AT1077" s="37"/>
      <c r="AU1077" s="37"/>
      <c r="AV1077" s="37"/>
      <c r="AW1077" s="37"/>
    </row>
    <row r="1078" spans="1:49" ht="15.75" customHeight="1" x14ac:dyDescent="0.25">
      <c r="A1078" s="21" t="s">
        <v>5349</v>
      </c>
      <c r="B1078" s="21" t="s">
        <v>5350</v>
      </c>
      <c r="C1078" s="195">
        <v>1</v>
      </c>
      <c r="D1078" s="1" t="s">
        <v>5357</v>
      </c>
      <c r="E1078" s="192">
        <v>4724</v>
      </c>
      <c r="F1078" s="195">
        <v>29</v>
      </c>
      <c r="G1078" s="1">
        <v>0.4</v>
      </c>
      <c r="H1078" s="34">
        <f>Tabela1[[#This Row],[PESO UNI]]*Tabela1[[#This Row],[QTE]]</f>
        <v>0.4</v>
      </c>
      <c r="I1078" s="7" t="s">
        <v>5581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>Tabela1[[#This Row],[QTDE/ Fabricação]]-Tabela1[[#This Row],[QTE]]</f>
        <v>-1</v>
      </c>
      <c r="R1078" s="18">
        <f t="shared" si="221"/>
        <v>0</v>
      </c>
      <c r="S1078" s="18">
        <f t="shared" si="222"/>
        <v>0</v>
      </c>
      <c r="T1078" s="19">
        <f t="shared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>IFERROR(Tabela1[[#This Row],[QIANTIDADE EXPEDIDA]]*Tabela1[[#This Row],[PESO UNI]],"")</f>
        <v>0</v>
      </c>
      <c r="Y1078" s="14">
        <f t="shared" si="224"/>
        <v>-1</v>
      </c>
      <c r="Z1078" s="20">
        <f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0"/>
      <c r="AR1078" s="37"/>
      <c r="AS1078" s="37"/>
      <c r="AT1078" s="37"/>
      <c r="AU1078" s="37"/>
      <c r="AV1078" s="37"/>
      <c r="AW1078" s="37"/>
    </row>
    <row r="1079" spans="1:49" s="21" customFormat="1" ht="15.75" customHeight="1" x14ac:dyDescent="0.25">
      <c r="A1079" s="21" t="s">
        <v>5358</v>
      </c>
      <c r="B1079" s="21" t="s">
        <v>5359</v>
      </c>
      <c r="C1079" s="21">
        <v>1</v>
      </c>
      <c r="D1079" s="1" t="s">
        <v>5360</v>
      </c>
      <c r="E1079" s="21">
        <v>4725</v>
      </c>
      <c r="F1079" s="21">
        <v>30</v>
      </c>
      <c r="G1079" s="1">
        <v>91</v>
      </c>
      <c r="H1079" s="34">
        <f>Tabela1[[#This Row],[PESO UNI]]*Tabela1[[#This Row],[QTE]]</f>
        <v>91</v>
      </c>
      <c r="I1079" s="7" t="s">
        <v>5581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>Tabela1[[#This Row],[QTDE/ Fabricação]]-Tabela1[[#This Row],[QTE]]</f>
        <v>-1</v>
      </c>
      <c r="R1079" s="18">
        <f t="shared" si="221"/>
        <v>36.4</v>
      </c>
      <c r="S1079" s="18">
        <f t="shared" si="222"/>
        <v>0</v>
      </c>
      <c r="T1079" s="19">
        <f t="shared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>IFERROR(Tabela1[[#This Row],[QIANTIDADE EXPEDIDA]]*Tabela1[[#This Row],[PESO UNI]],"")</f>
        <v>0</v>
      </c>
      <c r="Y1079" s="14">
        <f t="shared" si="224"/>
        <v>-1</v>
      </c>
      <c r="Z1079" s="20">
        <f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0"/>
    </row>
    <row r="1080" spans="1:49" s="21" customFormat="1" ht="15.75" customHeight="1" x14ac:dyDescent="0.25">
      <c r="A1080" s="21" t="s">
        <v>5358</v>
      </c>
      <c r="B1080" s="21" t="s">
        <v>5359</v>
      </c>
      <c r="C1080" s="21">
        <v>2</v>
      </c>
      <c r="D1080" s="1" t="s">
        <v>5361</v>
      </c>
      <c r="E1080" s="21">
        <v>4726</v>
      </c>
      <c r="F1080" s="21">
        <v>30</v>
      </c>
      <c r="G1080" s="1">
        <v>13.25</v>
      </c>
      <c r="H1080" s="34">
        <f>Tabela1[[#This Row],[PESO UNI]]*Tabela1[[#This Row],[QTE]]</f>
        <v>26.5</v>
      </c>
      <c r="I1080" s="7" t="s">
        <v>5581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>Tabela1[[#This Row],[QTDE/ Fabricação]]-Tabela1[[#This Row],[QTE]]</f>
        <v>-2</v>
      </c>
      <c r="R1080" s="18">
        <f t="shared" si="221"/>
        <v>10.600000000000001</v>
      </c>
      <c r="S1080" s="18">
        <f t="shared" si="222"/>
        <v>0</v>
      </c>
      <c r="T1080" s="19">
        <f t="shared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>IFERROR(Tabela1[[#This Row],[QIANTIDADE EXPEDIDA]]*Tabela1[[#This Row],[PESO UNI]],"")</f>
        <v>0</v>
      </c>
      <c r="Y1080" s="14">
        <f t="shared" si="224"/>
        <v>-2</v>
      </c>
      <c r="Z1080" s="20">
        <f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0"/>
    </row>
    <row r="1081" spans="1:49" s="21" customFormat="1" ht="15.75" customHeight="1" x14ac:dyDescent="0.25">
      <c r="A1081" s="21" t="s">
        <v>5358</v>
      </c>
      <c r="B1081" s="21" t="s">
        <v>5359</v>
      </c>
      <c r="C1081" s="21">
        <v>18</v>
      </c>
      <c r="D1081" s="1" t="s">
        <v>5362</v>
      </c>
      <c r="E1081" s="21">
        <v>4727</v>
      </c>
      <c r="F1081" s="21">
        <v>30</v>
      </c>
      <c r="G1081" s="1">
        <v>1.2</v>
      </c>
      <c r="H1081" s="34">
        <f>Tabela1[[#This Row],[PESO UNI]]*Tabela1[[#This Row],[QTE]]</f>
        <v>21.599999999999998</v>
      </c>
      <c r="I1081" s="7" t="s">
        <v>5581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>Tabela1[[#This Row],[QTDE/ Fabricação]]-Tabela1[[#This Row],[QTE]]</f>
        <v>-18</v>
      </c>
      <c r="R1081" s="18">
        <f t="shared" si="221"/>
        <v>8.6399999999999988</v>
      </c>
      <c r="S1081" s="18">
        <f t="shared" si="222"/>
        <v>0</v>
      </c>
      <c r="T1081" s="19">
        <f t="shared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>IFERROR(Tabela1[[#This Row],[QIANTIDADE EXPEDIDA]]*Tabela1[[#This Row],[PESO UNI]],"")</f>
        <v>0</v>
      </c>
      <c r="Y1081" s="14">
        <f t="shared" si="224"/>
        <v>-18</v>
      </c>
      <c r="Z1081" s="20">
        <f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0"/>
    </row>
    <row r="1082" spans="1:49" s="21" customFormat="1" ht="15.75" customHeight="1" x14ac:dyDescent="0.25">
      <c r="A1082" s="21" t="s">
        <v>5358</v>
      </c>
      <c r="B1082" s="21" t="s">
        <v>5359</v>
      </c>
      <c r="C1082" s="21">
        <v>2</v>
      </c>
      <c r="D1082" s="1" t="s">
        <v>5751</v>
      </c>
      <c r="E1082" s="21">
        <v>4913</v>
      </c>
      <c r="F1082" s="21">
        <v>30</v>
      </c>
      <c r="G1082" s="1">
        <v>19.5</v>
      </c>
      <c r="H1082" s="34">
        <f>Tabela1[[#This Row],[PESO UNI]]*Tabela1[[#This Row],[QTE]]</f>
        <v>39</v>
      </c>
      <c r="I1082" s="7" t="s">
        <v>5581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>Tabela1[[#This Row],[QTDE/ Fabricação]]-Tabela1[[#This Row],[QTE]]</f>
        <v>-2</v>
      </c>
      <c r="R1082" s="18">
        <f t="shared" ref="R1082" si="225">IFERROR(H1082*((AA1082*0.25)+(AC1082*0.25)+(AD1082*0.225)+(AE1082*0.225)+(AF1082*0.05)),"")</f>
        <v>15.600000000000001</v>
      </c>
      <c r="S1082" s="18">
        <f t="shared" ref="S1082" si="226">IFERROR(H1082*AG1082,"")</f>
        <v>0</v>
      </c>
      <c r="T1082" s="19">
        <f t="shared" ref="T1082" si="227">IFERROR(S1082-H1082,"")</f>
        <v>-39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>IFERROR(Tabela1[[#This Row],[QIANTIDADE EXPEDIDA]]*Tabela1[[#This Row],[PESO UNI]],"")</f>
        <v>0</v>
      </c>
      <c r="Y1082" s="14">
        <f t="shared" ref="Y1082" si="228">U1082-C1082</f>
        <v>-2</v>
      </c>
      <c r="Z1082" s="20">
        <f>Tabela1[[#This Row],[PESO TOTAL]]-Tabela1[[#This Row],[Peso Expedido]]</f>
        <v>39</v>
      </c>
      <c r="AA1082" s="17">
        <v>0.8</v>
      </c>
      <c r="AB1082" s="33"/>
      <c r="AC1082" s="33">
        <v>0.8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0"/>
    </row>
    <row r="1083" spans="1:49" s="21" customFormat="1" ht="15.75" customHeight="1" x14ac:dyDescent="0.25">
      <c r="A1083" s="21" t="s">
        <v>5358</v>
      </c>
      <c r="B1083" s="21" t="s">
        <v>5359</v>
      </c>
      <c r="C1083" s="21">
        <v>2</v>
      </c>
      <c r="D1083" s="1" t="s">
        <v>5752</v>
      </c>
      <c r="E1083" s="21">
        <v>4914</v>
      </c>
      <c r="F1083" s="21">
        <v>30</v>
      </c>
      <c r="G1083" s="1">
        <v>1.9</v>
      </c>
      <c r="H1083" s="34">
        <f>Tabela1[[#This Row],[PESO UNI]]*Tabela1[[#This Row],[QTE]]</f>
        <v>3.8</v>
      </c>
      <c r="I1083" s="7" t="s">
        <v>5581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>Tabela1[[#This Row],[QTDE/ Fabricação]]-Tabela1[[#This Row],[QTE]]</f>
        <v>-2</v>
      </c>
      <c r="R1083" s="18">
        <f t="shared" ref="R1083" si="229">IFERROR(H1083*((AA1083*0.25)+(AC1083*0.25)+(AD1083*0.225)+(AE1083*0.225)+(AF1083*0.05)),"")</f>
        <v>1.52</v>
      </c>
      <c r="S1083" s="18">
        <f t="shared" ref="S1083" si="230">IFERROR(H1083*AG1083,"")</f>
        <v>0</v>
      </c>
      <c r="T1083" s="19">
        <f t="shared" ref="T1083" si="231">IFERROR(S1083-H1083,"")</f>
        <v>-3.8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>IFERROR(Tabela1[[#This Row],[QIANTIDADE EXPEDIDA]]*Tabela1[[#This Row],[PESO UNI]],"")</f>
        <v>0</v>
      </c>
      <c r="Y1083" s="14">
        <f t="shared" ref="Y1083" si="232">U1083-C1083</f>
        <v>-2</v>
      </c>
      <c r="Z1083" s="20">
        <f>Tabela1[[#This Row],[PESO TOTAL]]-Tabela1[[#This Row],[Peso Expedido]]</f>
        <v>3.8</v>
      </c>
      <c r="AA1083" s="17">
        <v>0.8</v>
      </c>
      <c r="AB1083" s="33"/>
      <c r="AC1083" s="33">
        <v>0.8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0"/>
    </row>
    <row r="1084" spans="1:49" s="36" customFormat="1" ht="15.75" customHeight="1" x14ac:dyDescent="0.25">
      <c r="A1084" s="21" t="s">
        <v>5363</v>
      </c>
      <c r="B1084" s="21" t="s">
        <v>5364</v>
      </c>
      <c r="C1084" s="192">
        <v>2</v>
      </c>
      <c r="D1084" s="1" t="s">
        <v>5365</v>
      </c>
      <c r="E1084" s="227">
        <v>4728</v>
      </c>
      <c r="F1084" s="192">
        <v>31</v>
      </c>
      <c r="G1084" s="1">
        <v>93.6</v>
      </c>
      <c r="H1084" s="34">
        <f>Tabela1[[#This Row],[PESO UNI]]*Tabela1[[#This Row],[QTE]]</f>
        <v>187.2</v>
      </c>
      <c r="I1084" s="7" t="s">
        <v>5581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>Tabela1[[#This Row],[QTDE/ Fabricação]]-Tabela1[[#This Row],[QTE]]</f>
        <v>-2</v>
      </c>
      <c r="R1084" s="18">
        <f t="shared" si="221"/>
        <v>93.6</v>
      </c>
      <c r="S1084" s="18">
        <f t="shared" si="222"/>
        <v>0</v>
      </c>
      <c r="T1084" s="19">
        <f t="shared" si="223"/>
        <v>-187.2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>IFERROR(Tabela1[[#This Row],[QIANTIDADE EXPEDIDA]]*Tabela1[[#This Row],[PESO UNI]],"")</f>
        <v>0</v>
      </c>
      <c r="Y1084" s="14">
        <f t="shared" si="224"/>
        <v>-2</v>
      </c>
      <c r="Z1084" s="20">
        <f>Tabela1[[#This Row],[PESO TOTAL]]-Tabela1[[#This Row],[Peso Expedido]]</f>
        <v>187.2</v>
      </c>
      <c r="AA1084" s="17">
        <v>1</v>
      </c>
      <c r="AB1084" s="33"/>
      <c r="AC1084" s="33">
        <v>1</v>
      </c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0"/>
      <c r="AR1084" s="21"/>
      <c r="AS1084" s="21"/>
      <c r="AT1084" s="228"/>
      <c r="AU1084" s="228"/>
      <c r="AV1084" s="228"/>
      <c r="AW1084" s="228"/>
    </row>
    <row r="1085" spans="1:49" s="36" customFormat="1" ht="15.75" customHeight="1" x14ac:dyDescent="0.25">
      <c r="A1085" s="21" t="s">
        <v>5363</v>
      </c>
      <c r="B1085" s="21" t="s">
        <v>5364</v>
      </c>
      <c r="C1085" s="192">
        <v>18</v>
      </c>
      <c r="D1085" s="1" t="s">
        <v>5366</v>
      </c>
      <c r="E1085" s="192">
        <v>4729</v>
      </c>
      <c r="F1085" s="192">
        <v>31</v>
      </c>
      <c r="G1085" s="1">
        <v>36.200000000000003</v>
      </c>
      <c r="H1085" s="34">
        <f>Tabela1[[#This Row],[PESO UNI]]*Tabela1[[#This Row],[QTE]]</f>
        <v>651.6</v>
      </c>
      <c r="I1085" s="7" t="s">
        <v>5581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>Tabela1[[#This Row],[QTDE/ Fabricação]]-Tabela1[[#This Row],[QTE]]</f>
        <v>-18</v>
      </c>
      <c r="R1085" s="18">
        <f t="shared" si="221"/>
        <v>325.8</v>
      </c>
      <c r="S1085" s="18">
        <f t="shared" si="222"/>
        <v>0</v>
      </c>
      <c r="T1085" s="19">
        <f t="shared" si="223"/>
        <v>-651.6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>IFERROR(Tabela1[[#This Row],[QIANTIDADE EXPEDIDA]]*Tabela1[[#This Row],[PESO UNI]],"")</f>
        <v>0</v>
      </c>
      <c r="Y1085" s="14">
        <f t="shared" si="224"/>
        <v>-18</v>
      </c>
      <c r="Z1085" s="20">
        <f>Tabela1[[#This Row],[PESO TOTAL]]-Tabela1[[#This Row],[Peso Expedido]]</f>
        <v>651.6</v>
      </c>
      <c r="AA1085" s="17">
        <v>1</v>
      </c>
      <c r="AB1085" s="33"/>
      <c r="AC1085" s="33">
        <v>1</v>
      </c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0"/>
      <c r="AR1085" s="21"/>
      <c r="AS1085" s="21"/>
      <c r="AT1085" s="228"/>
      <c r="AU1085" s="228"/>
      <c r="AV1085" s="228"/>
      <c r="AW1085" s="228"/>
    </row>
    <row r="1086" spans="1:49" s="36" customFormat="1" ht="15.75" customHeight="1" x14ac:dyDescent="0.25">
      <c r="A1086" s="21" t="s">
        <v>5367</v>
      </c>
      <c r="B1086" s="21" t="s">
        <v>5368</v>
      </c>
      <c r="C1086" s="192">
        <v>1</v>
      </c>
      <c r="D1086" s="1" t="s">
        <v>5369</v>
      </c>
      <c r="E1086" s="227">
        <v>4730</v>
      </c>
      <c r="F1086" s="192">
        <v>31</v>
      </c>
      <c r="G1086" s="1">
        <v>36</v>
      </c>
      <c r="H1086" s="34">
        <f>Tabela1[[#This Row],[PESO UNI]]*Tabela1[[#This Row],[QTE]]</f>
        <v>36</v>
      </c>
      <c r="I1086" s="7" t="s">
        <v>5581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>Tabela1[[#This Row],[QTDE/ Fabricação]]-Tabela1[[#This Row],[QTE]]</f>
        <v>-1</v>
      </c>
      <c r="R1086" s="18">
        <f t="shared" si="221"/>
        <v>0</v>
      </c>
      <c r="S1086" s="18">
        <f t="shared" si="222"/>
        <v>0</v>
      </c>
      <c r="T1086" s="19">
        <f t="shared" si="223"/>
        <v>-36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>IFERROR(Tabela1[[#This Row],[QIANTIDADE EXPEDIDA]]*Tabela1[[#This Row],[PESO UNI]],"")</f>
        <v>0</v>
      </c>
      <c r="Y1086" s="14">
        <f t="shared" si="224"/>
        <v>-1</v>
      </c>
      <c r="Z1086" s="20">
        <f>Tabela1[[#This Row],[PESO TOTAL]]-Tabela1[[#This Row],[Peso Expedido]]</f>
        <v>36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0"/>
      <c r="AR1086" s="21"/>
      <c r="AS1086" s="21"/>
      <c r="AT1086" s="228"/>
      <c r="AU1086" s="228"/>
      <c r="AV1086" s="228"/>
      <c r="AW1086" s="228"/>
    </row>
    <row r="1087" spans="1:49" s="36" customFormat="1" ht="15.75" customHeight="1" x14ac:dyDescent="0.25">
      <c r="A1087" s="21" t="s">
        <v>5367</v>
      </c>
      <c r="B1087" s="21" t="s">
        <v>5368</v>
      </c>
      <c r="C1087" s="192">
        <v>2</v>
      </c>
      <c r="D1087" s="1" t="s">
        <v>5370</v>
      </c>
      <c r="E1087" s="192">
        <v>4731</v>
      </c>
      <c r="F1087" s="192">
        <v>31</v>
      </c>
      <c r="G1087" s="1">
        <v>79.900000000000006</v>
      </c>
      <c r="H1087" s="34">
        <f>Tabela1[[#This Row],[PESO UNI]]*Tabela1[[#This Row],[QTE]]</f>
        <v>159.80000000000001</v>
      </c>
      <c r="I1087" s="7" t="s">
        <v>5581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>Tabela1[[#This Row],[QTDE/ Fabricação]]-Tabela1[[#This Row],[QTE]]</f>
        <v>-2</v>
      </c>
      <c r="R1087" s="18">
        <f t="shared" si="221"/>
        <v>0</v>
      </c>
      <c r="S1087" s="18">
        <f t="shared" si="222"/>
        <v>0</v>
      </c>
      <c r="T1087" s="19">
        <f t="shared" si="223"/>
        <v>-159.80000000000001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>IFERROR(Tabela1[[#This Row],[QIANTIDADE EXPEDIDA]]*Tabela1[[#This Row],[PESO UNI]],"")</f>
        <v>0</v>
      </c>
      <c r="Y1087" s="14">
        <f t="shared" si="224"/>
        <v>-2</v>
      </c>
      <c r="Z1087" s="20">
        <f>Tabela1[[#This Row],[PESO TOTAL]]-Tabela1[[#This Row],[Peso Expedido]]</f>
        <v>159.80000000000001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0"/>
      <c r="AR1087" s="21"/>
      <c r="AS1087" s="21"/>
      <c r="AT1087" s="228"/>
      <c r="AU1087" s="228"/>
      <c r="AV1087" s="228"/>
      <c r="AW1087" s="228"/>
    </row>
    <row r="1088" spans="1:49" s="36" customFormat="1" ht="15.75" customHeight="1" x14ac:dyDescent="0.25">
      <c r="A1088" s="21" t="s">
        <v>5367</v>
      </c>
      <c r="B1088" s="21" t="s">
        <v>5368</v>
      </c>
      <c r="C1088" s="192">
        <v>4</v>
      </c>
      <c r="D1088" s="1" t="s">
        <v>5371</v>
      </c>
      <c r="E1088" s="192">
        <v>4732</v>
      </c>
      <c r="F1088" s="192">
        <v>31</v>
      </c>
      <c r="G1088" s="1">
        <v>240.9</v>
      </c>
      <c r="H1088" s="34">
        <f>Tabela1[[#This Row],[PESO UNI]]*Tabela1[[#This Row],[QTE]]</f>
        <v>963.6</v>
      </c>
      <c r="I1088" s="7" t="s">
        <v>5581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>Tabela1[[#This Row],[QTDE/ Fabricação]]-Tabela1[[#This Row],[QTE]]</f>
        <v>-4</v>
      </c>
      <c r="R1088" s="18">
        <f t="shared" si="221"/>
        <v>0</v>
      </c>
      <c r="S1088" s="18">
        <f t="shared" si="222"/>
        <v>0</v>
      </c>
      <c r="T1088" s="19">
        <f t="shared" si="223"/>
        <v>-963.6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>IFERROR(Tabela1[[#This Row],[QIANTIDADE EXPEDIDA]]*Tabela1[[#This Row],[PESO UNI]],"")</f>
        <v>0</v>
      </c>
      <c r="Y1088" s="14">
        <f t="shared" si="224"/>
        <v>-4</v>
      </c>
      <c r="Z1088" s="20">
        <f>Tabela1[[#This Row],[PESO TOTAL]]-Tabela1[[#This Row],[Peso Expedido]]</f>
        <v>963.6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0"/>
      <c r="AR1088" s="21"/>
      <c r="AS1088" s="21"/>
      <c r="AT1088" s="228"/>
      <c r="AU1088" s="228"/>
      <c r="AV1088" s="228"/>
      <c r="AW1088" s="228"/>
    </row>
    <row r="1089" spans="1:49" s="36" customFormat="1" ht="15.75" customHeight="1" x14ac:dyDescent="0.25">
      <c r="A1089" s="21" t="s">
        <v>5367</v>
      </c>
      <c r="B1089" s="21" t="s">
        <v>5368</v>
      </c>
      <c r="C1089" s="192">
        <v>2</v>
      </c>
      <c r="D1089" s="1" t="s">
        <v>5372</v>
      </c>
      <c r="E1089" s="192">
        <v>4733</v>
      </c>
      <c r="F1089" s="192">
        <v>31</v>
      </c>
      <c r="G1089" s="1">
        <v>90.5</v>
      </c>
      <c r="H1089" s="34">
        <f>Tabela1[[#This Row],[PESO UNI]]*Tabela1[[#This Row],[QTE]]</f>
        <v>181</v>
      </c>
      <c r="I1089" s="7" t="s">
        <v>5581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>Tabela1[[#This Row],[QTDE/ Fabricação]]-Tabela1[[#This Row],[QTE]]</f>
        <v>-2</v>
      </c>
      <c r="R1089" s="18">
        <f t="shared" si="221"/>
        <v>0</v>
      </c>
      <c r="S1089" s="18">
        <f t="shared" si="222"/>
        <v>0</v>
      </c>
      <c r="T1089" s="19">
        <f t="shared" si="223"/>
        <v>-181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>IFERROR(Tabela1[[#This Row],[QIANTIDADE EXPEDIDA]]*Tabela1[[#This Row],[PESO UNI]],"")</f>
        <v>0</v>
      </c>
      <c r="Y1089" s="14">
        <f t="shared" si="224"/>
        <v>-2</v>
      </c>
      <c r="Z1089" s="20">
        <f>Tabela1[[#This Row],[PESO TOTAL]]-Tabela1[[#This Row],[Peso Expedido]]</f>
        <v>181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0"/>
      <c r="AR1089" s="21"/>
      <c r="AS1089" s="21"/>
      <c r="AT1089" s="228"/>
      <c r="AU1089" s="228"/>
      <c r="AV1089" s="228"/>
      <c r="AW1089" s="228"/>
    </row>
    <row r="1090" spans="1:49" s="36" customFormat="1" ht="15.75" customHeight="1" x14ac:dyDescent="0.25">
      <c r="A1090" s="21" t="s">
        <v>5373</v>
      </c>
      <c r="B1090" s="21" t="s">
        <v>5374</v>
      </c>
      <c r="C1090" s="192">
        <v>4</v>
      </c>
      <c r="D1090" s="1" t="s">
        <v>5375</v>
      </c>
      <c r="E1090" s="227">
        <v>4734</v>
      </c>
      <c r="F1090" s="192">
        <v>31</v>
      </c>
      <c r="G1090" s="1">
        <v>102.4</v>
      </c>
      <c r="H1090" s="34">
        <f>Tabela1[[#This Row],[PESO UNI]]*Tabela1[[#This Row],[QTE]]</f>
        <v>409.6</v>
      </c>
      <c r="I1090" s="7" t="s">
        <v>5581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>Tabela1[[#This Row],[QTDE/ Fabricação]]-Tabela1[[#This Row],[QTE]]</f>
        <v>-4</v>
      </c>
      <c r="R1090" s="18">
        <f t="shared" si="221"/>
        <v>0</v>
      </c>
      <c r="S1090" s="18">
        <f t="shared" si="222"/>
        <v>0</v>
      </c>
      <c r="T1090" s="19">
        <f t="shared" si="223"/>
        <v>-409.6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>IFERROR(Tabela1[[#This Row],[QIANTIDADE EXPEDIDA]]*Tabela1[[#This Row],[PESO UNI]],"")</f>
        <v>0</v>
      </c>
      <c r="Y1090" s="14">
        <f t="shared" si="224"/>
        <v>-4</v>
      </c>
      <c r="Z1090" s="20">
        <f>Tabela1[[#This Row],[PESO TOTAL]]-Tabela1[[#This Row],[Peso Expedido]]</f>
        <v>409.6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0"/>
      <c r="AR1090" s="228"/>
      <c r="AS1090" s="228"/>
      <c r="AT1090" s="228"/>
      <c r="AU1090" s="228"/>
      <c r="AV1090" s="228"/>
      <c r="AW1090" s="228"/>
    </row>
    <row r="1091" spans="1:49" s="36" customFormat="1" ht="15.75" customHeight="1" x14ac:dyDescent="0.25">
      <c r="A1091" s="21" t="s">
        <v>5373</v>
      </c>
      <c r="B1091" s="21" t="s">
        <v>5374</v>
      </c>
      <c r="C1091" s="192">
        <v>2</v>
      </c>
      <c r="D1091" s="1" t="s">
        <v>5376</v>
      </c>
      <c r="E1091" s="192">
        <v>4735</v>
      </c>
      <c r="F1091" s="192">
        <v>31</v>
      </c>
      <c r="G1091" s="1">
        <v>92.4</v>
      </c>
      <c r="H1091" s="34">
        <f>Tabela1[[#This Row],[PESO UNI]]*Tabela1[[#This Row],[QTE]]</f>
        <v>184.8</v>
      </c>
      <c r="I1091" s="7" t="s">
        <v>5581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>Tabela1[[#This Row],[QTDE/ Fabricação]]-Tabela1[[#This Row],[QTE]]</f>
        <v>-2</v>
      </c>
      <c r="R1091" s="18">
        <f t="shared" si="221"/>
        <v>0</v>
      </c>
      <c r="S1091" s="18">
        <f t="shared" si="222"/>
        <v>0</v>
      </c>
      <c r="T1091" s="19">
        <f t="shared" si="223"/>
        <v>-184.8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>IFERROR(Tabela1[[#This Row],[QIANTIDADE EXPEDIDA]]*Tabela1[[#This Row],[PESO UNI]],"")</f>
        <v>0</v>
      </c>
      <c r="Y1091" s="14">
        <f t="shared" si="224"/>
        <v>-2</v>
      </c>
      <c r="Z1091" s="20">
        <f>Tabela1[[#This Row],[PESO TOTAL]]-Tabela1[[#This Row],[Peso Expedido]]</f>
        <v>184.8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0"/>
      <c r="AR1091" s="228"/>
      <c r="AS1091" s="228"/>
      <c r="AT1091" s="228"/>
      <c r="AU1091" s="228"/>
      <c r="AV1091" s="228"/>
      <c r="AW1091" s="228"/>
    </row>
    <row r="1092" spans="1:49" s="36" customFormat="1" ht="15.75" customHeight="1" x14ac:dyDescent="0.25">
      <c r="A1092" s="21" t="s">
        <v>5373</v>
      </c>
      <c r="B1092" s="21" t="s">
        <v>5374</v>
      </c>
      <c r="C1092" s="192">
        <v>2</v>
      </c>
      <c r="D1092" s="1" t="s">
        <v>5377</v>
      </c>
      <c r="E1092" s="192">
        <v>4736</v>
      </c>
      <c r="F1092" s="192">
        <v>31</v>
      </c>
      <c r="G1092" s="1">
        <v>49.4</v>
      </c>
      <c r="H1092" s="34">
        <f>Tabela1[[#This Row],[PESO UNI]]*Tabela1[[#This Row],[QTE]]</f>
        <v>98.8</v>
      </c>
      <c r="I1092" s="7" t="s">
        <v>5581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>Tabela1[[#This Row],[QTDE/ Fabricação]]-Tabela1[[#This Row],[QTE]]</f>
        <v>-2</v>
      </c>
      <c r="R1092" s="18">
        <f t="shared" si="221"/>
        <v>0</v>
      </c>
      <c r="S1092" s="18">
        <f t="shared" si="222"/>
        <v>0</v>
      </c>
      <c r="T1092" s="19">
        <f t="shared" si="223"/>
        <v>-98.8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>IFERROR(Tabela1[[#This Row],[QIANTIDADE EXPEDIDA]]*Tabela1[[#This Row],[PESO UNI]],"")</f>
        <v>0</v>
      </c>
      <c r="Y1092" s="14">
        <f t="shared" si="224"/>
        <v>-2</v>
      </c>
      <c r="Z1092" s="20">
        <f>Tabela1[[#This Row],[PESO TOTAL]]-Tabela1[[#This Row],[Peso Expedido]]</f>
        <v>98.8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0"/>
      <c r="AR1092" s="228"/>
      <c r="AS1092" s="228"/>
      <c r="AT1092" s="228"/>
      <c r="AU1092" s="228"/>
      <c r="AV1092" s="228"/>
      <c r="AW1092" s="228"/>
    </row>
    <row r="1093" spans="1:49" s="36" customFormat="1" ht="15.75" customHeight="1" x14ac:dyDescent="0.25">
      <c r="A1093" s="21" t="s">
        <v>5373</v>
      </c>
      <c r="B1093" s="21" t="s">
        <v>5374</v>
      </c>
      <c r="C1093" s="192">
        <v>1</v>
      </c>
      <c r="D1093" s="1" t="s">
        <v>5378</v>
      </c>
      <c r="E1093" s="192">
        <v>4737</v>
      </c>
      <c r="F1093" s="192">
        <v>31</v>
      </c>
      <c r="G1093" s="1">
        <v>57.6</v>
      </c>
      <c r="H1093" s="34">
        <f>Tabela1[[#This Row],[PESO UNI]]*Tabela1[[#This Row],[QTE]]</f>
        <v>57.6</v>
      </c>
      <c r="I1093" s="7" t="s">
        <v>5581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>Tabela1[[#This Row],[QTDE/ Fabricação]]-Tabela1[[#This Row],[QTE]]</f>
        <v>-1</v>
      </c>
      <c r="R1093" s="18">
        <f t="shared" si="221"/>
        <v>0</v>
      </c>
      <c r="S1093" s="18">
        <f t="shared" si="222"/>
        <v>0</v>
      </c>
      <c r="T1093" s="19">
        <f t="shared" si="223"/>
        <v>-57.6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>IFERROR(Tabela1[[#This Row],[QIANTIDADE EXPEDIDA]]*Tabela1[[#This Row],[PESO UNI]],"")</f>
        <v>0</v>
      </c>
      <c r="Y1093" s="14">
        <f t="shared" si="224"/>
        <v>-1</v>
      </c>
      <c r="Z1093" s="20">
        <f>Tabela1[[#This Row],[PESO TOTAL]]-Tabela1[[#This Row],[Peso Expedido]]</f>
        <v>57.6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0"/>
      <c r="AR1093" s="228"/>
      <c r="AS1093" s="228"/>
      <c r="AT1093" s="228"/>
      <c r="AU1093" s="228"/>
      <c r="AV1093" s="228"/>
      <c r="AW1093" s="228"/>
    </row>
    <row r="1094" spans="1:49" s="36" customFormat="1" ht="15.75" customHeight="1" x14ac:dyDescent="0.25">
      <c r="A1094" s="21" t="s">
        <v>5373</v>
      </c>
      <c r="B1094" s="21" t="s">
        <v>5374</v>
      </c>
      <c r="C1094" s="192">
        <v>1</v>
      </c>
      <c r="D1094" s="1" t="s">
        <v>5379</v>
      </c>
      <c r="E1094" s="192">
        <v>4738</v>
      </c>
      <c r="F1094" s="192">
        <v>31</v>
      </c>
      <c r="G1094" s="1">
        <v>57.6</v>
      </c>
      <c r="H1094" s="34">
        <f>Tabela1[[#This Row],[PESO UNI]]*Tabela1[[#This Row],[QTE]]</f>
        <v>57.6</v>
      </c>
      <c r="I1094" s="7" t="s">
        <v>5581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>Tabela1[[#This Row],[QTDE/ Fabricação]]-Tabela1[[#This Row],[QTE]]</f>
        <v>-1</v>
      </c>
      <c r="R1094" s="18">
        <f t="shared" si="221"/>
        <v>0</v>
      </c>
      <c r="S1094" s="18">
        <f t="shared" si="222"/>
        <v>0</v>
      </c>
      <c r="T1094" s="19">
        <f t="shared" si="223"/>
        <v>-57.6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>IFERROR(Tabela1[[#This Row],[QIANTIDADE EXPEDIDA]]*Tabela1[[#This Row],[PESO UNI]],"")</f>
        <v>0</v>
      </c>
      <c r="Y1094" s="14">
        <f t="shared" si="224"/>
        <v>-1</v>
      </c>
      <c r="Z1094" s="20">
        <f>Tabela1[[#This Row],[PESO TOTAL]]-Tabela1[[#This Row],[Peso Expedido]]</f>
        <v>57.6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0"/>
      <c r="AR1094" s="228"/>
      <c r="AS1094" s="228"/>
      <c r="AT1094" s="228"/>
      <c r="AU1094" s="228"/>
      <c r="AV1094" s="228"/>
      <c r="AW1094" s="228"/>
    </row>
    <row r="1095" spans="1:49" s="36" customFormat="1" ht="15.75" customHeight="1" x14ac:dyDescent="0.25">
      <c r="A1095" s="21" t="s">
        <v>5373</v>
      </c>
      <c r="B1095" s="21" t="s">
        <v>5374</v>
      </c>
      <c r="C1095" s="192">
        <v>1</v>
      </c>
      <c r="D1095" s="1" t="s">
        <v>5380</v>
      </c>
      <c r="E1095" s="192">
        <v>4739</v>
      </c>
      <c r="F1095" s="192">
        <v>31</v>
      </c>
      <c r="G1095" s="1">
        <v>79.5</v>
      </c>
      <c r="H1095" s="34">
        <f>Tabela1[[#This Row],[PESO UNI]]*Tabela1[[#This Row],[QTE]]</f>
        <v>79.5</v>
      </c>
      <c r="I1095" s="7" t="s">
        <v>5581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>Tabela1[[#This Row],[QTDE/ Fabricação]]-Tabela1[[#This Row],[QTE]]</f>
        <v>-1</v>
      </c>
      <c r="R1095" s="18">
        <f t="shared" si="221"/>
        <v>0</v>
      </c>
      <c r="S1095" s="18">
        <f t="shared" si="222"/>
        <v>0</v>
      </c>
      <c r="T1095" s="19">
        <f t="shared" si="223"/>
        <v>-79.5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>IFERROR(Tabela1[[#This Row],[QIANTIDADE EXPEDIDA]]*Tabela1[[#This Row],[PESO UNI]],"")</f>
        <v>0</v>
      </c>
      <c r="Y1095" s="14">
        <f t="shared" si="224"/>
        <v>-1</v>
      </c>
      <c r="Z1095" s="20">
        <f>Tabela1[[#This Row],[PESO TOTAL]]-Tabela1[[#This Row],[Peso Expedido]]</f>
        <v>79.5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0"/>
      <c r="AR1095" s="228"/>
      <c r="AS1095" s="228"/>
      <c r="AT1095" s="228"/>
      <c r="AU1095" s="228"/>
      <c r="AV1095" s="228"/>
      <c r="AW1095" s="228"/>
    </row>
    <row r="1096" spans="1:49" s="36" customFormat="1" ht="15.75" customHeight="1" x14ac:dyDescent="0.25">
      <c r="A1096" s="21" t="s">
        <v>5373</v>
      </c>
      <c r="B1096" s="21" t="s">
        <v>5374</v>
      </c>
      <c r="C1096" s="192">
        <v>2</v>
      </c>
      <c r="D1096" s="1" t="s">
        <v>5381</v>
      </c>
      <c r="E1096" s="192">
        <v>4740</v>
      </c>
      <c r="F1096" s="192">
        <v>31</v>
      </c>
      <c r="G1096" s="1">
        <v>68.400000000000006</v>
      </c>
      <c r="H1096" s="34">
        <f>Tabela1[[#This Row],[PESO UNI]]*Tabela1[[#This Row],[QTE]]</f>
        <v>136.80000000000001</v>
      </c>
      <c r="I1096" s="7" t="s">
        <v>5581</v>
      </c>
      <c r="J1096" s="8" t="s">
        <v>4834</v>
      </c>
      <c r="K1096" s="8" t="s">
        <v>4320</v>
      </c>
      <c r="L1096" s="9" t="s">
        <v>3291</v>
      </c>
      <c r="M1096" s="10">
        <v>46259</v>
      </c>
      <c r="N1096" s="8" t="s">
        <v>38</v>
      </c>
      <c r="O1096" s="12"/>
      <c r="P1096" s="13"/>
      <c r="Q1096" s="14">
        <f>Tabela1[[#This Row],[QTDE/ Fabricação]]-Tabela1[[#This Row],[QTE]]</f>
        <v>-2</v>
      </c>
      <c r="R1096" s="18">
        <f t="shared" si="221"/>
        <v>0</v>
      </c>
      <c r="S1096" s="18">
        <f t="shared" si="222"/>
        <v>0</v>
      </c>
      <c r="T1096" s="19">
        <f t="shared" si="223"/>
        <v>-136.80000000000001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>IFERROR(Tabela1[[#This Row],[QIANTIDADE EXPEDIDA]]*Tabela1[[#This Row],[PESO UNI]],"")</f>
        <v>0</v>
      </c>
      <c r="Y1096" s="14">
        <f t="shared" si="224"/>
        <v>-2</v>
      </c>
      <c r="Z1096" s="20">
        <f>Tabela1[[#This Row],[PESO TOTAL]]-Tabela1[[#This Row],[Peso Expedido]]</f>
        <v>136.80000000000001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0"/>
      <c r="AR1096" s="228"/>
      <c r="AS1096" s="228"/>
      <c r="AT1096" s="228"/>
      <c r="AU1096" s="228"/>
      <c r="AV1096" s="228"/>
      <c r="AW1096" s="228"/>
    </row>
    <row r="1097" spans="1:49" s="36" customFormat="1" ht="15.75" customHeight="1" x14ac:dyDescent="0.25">
      <c r="A1097" s="21" t="s">
        <v>5373</v>
      </c>
      <c r="B1097" s="21" t="s">
        <v>5374</v>
      </c>
      <c r="C1097" s="192">
        <v>2</v>
      </c>
      <c r="D1097" s="1" t="s">
        <v>5382</v>
      </c>
      <c r="E1097" s="192">
        <v>4741</v>
      </c>
      <c r="F1097" s="192">
        <v>31</v>
      </c>
      <c r="G1097" s="1">
        <v>52.7</v>
      </c>
      <c r="H1097" s="34">
        <f>Tabela1[[#This Row],[PESO UNI]]*Tabela1[[#This Row],[QTE]]</f>
        <v>105.4</v>
      </c>
      <c r="I1097" s="7" t="s">
        <v>5581</v>
      </c>
      <c r="J1097" s="8" t="s">
        <v>4834</v>
      </c>
      <c r="K1097" s="8" t="s">
        <v>4320</v>
      </c>
      <c r="L1097" s="9" t="s">
        <v>3291</v>
      </c>
      <c r="M1097" s="10">
        <v>46259</v>
      </c>
      <c r="N1097" s="8" t="s">
        <v>38</v>
      </c>
      <c r="O1097" s="12"/>
      <c r="P1097" s="13"/>
      <c r="Q1097" s="14">
        <f>Tabela1[[#This Row],[QTDE/ Fabricação]]-Tabela1[[#This Row],[QTE]]</f>
        <v>-2</v>
      </c>
      <c r="R1097" s="18">
        <f t="shared" si="221"/>
        <v>0</v>
      </c>
      <c r="S1097" s="18">
        <f t="shared" si="222"/>
        <v>0</v>
      </c>
      <c r="T1097" s="19">
        <f t="shared" si="223"/>
        <v>-105.4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>IFERROR(Tabela1[[#This Row],[QIANTIDADE EXPEDIDA]]*Tabela1[[#This Row],[PESO UNI]],"")</f>
        <v>0</v>
      </c>
      <c r="Y1097" s="14">
        <f t="shared" si="224"/>
        <v>-2</v>
      </c>
      <c r="Z1097" s="20">
        <f>Tabela1[[#This Row],[PESO TOTAL]]-Tabela1[[#This Row],[Peso Expedido]]</f>
        <v>105.4</v>
      </c>
      <c r="AA1097" s="17"/>
      <c r="AB1097" s="33"/>
      <c r="AC1097" s="33"/>
      <c r="AD1097" s="33"/>
      <c r="AE1097" s="33"/>
      <c r="AF1097" s="33"/>
      <c r="AG1097" s="33"/>
      <c r="AH1097" s="33"/>
      <c r="AI1097" s="33"/>
      <c r="AJ1097"/>
      <c r="AK1097"/>
      <c r="AL1097"/>
      <c r="AM1097"/>
      <c r="AN1097"/>
      <c r="AO1097"/>
      <c r="AP1097" s="28"/>
      <c r="AQ1097" s="200"/>
      <c r="AR1097" s="228"/>
      <c r="AS1097" s="228"/>
      <c r="AT1097" s="228"/>
      <c r="AU1097" s="228"/>
      <c r="AV1097" s="228"/>
      <c r="AW1097" s="228"/>
    </row>
    <row r="1098" spans="1:49" s="36" customFormat="1" ht="15.75" customHeight="1" x14ac:dyDescent="0.25">
      <c r="A1098" s="21" t="s">
        <v>137</v>
      </c>
      <c r="B1098" s="21"/>
      <c r="C1098" s="192">
        <v>30</v>
      </c>
      <c r="D1098" s="1" t="s">
        <v>5384</v>
      </c>
      <c r="E1098" s="192">
        <v>4742</v>
      </c>
      <c r="F1098" s="192">
        <v>1</v>
      </c>
      <c r="G1098" s="1">
        <v>4.0999999999999996</v>
      </c>
      <c r="H1098" s="34">
        <f>Tabela1[[#This Row],[PESO UNI]]*Tabela1[[#This Row],[QTE]]</f>
        <v>122.99999999999999</v>
      </c>
      <c r="I1098" s="7">
        <v>0</v>
      </c>
      <c r="J1098" s="8" t="s">
        <v>5385</v>
      </c>
      <c r="K1098" s="8" t="s">
        <v>23</v>
      </c>
      <c r="L1098" s="9" t="s">
        <v>5386</v>
      </c>
      <c r="M1098" s="10">
        <v>46259</v>
      </c>
      <c r="N1098" s="8" t="s">
        <v>38</v>
      </c>
      <c r="O1098" s="12"/>
      <c r="P1098" s="13"/>
      <c r="Q1098" s="14">
        <f>Tabela1[[#This Row],[QTDE/ Fabricação]]-Tabela1[[#This Row],[QTE]]</f>
        <v>-30</v>
      </c>
      <c r="R1098" s="18">
        <f>IFERROR(H1098*((AA1098*0.25)+(AC1098*0.25)+(AD1098*0.225)+(AE1098*0.225)+(AF1098*0.05)),"")</f>
        <v>0</v>
      </c>
      <c r="S1098" s="18">
        <f>IFERROR(H1098*AG1098,"")</f>
        <v>0</v>
      </c>
      <c r="T1098" s="19">
        <f>IFERROR(S1098-H1098,"")</f>
        <v>-122.99999999999999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>IFERROR(Tabela1[[#This Row],[QIANTIDADE EXPEDIDA]]*Tabela1[[#This Row],[PESO UNI]],"")</f>
        <v>0</v>
      </c>
      <c r="Y1098" s="14">
        <f>U1098-C1098</f>
        <v>-30</v>
      </c>
      <c r="Z1098" s="20">
        <f>Tabela1[[#This Row],[PESO TOTAL]]-Tabela1[[#This Row],[Peso Expedido]]</f>
        <v>122.99999999999999</v>
      </c>
      <c r="AA1098" s="17"/>
      <c r="AB1098" s="33"/>
      <c r="AC1098" s="33"/>
      <c r="AD1098" s="33"/>
      <c r="AE1098" s="33"/>
      <c r="AF1098" s="33"/>
      <c r="AG1098" s="33"/>
      <c r="AH1098" s="33"/>
      <c r="AI1098" s="33"/>
      <c r="AJ1098"/>
      <c r="AK1098"/>
      <c r="AL1098"/>
      <c r="AM1098"/>
      <c r="AN1098"/>
      <c r="AO1098"/>
      <c r="AP1098" s="28"/>
      <c r="AQ1098" s="200"/>
      <c r="AR1098" s="228"/>
      <c r="AS1098" s="228"/>
      <c r="AT1098" s="228"/>
      <c r="AU1098" s="228"/>
      <c r="AV1098" s="228"/>
      <c r="AW1098" s="228"/>
    </row>
    <row r="1099" spans="1:49" ht="15.75" customHeight="1" x14ac:dyDescent="0.25">
      <c r="A1099" s="1" t="s">
        <v>5403</v>
      </c>
      <c r="B1099" s="21" t="s">
        <v>5404</v>
      </c>
      <c r="C1099" s="1">
        <v>1</v>
      </c>
      <c r="D1099" s="1" t="s">
        <v>5405</v>
      </c>
      <c r="E1099" s="7">
        <v>4743</v>
      </c>
      <c r="F1099" s="7">
        <v>64</v>
      </c>
      <c r="G1099" s="1">
        <v>35.1</v>
      </c>
      <c r="H1099" s="34">
        <f>Tabela1[[#This Row],[PESO UNI]]*Tabela1[[#This Row],[QTE]]</f>
        <v>35.1</v>
      </c>
      <c r="I1099" s="7" t="s">
        <v>5643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>Tabela1[[#This Row],[QTDE/ Fabricação]]-Tabela1[[#This Row],[QTE]]</f>
        <v>-1</v>
      </c>
      <c r="R1099" s="18">
        <f t="shared" ref="R1099" si="233">IFERROR(H1099*((AA1099*0.25)+(AC1099*0.25)+(AD1099*0.225)+(AE1099*0.225)+(AF1099*0.05)),"")</f>
        <v>29.308499999999999</v>
      </c>
      <c r="S1099" s="18">
        <f t="shared" ref="S1099" si="234">IFERROR(H1099*AG1099,"")</f>
        <v>12.285</v>
      </c>
      <c r="T1099" s="19">
        <f t="shared" ref="T1099" si="235">IFERROR(S1099-H1099,"")</f>
        <v>-22.815000000000001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>IFERROR(Tabela1[[#This Row],[QIANTIDADE EXPEDIDA]]*Tabela1[[#This Row],[PESO UNI]],"")</f>
        <v>0</v>
      </c>
      <c r="Y1099" s="14">
        <f t="shared" ref="Y1099" si="236">U1099-C1099</f>
        <v>-1</v>
      </c>
      <c r="Z1099" s="20">
        <f>Tabela1[[#This Row],[PESO TOTAL]]-Tabela1[[#This Row],[Peso Expedido]]</f>
        <v>35.1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customHeight="1" x14ac:dyDescent="0.25">
      <c r="A1100" s="1" t="s">
        <v>5403</v>
      </c>
      <c r="B1100" s="21" t="s">
        <v>5404</v>
      </c>
      <c r="C1100" s="1">
        <v>1</v>
      </c>
      <c r="D1100" s="1" t="s">
        <v>5406</v>
      </c>
      <c r="E1100" s="7">
        <v>4744</v>
      </c>
      <c r="F1100" s="7">
        <v>64</v>
      </c>
      <c r="G1100" s="1">
        <v>36.6</v>
      </c>
      <c r="H1100" s="34">
        <f>Tabela1[[#This Row],[PESO UNI]]*Tabela1[[#This Row],[QTE]]</f>
        <v>36.6</v>
      </c>
      <c r="I1100" s="7" t="s">
        <v>5643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>Tabela1[[#This Row],[QTDE/ Fabricação]]-Tabela1[[#This Row],[QTE]]</f>
        <v>-1</v>
      </c>
      <c r="R1100" s="18">
        <f t="shared" ref="R1100" si="237">IFERROR(H1100*((AA1100*0.25)+(AC1100*0.25)+(AD1100*0.225)+(AE1100*0.225)+(AF1100*0.05)),"")</f>
        <v>30.561</v>
      </c>
      <c r="S1100" s="18">
        <f t="shared" ref="S1100" si="238">IFERROR(H1100*AG1100,"")</f>
        <v>12.81</v>
      </c>
      <c r="T1100" s="19">
        <f t="shared" ref="T1100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>IFERROR(Tabela1[[#This Row],[QIANTIDADE EXPEDIDA]]*Tabela1[[#This Row],[PESO UNI]],"")</f>
        <v>0</v>
      </c>
      <c r="Y1100" s="14">
        <f t="shared" ref="Y1100" si="240">U1100-C1100</f>
        <v>-1</v>
      </c>
      <c r="Z1100" s="20">
        <f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customHeight="1" x14ac:dyDescent="0.25">
      <c r="A1101" s="1" t="s">
        <v>5403</v>
      </c>
      <c r="B1101" s="21" t="s">
        <v>5404</v>
      </c>
      <c r="C1101" s="1">
        <v>1</v>
      </c>
      <c r="D1101" s="1" t="s">
        <v>5407</v>
      </c>
      <c r="E1101" s="7">
        <v>4745</v>
      </c>
      <c r="F1101" s="7">
        <v>64</v>
      </c>
      <c r="G1101" s="1">
        <v>54.3</v>
      </c>
      <c r="H1101" s="34">
        <f>Tabela1[[#This Row],[PESO UNI]]*Tabela1[[#This Row],[QTE]]</f>
        <v>54.3</v>
      </c>
      <c r="I1101" s="7" t="s">
        <v>5643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>Tabela1[[#This Row],[QTDE/ Fabricação]]-Tabela1[[#This Row],[QTE]]</f>
        <v>-1</v>
      </c>
      <c r="R1101" s="18">
        <f t="shared" ref="R1101" si="241">IFERROR(H1101*((AA1101*0.25)+(AC1101*0.25)+(AD1101*0.225)+(AE1101*0.225)+(AF1101*0.05)),"")</f>
        <v>45.340499999999999</v>
      </c>
      <c r="S1101" s="18">
        <f t="shared" ref="S1101" si="242">IFERROR(H1101*AG1101,"")</f>
        <v>19.004999999999999</v>
      </c>
      <c r="T1101" s="19">
        <f t="shared" ref="T110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>IFERROR(Tabela1[[#This Row],[QIANTIDADE EXPEDIDA]]*Tabela1[[#This Row],[PESO UNI]],"")</f>
        <v>0</v>
      </c>
      <c r="Y1101" s="14">
        <f t="shared" ref="Y1101" si="244">U1101-C1101</f>
        <v>-1</v>
      </c>
      <c r="Z1101" s="20">
        <f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customHeight="1" x14ac:dyDescent="0.25">
      <c r="A1102" s="1" t="s">
        <v>5403</v>
      </c>
      <c r="B1102" s="21" t="s">
        <v>5404</v>
      </c>
      <c r="C1102" s="1">
        <v>1</v>
      </c>
      <c r="D1102" s="1" t="s">
        <v>5408</v>
      </c>
      <c r="E1102" s="7">
        <v>4746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 t="s">
        <v>5643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 t="shared" ref="R1102" si="245">IFERROR(H1102*((AA1102*0.25)+(AC1102*0.25)+(AD1102*0.225)+(AE1102*0.225)+(AF1102*0.05)),"")</f>
        <v>30.561</v>
      </c>
      <c r="S1102" s="18">
        <f t="shared" ref="S1102" si="246">IFERROR(H1102*AG1102,"")</f>
        <v>12.81</v>
      </c>
      <c r="T1102" s="19">
        <f t="shared" ref="T1102" si="247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>IFERROR(Tabela1[[#This Row],[QIANTIDADE EXPEDIDA]]*Tabela1[[#This Row],[PESO UNI]],"")</f>
        <v>0</v>
      </c>
      <c r="Y1102" s="14">
        <f t="shared" ref="Y1102" si="248">U1102-C1102</f>
        <v>-1</v>
      </c>
      <c r="Z1102" s="20">
        <f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customHeight="1" x14ac:dyDescent="0.25">
      <c r="A1103" s="1" t="s">
        <v>5403</v>
      </c>
      <c r="B1103" s="21" t="s">
        <v>5404</v>
      </c>
      <c r="C1103" s="1">
        <v>1</v>
      </c>
      <c r="D1103" s="1" t="s">
        <v>5409</v>
      </c>
      <c r="E1103" s="7">
        <v>4747</v>
      </c>
      <c r="F1103" s="7">
        <v>64</v>
      </c>
      <c r="G1103" s="1">
        <v>54.3</v>
      </c>
      <c r="H1103" s="34">
        <f>Tabela1[[#This Row],[PESO UNI]]*Tabela1[[#This Row],[QTE]]</f>
        <v>54.3</v>
      </c>
      <c r="I1103" s="7" t="s">
        <v>5643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t="shared" ref="R1103" si="249">IFERROR(H1103*((AA1103*0.25)+(AC1103*0.25)+(AD1103*0.225)+(AE1103*0.225)+(AF1103*0.05)),"")</f>
        <v>45.340499999999999</v>
      </c>
      <c r="S1103" s="18">
        <f t="shared" ref="S1103" si="250">IFERROR(H1103*AG1103,"")</f>
        <v>19.004999999999999</v>
      </c>
      <c r="T1103" s="19">
        <f t="shared" ref="T1103" si="251">IFERROR(S1103-H1103,"")</f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>IFERROR(Tabela1[[#This Row],[QIANTIDADE EXPEDIDA]]*Tabela1[[#This Row],[PESO UNI]],"")</f>
        <v>0</v>
      </c>
      <c r="Y1103" s="14">
        <f t="shared" ref="Y1103" si="252">U1103-C1103</f>
        <v>-1</v>
      </c>
      <c r="Z1103" s="20">
        <f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customHeight="1" x14ac:dyDescent="0.25">
      <c r="A1104" s="1" t="s">
        <v>5403</v>
      </c>
      <c r="B1104" s="21" t="s">
        <v>5404</v>
      </c>
      <c r="C1104" s="1">
        <v>1</v>
      </c>
      <c r="D1104" s="1" t="s">
        <v>5616</v>
      </c>
      <c r="E1104" s="7">
        <v>4826</v>
      </c>
      <c r="F1104" s="7">
        <v>64</v>
      </c>
      <c r="G1104" s="1">
        <v>36.6</v>
      </c>
      <c r="H1104" s="34">
        <f>Tabela1[[#This Row],[PESO UNI]]*Tabela1[[#This Row],[QTE]]</f>
        <v>36.6</v>
      </c>
      <c r="I1104" s="7" t="s">
        <v>5643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t="shared" ref="R1104:R1111" si="253">IFERROR(H1104*((AA1104*0.25)+(AC1104*0.25)+(AD1104*0.225)+(AE1104*0.225)+(AF1104*0.05)),"")</f>
        <v>30.561</v>
      </c>
      <c r="S1104" s="18">
        <f t="shared" ref="S1104:S1111" si="254">IFERROR(H1104*AG1104,"")</f>
        <v>12.81</v>
      </c>
      <c r="T1104" s="19">
        <f t="shared" ref="T1104:T1111" si="255">IFERROR(S1104-H1104,"")</f>
        <v>-23.79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>IFERROR(Tabela1[[#This Row],[QIANTIDADE EXPEDIDA]]*Tabela1[[#This Row],[PESO UNI]],"")</f>
        <v>0</v>
      </c>
      <c r="Y1104" s="14">
        <f t="shared" ref="Y1104:Y1111" si="256">U1104-C1104</f>
        <v>-1</v>
      </c>
      <c r="Z1104" s="20">
        <f>Tabela1[[#This Row],[PESO TOTAL]]-Tabela1[[#This Row],[Peso Expedido]]</f>
        <v>36.6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customHeight="1" x14ac:dyDescent="0.25">
      <c r="A1105" s="1" t="s">
        <v>5403</v>
      </c>
      <c r="B1105" s="21" t="s">
        <v>5404</v>
      </c>
      <c r="C1105" s="1">
        <v>1</v>
      </c>
      <c r="D1105" s="1" t="s">
        <v>5617</v>
      </c>
      <c r="E1105" s="7">
        <v>4827</v>
      </c>
      <c r="F1105" s="7">
        <v>64</v>
      </c>
      <c r="G1105" s="1">
        <v>54.3</v>
      </c>
      <c r="H1105" s="34">
        <f>Tabela1[[#This Row],[PESO UNI]]*Tabela1[[#This Row],[QTE]]</f>
        <v>54.3</v>
      </c>
      <c r="I1105" s="7" t="s">
        <v>5643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 t="shared" si="253"/>
        <v>45.340499999999999</v>
      </c>
      <c r="S1105" s="18">
        <f t="shared" si="254"/>
        <v>19.004999999999999</v>
      </c>
      <c r="T1105" s="19">
        <f t="shared" si="255"/>
        <v>-35.295000000000002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t="shared" si="256"/>
        <v>-1</v>
      </c>
      <c r="Z1105" s="20">
        <f>Tabela1[[#This Row],[PESO TOTAL]]-Tabela1[[#This Row],[Peso Expedido]]</f>
        <v>54.3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customHeight="1" x14ac:dyDescent="0.25">
      <c r="A1106" s="1" t="s">
        <v>5403</v>
      </c>
      <c r="B1106" s="21" t="s">
        <v>5404</v>
      </c>
      <c r="C1106" s="1">
        <v>1</v>
      </c>
      <c r="D1106" s="1" t="s">
        <v>5618</v>
      </c>
      <c r="E1106" s="7">
        <v>4828</v>
      </c>
      <c r="F1106" s="7">
        <v>64</v>
      </c>
      <c r="G1106" s="1">
        <v>54.3</v>
      </c>
      <c r="H1106" s="34">
        <f>Tabela1[[#This Row],[PESO UNI]]*Tabela1[[#This Row],[QTE]]</f>
        <v>54.3</v>
      </c>
      <c r="I1106" s="7" t="s">
        <v>5643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t="shared" si="253"/>
        <v>45.340499999999999</v>
      </c>
      <c r="S1106" s="18">
        <f t="shared" si="254"/>
        <v>19.004999999999999</v>
      </c>
      <c r="T1106" s="19">
        <f t="shared" si="255"/>
        <v>-35.295000000000002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>IFERROR(Tabela1[[#This Row],[QIANTIDADE EXPEDIDA]]*Tabela1[[#This Row],[PESO UNI]],"")</f>
        <v>0</v>
      </c>
      <c r="Y1106" s="14">
        <f t="shared" si="256"/>
        <v>-1</v>
      </c>
      <c r="Z1106" s="20">
        <f>Tabela1[[#This Row],[PESO TOTAL]]-Tabela1[[#This Row],[Peso Expedido]]</f>
        <v>54.3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customHeight="1" x14ac:dyDescent="0.25">
      <c r="A1107" s="1" t="s">
        <v>5403</v>
      </c>
      <c r="B1107" s="21" t="s">
        <v>5404</v>
      </c>
      <c r="C1107" s="1">
        <v>1</v>
      </c>
      <c r="D1107" s="1" t="s">
        <v>5619</v>
      </c>
      <c r="E1107" s="7">
        <v>4839</v>
      </c>
      <c r="F1107" s="7">
        <v>64</v>
      </c>
      <c r="G1107" s="1">
        <v>53.6</v>
      </c>
      <c r="H1107" s="34">
        <f>Tabela1[[#This Row],[PESO UNI]]*Tabela1[[#This Row],[QTE]]</f>
        <v>53.6</v>
      </c>
      <c r="I1107" s="7" t="s">
        <v>5643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 t="shared" si="253"/>
        <v>44.756</v>
      </c>
      <c r="S1107" s="18">
        <f t="shared" si="254"/>
        <v>18.759999999999998</v>
      </c>
      <c r="T1107" s="19">
        <f t="shared" si="255"/>
        <v>-34.840000000000003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>IFERROR(Tabela1[[#This Row],[QIANTIDADE EXPEDIDA]]*Tabela1[[#This Row],[PESO UNI]],"")</f>
        <v>0</v>
      </c>
      <c r="Y1107" s="14">
        <f t="shared" si="256"/>
        <v>-1</v>
      </c>
      <c r="Z1107" s="20">
        <f>Tabela1[[#This Row],[PESO TOTAL]]-Tabela1[[#This Row],[Peso Expedido]]</f>
        <v>53.6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customHeight="1" x14ac:dyDescent="0.25">
      <c r="A1108" s="1" t="s">
        <v>5403</v>
      </c>
      <c r="B1108" s="21" t="s">
        <v>5404</v>
      </c>
      <c r="C1108" s="1">
        <v>1</v>
      </c>
      <c r="D1108" s="1" t="s">
        <v>5620</v>
      </c>
      <c r="E1108" s="7">
        <v>4840</v>
      </c>
      <c r="F1108" s="7">
        <v>64</v>
      </c>
      <c r="G1108" s="1">
        <v>43.9</v>
      </c>
      <c r="H1108" s="34">
        <f>Tabela1[[#This Row],[PESO UNI]]*Tabela1[[#This Row],[QTE]]</f>
        <v>43.9</v>
      </c>
      <c r="I1108" s="7" t="s">
        <v>5643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>Tabela1[[#This Row],[QTDE/ Fabricação]]-Tabela1[[#This Row],[QTE]]</f>
        <v>-1</v>
      </c>
      <c r="R1108" s="18">
        <f t="shared" si="253"/>
        <v>36.656499999999994</v>
      </c>
      <c r="S1108" s="18">
        <f t="shared" si="254"/>
        <v>15.364999999999998</v>
      </c>
      <c r="T1108" s="19">
        <f t="shared" si="255"/>
        <v>-28.535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>IFERROR(Tabela1[[#This Row],[QIANTIDADE EXPEDIDA]]*Tabela1[[#This Row],[PESO UNI]],"")</f>
        <v>0</v>
      </c>
      <c r="Y1108" s="14">
        <f t="shared" si="256"/>
        <v>-1</v>
      </c>
      <c r="Z1108" s="20">
        <f>Tabela1[[#This Row],[PESO TOTAL]]-Tabela1[[#This Row],[Peso Expedido]]</f>
        <v>43.9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customHeight="1" x14ac:dyDescent="0.25">
      <c r="A1109" s="1" t="s">
        <v>5403</v>
      </c>
      <c r="B1109" s="21" t="s">
        <v>5404</v>
      </c>
      <c r="C1109" s="1">
        <v>1</v>
      </c>
      <c r="D1109" s="1" t="s">
        <v>5621</v>
      </c>
      <c r="E1109" s="7">
        <v>4841</v>
      </c>
      <c r="F1109" s="7">
        <v>64</v>
      </c>
      <c r="G1109" s="1">
        <v>43.4</v>
      </c>
      <c r="H1109" s="34">
        <f>Tabela1[[#This Row],[PESO UNI]]*Tabela1[[#This Row],[QTE]]</f>
        <v>43.4</v>
      </c>
      <c r="I1109" s="7" t="s">
        <v>5643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t="shared" si="253"/>
        <v>36.238999999999997</v>
      </c>
      <c r="S1109" s="18">
        <f t="shared" si="254"/>
        <v>15.189999999999998</v>
      </c>
      <c r="T1109" s="19">
        <f t="shared" si="255"/>
        <v>-28.21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>IFERROR(Tabela1[[#This Row],[QIANTIDADE EXPEDIDA]]*Tabela1[[#This Row],[PESO UNI]],"")</f>
        <v>0</v>
      </c>
      <c r="Y1109" s="14">
        <f t="shared" si="256"/>
        <v>-1</v>
      </c>
      <c r="Z1109" s="20">
        <f>Tabela1[[#This Row],[PESO TOTAL]]-Tabela1[[#This Row],[Peso Expedido]]</f>
        <v>43.4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customHeight="1" x14ac:dyDescent="0.25">
      <c r="A1110" s="1" t="s">
        <v>5403</v>
      </c>
      <c r="B1110" s="21" t="s">
        <v>5404</v>
      </c>
      <c r="C1110" s="1">
        <v>1</v>
      </c>
      <c r="D1110" s="1" t="s">
        <v>5622</v>
      </c>
      <c r="E1110" s="7">
        <v>4842</v>
      </c>
      <c r="F1110" s="7">
        <v>64</v>
      </c>
      <c r="G1110" s="1">
        <v>43.4</v>
      </c>
      <c r="H1110" s="34">
        <f>Tabela1[[#This Row],[PESO UNI]]*Tabela1[[#This Row],[QTE]]</f>
        <v>43.4</v>
      </c>
      <c r="I1110" s="7" t="s">
        <v>5643</v>
      </c>
      <c r="J1110" s="8" t="s">
        <v>3093</v>
      </c>
      <c r="K1110" s="8" t="s">
        <v>4320</v>
      </c>
      <c r="L1110" s="9" t="s">
        <v>2984</v>
      </c>
      <c r="M1110" s="10">
        <v>46260</v>
      </c>
      <c r="N1110" s="8" t="s">
        <v>5105</v>
      </c>
      <c r="O1110" s="12"/>
      <c r="P1110" s="13"/>
      <c r="Q1110" s="14">
        <f>Tabela1[[#This Row],[QTDE/ Fabricação]]-Tabela1[[#This Row],[QTE]]</f>
        <v>-1</v>
      </c>
      <c r="R1110" s="18">
        <f t="shared" si="253"/>
        <v>36.238999999999997</v>
      </c>
      <c r="S1110" s="18">
        <f t="shared" si="254"/>
        <v>15.189999999999998</v>
      </c>
      <c r="T1110" s="19">
        <f t="shared" si="255"/>
        <v>-28.21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>IFERROR(Tabela1[[#This Row],[QIANTIDADE EXPEDIDA]]*Tabela1[[#This Row],[PESO UNI]],"")</f>
        <v>0</v>
      </c>
      <c r="Y1110" s="14">
        <f t="shared" si="256"/>
        <v>-1</v>
      </c>
      <c r="Z1110" s="20">
        <f>Tabela1[[#This Row],[PESO TOTAL]]-Tabela1[[#This Row],[Peso Expedido]]</f>
        <v>43.4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customHeight="1" x14ac:dyDescent="0.25">
      <c r="A1111" s="1" t="s">
        <v>5403</v>
      </c>
      <c r="B1111" s="21" t="s">
        <v>5404</v>
      </c>
      <c r="C1111" s="1">
        <v>1</v>
      </c>
      <c r="D1111" s="1" t="s">
        <v>5623</v>
      </c>
      <c r="E1111" s="7">
        <v>4843</v>
      </c>
      <c r="F1111" s="7">
        <v>64</v>
      </c>
      <c r="G1111" s="1">
        <v>44.1</v>
      </c>
      <c r="H1111" s="34">
        <f>Tabela1[[#This Row],[PESO UNI]]*Tabela1[[#This Row],[QTE]]</f>
        <v>44.1</v>
      </c>
      <c r="I1111" s="7" t="s">
        <v>5643</v>
      </c>
      <c r="J1111" s="8" t="s">
        <v>3093</v>
      </c>
      <c r="K1111" s="8" t="s">
        <v>4320</v>
      </c>
      <c r="L1111" s="9" t="s">
        <v>2984</v>
      </c>
      <c r="M1111" s="10">
        <v>46260</v>
      </c>
      <c r="N1111" s="8" t="s">
        <v>5105</v>
      </c>
      <c r="O1111" s="12"/>
      <c r="P1111" s="13"/>
      <c r="Q1111" s="14">
        <f>Tabela1[[#This Row],[QTDE/ Fabricação]]-Tabela1[[#This Row],[QTE]]</f>
        <v>-1</v>
      </c>
      <c r="R1111" s="18">
        <f t="shared" si="253"/>
        <v>36.823500000000003</v>
      </c>
      <c r="S1111" s="18">
        <f t="shared" si="254"/>
        <v>15.434999999999999</v>
      </c>
      <c r="T1111" s="19">
        <f t="shared" si="255"/>
        <v>-28.665000000000003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>IFERROR(Tabela1[[#This Row],[QIANTIDADE EXPEDIDA]]*Tabela1[[#This Row],[PESO UNI]],"")</f>
        <v>0</v>
      </c>
      <c r="Y1111" s="14">
        <f t="shared" si="256"/>
        <v>-1</v>
      </c>
      <c r="Z1111" s="20">
        <f>Tabela1[[#This Row],[PESO TOTAL]]-Tabela1[[#This Row],[Peso Expedido]]</f>
        <v>44.1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customHeight="1" x14ac:dyDescent="0.25">
      <c r="A1112" s="1" t="s">
        <v>5495</v>
      </c>
      <c r="B1112" s="21" t="s">
        <v>5496</v>
      </c>
      <c r="C1112" s="1">
        <v>2</v>
      </c>
      <c r="D1112" s="1" t="s">
        <v>5497</v>
      </c>
      <c r="E1112" s="7">
        <v>4751</v>
      </c>
      <c r="F1112" s="7">
        <v>65</v>
      </c>
      <c r="G1112" s="1">
        <v>257.5</v>
      </c>
      <c r="H1112" s="34">
        <f>Tabela1[[#This Row],[PESO UNI]]*Tabela1[[#This Row],[QTE]]</f>
        <v>515</v>
      </c>
      <c r="I1112" s="7" t="s">
        <v>5583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>Tabela1[[#This Row],[QTDE/ Fabricação]]-Tabela1[[#This Row],[QTE]]</f>
        <v>-2</v>
      </c>
      <c r="R1112" s="18">
        <f t="shared" ref="R1112:R1144" si="257">IFERROR(H1112*((AA1112*0.25)+(AC1112*0.25)+(AD1112*0.225)+(AE1112*0.225)+(AF1112*0.05)),"")</f>
        <v>430.02499999999998</v>
      </c>
      <c r="S1112" s="18">
        <f t="shared" ref="S1112:S1144" si="258">IFERROR(H1112*AG1112,"")</f>
        <v>180.25</v>
      </c>
      <c r="T1112" s="19">
        <f t="shared" ref="T1112:T1144" si="259">IFERROR(S1112-H1112,"")</f>
        <v>-334.75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>IFERROR(Tabela1[[#This Row],[QIANTIDADE EXPEDIDA]]*Tabela1[[#This Row],[PESO UNI]],"")</f>
        <v>0</v>
      </c>
      <c r="Y1112" s="14">
        <f t="shared" ref="Y1112:Y1144" si="260">U1112-C1112</f>
        <v>-2</v>
      </c>
      <c r="Z1112" s="20">
        <f>Tabela1[[#This Row],[PESO TOTAL]]-Tabela1[[#This Row],[Peso Expedido]]</f>
        <v>515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customHeight="1" x14ac:dyDescent="0.25">
      <c r="A1113" s="1" t="s">
        <v>5495</v>
      </c>
      <c r="B1113" s="21" t="s">
        <v>5496</v>
      </c>
      <c r="C1113" s="1">
        <v>1</v>
      </c>
      <c r="D1113" s="1" t="s">
        <v>5584</v>
      </c>
      <c r="E1113" s="7">
        <v>4799</v>
      </c>
      <c r="F1113" s="7">
        <v>65</v>
      </c>
      <c r="G1113" s="1">
        <v>1167.4000000000001</v>
      </c>
      <c r="H1113" s="34">
        <f>Tabela1[[#This Row],[PESO UNI]]*Tabela1[[#This Row],[QTE]]</f>
        <v>1167.4000000000001</v>
      </c>
      <c r="I1113" s="7" t="s">
        <v>5583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>Tabela1[[#This Row],[QTDE/ Fabricação]]-Tabela1[[#This Row],[QTE]]</f>
        <v>-1</v>
      </c>
      <c r="R1113" s="18">
        <f>IFERROR(H1113*((AA1113*0.25)+(AC1113*0.25)+(AD1113*0.225)+(AE1113*0.225)+(AF1113*0.05)),"")</f>
        <v>974.779</v>
      </c>
      <c r="S1113" s="18">
        <f>IFERROR(H1113*AG1113,"")</f>
        <v>408.59000000000003</v>
      </c>
      <c r="T1113" s="19">
        <f>IFERROR(S1113-H1113,"")</f>
        <v>-758.81000000000006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>IFERROR(Tabela1[[#This Row],[QIANTIDADE EXPEDIDA]]*Tabela1[[#This Row],[PESO UNI]],"")</f>
        <v>0</v>
      </c>
      <c r="Y1113" s="14">
        <f>U1113-C1113</f>
        <v>-1</v>
      </c>
      <c r="Z1113" s="20">
        <f>Tabela1[[#This Row],[PESO TOTAL]]-Tabela1[[#This Row],[Peso Expedido]]</f>
        <v>1167.4000000000001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customHeight="1" x14ac:dyDescent="0.25">
      <c r="A1114" s="1" t="s">
        <v>5498</v>
      </c>
      <c r="B1114" s="21" t="s">
        <v>5499</v>
      </c>
      <c r="C1114" s="1">
        <v>1</v>
      </c>
      <c r="D1114" s="1" t="s">
        <v>5502</v>
      </c>
      <c r="E1114" s="7">
        <v>4752</v>
      </c>
      <c r="F1114" s="7">
        <v>65</v>
      </c>
      <c r="G1114" s="1">
        <v>681.8</v>
      </c>
      <c r="H1114" s="34">
        <f>Tabela1[[#This Row],[PESO UNI]]*Tabela1[[#This Row],[QTE]]</f>
        <v>681.8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>Tabela1[[#This Row],[QTDE/ Fabricação]]-Tabela1[[#This Row],[QTE]]</f>
        <v>-1</v>
      </c>
      <c r="R1114" s="18">
        <f t="shared" si="257"/>
        <v>569.30299999999988</v>
      </c>
      <c r="S1114" s="18">
        <f t="shared" si="258"/>
        <v>238.62999999999997</v>
      </c>
      <c r="T1114" s="19">
        <f t="shared" si="259"/>
        <v>-443.16999999999996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>IFERROR(Tabela1[[#This Row],[QIANTIDADE EXPEDIDA]]*Tabela1[[#This Row],[PESO UNI]],"")</f>
        <v>0</v>
      </c>
      <c r="Y1114" s="14">
        <f t="shared" si="260"/>
        <v>-1</v>
      </c>
      <c r="Z1114" s="20">
        <f>Tabela1[[#This Row],[PESO TOTAL]]-Tabela1[[#This Row],[Peso Expedido]]</f>
        <v>681.8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customHeight="1" x14ac:dyDescent="0.25">
      <c r="A1115" s="1" t="s">
        <v>5500</v>
      </c>
      <c r="B1115" s="21" t="s">
        <v>5501</v>
      </c>
      <c r="C1115" s="1">
        <v>1</v>
      </c>
      <c r="D1115" s="1" t="s">
        <v>5503</v>
      </c>
      <c r="E1115" s="7">
        <v>4753</v>
      </c>
      <c r="F1115" s="7">
        <v>65</v>
      </c>
      <c r="G1115" s="1">
        <v>254.6</v>
      </c>
      <c r="H1115" s="34">
        <f>Tabela1[[#This Row],[PESO UNI]]*Tabela1[[#This Row],[QTE]]</f>
        <v>254.6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>Tabela1[[#This Row],[QTDE/ Fabricação]]-Tabela1[[#This Row],[QTE]]</f>
        <v>-1</v>
      </c>
      <c r="R1115" s="18">
        <f t="shared" si="257"/>
        <v>212.59099999999998</v>
      </c>
      <c r="S1115" s="18">
        <f t="shared" si="258"/>
        <v>89.11</v>
      </c>
      <c r="T1115" s="19">
        <f t="shared" si="259"/>
        <v>-165.49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>IFERROR(Tabela1[[#This Row],[QIANTIDADE EXPEDIDA]]*Tabela1[[#This Row],[PESO UNI]],"")</f>
        <v>0</v>
      </c>
      <c r="Y1115" s="14">
        <f t="shared" si="260"/>
        <v>-1</v>
      </c>
      <c r="Z1115" s="20">
        <f>Tabela1[[#This Row],[PESO TOTAL]]-Tabela1[[#This Row],[Peso Expedido]]</f>
        <v>254.6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customHeight="1" x14ac:dyDescent="0.25">
      <c r="A1116" s="1" t="s">
        <v>5500</v>
      </c>
      <c r="B1116" s="21" t="s">
        <v>5501</v>
      </c>
      <c r="C1116" s="1">
        <v>1</v>
      </c>
      <c r="D1116" s="1" t="s">
        <v>5504</v>
      </c>
      <c r="E1116" s="7">
        <v>4754</v>
      </c>
      <c r="F1116" s="7">
        <v>65</v>
      </c>
      <c r="G1116" s="1">
        <v>223</v>
      </c>
      <c r="H1116" s="34">
        <f>Tabela1[[#This Row],[PESO UNI]]*Tabela1[[#This Row],[QTE]]</f>
        <v>223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>Tabela1[[#This Row],[QTDE/ Fabricação]]-Tabela1[[#This Row],[QTE]]</f>
        <v>-1</v>
      </c>
      <c r="R1116" s="18">
        <f t="shared" si="257"/>
        <v>186.20499999999998</v>
      </c>
      <c r="S1116" s="18">
        <f t="shared" si="258"/>
        <v>78.05</v>
      </c>
      <c r="T1116" s="19">
        <f t="shared" si="259"/>
        <v>-144.94999999999999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>IFERROR(Tabela1[[#This Row],[QIANTIDADE EXPEDIDA]]*Tabela1[[#This Row],[PESO UNI]],"")</f>
        <v>0</v>
      </c>
      <c r="Y1116" s="14">
        <f t="shared" si="260"/>
        <v>-1</v>
      </c>
      <c r="Z1116" s="20">
        <f>Tabela1[[#This Row],[PESO TOTAL]]-Tabela1[[#This Row],[Peso Expedido]]</f>
        <v>223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customHeight="1" x14ac:dyDescent="0.25">
      <c r="A1117" s="1" t="s">
        <v>5510</v>
      </c>
      <c r="B1117" s="21" t="s">
        <v>5505</v>
      </c>
      <c r="C1117" s="1">
        <v>1</v>
      </c>
      <c r="D1117" s="1" t="s">
        <v>5509</v>
      </c>
      <c r="E1117" s="7">
        <v>4755</v>
      </c>
      <c r="F1117" s="7">
        <v>65</v>
      </c>
      <c r="G1117" s="1">
        <v>208.4</v>
      </c>
      <c r="H1117" s="34">
        <f>Tabela1[[#This Row],[PESO UNI]]*Tabela1[[#This Row],[QTE]]</f>
        <v>208.4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>Tabela1[[#This Row],[QTDE/ Fabricação]]-Tabela1[[#This Row],[QTE]]</f>
        <v>-1</v>
      </c>
      <c r="R1117" s="18">
        <f t="shared" si="257"/>
        <v>174.01400000000001</v>
      </c>
      <c r="S1117" s="18">
        <f t="shared" si="258"/>
        <v>72.94</v>
      </c>
      <c r="T1117" s="19">
        <f t="shared" si="259"/>
        <v>-135.46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>IFERROR(Tabela1[[#This Row],[QIANTIDADE EXPEDIDA]]*Tabela1[[#This Row],[PESO UNI]],"")</f>
        <v>0</v>
      </c>
      <c r="Y1117" s="14">
        <f t="shared" si="260"/>
        <v>-1</v>
      </c>
      <c r="Z1117" s="20">
        <f>Tabela1[[#This Row],[PESO TOTAL]]-Tabela1[[#This Row],[Peso Expedido]]</f>
        <v>208.4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customHeight="1" x14ac:dyDescent="0.25">
      <c r="A1118" s="1" t="s">
        <v>5507</v>
      </c>
      <c r="B1118" s="21" t="s">
        <v>5506</v>
      </c>
      <c r="C1118" s="1">
        <v>1</v>
      </c>
      <c r="D1118" s="1" t="s">
        <v>5508</v>
      </c>
      <c r="E1118" s="7">
        <v>4756</v>
      </c>
      <c r="F1118" s="7">
        <v>65</v>
      </c>
      <c r="G1118" s="1">
        <v>208.9</v>
      </c>
      <c r="H1118" s="34">
        <f>Tabela1[[#This Row],[PESO UNI]]*Tabela1[[#This Row],[QTE]]</f>
        <v>208.9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>Tabela1[[#This Row],[QTDE/ Fabricação]]-Tabela1[[#This Row],[QTE]]</f>
        <v>-1</v>
      </c>
      <c r="R1118" s="18">
        <f t="shared" si="257"/>
        <v>174.4315</v>
      </c>
      <c r="S1118" s="18">
        <f t="shared" si="258"/>
        <v>73.114999999999995</v>
      </c>
      <c r="T1118" s="19">
        <f t="shared" si="259"/>
        <v>-135.78500000000003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>IFERROR(Tabela1[[#This Row],[QIANTIDADE EXPEDIDA]]*Tabela1[[#This Row],[PESO UNI]],"")</f>
        <v>0</v>
      </c>
      <c r="Y1118" s="14">
        <f t="shared" si="260"/>
        <v>-1</v>
      </c>
      <c r="Z1118" s="20">
        <f>Tabela1[[#This Row],[PESO TOTAL]]-Tabela1[[#This Row],[Peso Expedido]]</f>
        <v>208.9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customHeight="1" x14ac:dyDescent="0.25">
      <c r="A1119" s="1" t="s">
        <v>5511</v>
      </c>
      <c r="B1119" s="21" t="s">
        <v>5512</v>
      </c>
      <c r="C1119" s="1">
        <v>1</v>
      </c>
      <c r="D1119" s="1" t="s">
        <v>5521</v>
      </c>
      <c r="E1119" s="7">
        <v>4757</v>
      </c>
      <c r="F1119" s="7">
        <v>65</v>
      </c>
      <c r="G1119" s="1">
        <v>136.80000000000001</v>
      </c>
      <c r="H1119" s="34">
        <f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>Tabela1[[#This Row],[QTDE/ Fabricação]]-Tabela1[[#This Row],[QTE]]</f>
        <v>-1</v>
      </c>
      <c r="R1119" s="18">
        <f t="shared" si="257"/>
        <v>114.22800000000001</v>
      </c>
      <c r="S1119" s="18">
        <f t="shared" si="258"/>
        <v>47.88</v>
      </c>
      <c r="T1119" s="19">
        <f t="shared" si="259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>IFERROR(Tabela1[[#This Row],[QIANTIDADE EXPEDIDA]]*Tabela1[[#This Row],[PESO UNI]],"")</f>
        <v>0</v>
      </c>
      <c r="Y1119" s="14">
        <f t="shared" si="260"/>
        <v>-1</v>
      </c>
      <c r="Z1119" s="20">
        <f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customHeight="1" x14ac:dyDescent="0.25">
      <c r="A1120" s="1" t="s">
        <v>5511</v>
      </c>
      <c r="B1120" s="21" t="s">
        <v>5512</v>
      </c>
      <c r="C1120" s="1">
        <v>1</v>
      </c>
      <c r="D1120" s="1" t="s">
        <v>5520</v>
      </c>
      <c r="E1120" s="7">
        <v>4758</v>
      </c>
      <c r="F1120" s="7">
        <v>65</v>
      </c>
      <c r="G1120" s="1">
        <v>106.8</v>
      </c>
      <c r="H1120" s="34">
        <f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>Tabela1[[#This Row],[QTDE/ Fabricação]]-Tabela1[[#This Row],[QTE]]</f>
        <v>-1</v>
      </c>
      <c r="R1120" s="18">
        <f t="shared" si="257"/>
        <v>89.177999999999997</v>
      </c>
      <c r="S1120" s="18">
        <f t="shared" si="258"/>
        <v>37.379999999999995</v>
      </c>
      <c r="T1120" s="19">
        <f t="shared" si="259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>IFERROR(Tabela1[[#This Row],[QIANTIDADE EXPEDIDA]]*Tabela1[[#This Row],[PESO UNI]],"")</f>
        <v>0</v>
      </c>
      <c r="Y1120" s="14">
        <f t="shared" si="260"/>
        <v>-1</v>
      </c>
      <c r="Z1120" s="20">
        <f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customHeight="1" x14ac:dyDescent="0.25">
      <c r="A1121" s="1" t="s">
        <v>5513</v>
      </c>
      <c r="B1121" s="21" t="s">
        <v>5514</v>
      </c>
      <c r="C1121" s="1">
        <v>1</v>
      </c>
      <c r="D1121" s="1" t="s">
        <v>5519</v>
      </c>
      <c r="E1121" s="7">
        <v>4759</v>
      </c>
      <c r="F1121" s="7">
        <v>65</v>
      </c>
      <c r="G1121" s="1">
        <v>136.80000000000001</v>
      </c>
      <c r="H1121" s="34">
        <f>Tabela1[[#This Row],[PESO UNI]]*Tabela1[[#This Row],[QTE]]</f>
        <v>136.80000000000001</v>
      </c>
      <c r="I1121" s="7">
        <v>0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>Tabela1[[#This Row],[QTDE/ Fabricação]]-Tabela1[[#This Row],[QTE]]</f>
        <v>-1</v>
      </c>
      <c r="R1121" s="18">
        <f t="shared" si="257"/>
        <v>114.22800000000001</v>
      </c>
      <c r="S1121" s="18">
        <f t="shared" si="258"/>
        <v>47.88</v>
      </c>
      <c r="T1121" s="19">
        <f t="shared" si="259"/>
        <v>-88.920000000000016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>IFERROR(Tabela1[[#This Row],[QIANTIDADE EXPEDIDA]]*Tabela1[[#This Row],[PESO UNI]],"")</f>
        <v>0</v>
      </c>
      <c r="Y1121" s="14">
        <f t="shared" si="260"/>
        <v>-1</v>
      </c>
      <c r="Z1121" s="20">
        <f>Tabela1[[#This Row],[PESO TOTAL]]-Tabela1[[#This Row],[Peso Expedido]]</f>
        <v>136.80000000000001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customHeight="1" x14ac:dyDescent="0.25">
      <c r="A1122" s="1" t="s">
        <v>5513</v>
      </c>
      <c r="B1122" s="21" t="s">
        <v>5514</v>
      </c>
      <c r="C1122" s="1">
        <v>1</v>
      </c>
      <c r="D1122" s="1" t="s">
        <v>5518</v>
      </c>
      <c r="E1122" s="7">
        <v>4760</v>
      </c>
      <c r="F1122" s="7">
        <v>65</v>
      </c>
      <c r="G1122" s="1">
        <v>106.8</v>
      </c>
      <c r="H1122" s="34">
        <f>Tabela1[[#This Row],[PESO UNI]]*Tabela1[[#This Row],[QTE]]</f>
        <v>106.8</v>
      </c>
      <c r="I1122" s="7">
        <v>0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>Tabela1[[#This Row],[QTDE/ Fabricação]]-Tabela1[[#This Row],[QTE]]</f>
        <v>-1</v>
      </c>
      <c r="R1122" s="18">
        <f t="shared" si="257"/>
        <v>89.177999999999997</v>
      </c>
      <c r="S1122" s="18">
        <f t="shared" si="258"/>
        <v>37.379999999999995</v>
      </c>
      <c r="T1122" s="19">
        <f t="shared" si="259"/>
        <v>-69.42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>IFERROR(Tabela1[[#This Row],[QIANTIDADE EXPEDIDA]]*Tabela1[[#This Row],[PESO UNI]],"")</f>
        <v>0</v>
      </c>
      <c r="Y1122" s="14">
        <f t="shared" si="260"/>
        <v>-1</v>
      </c>
      <c r="Z1122" s="20">
        <f>Tabela1[[#This Row],[PESO TOTAL]]-Tabela1[[#This Row],[Peso Expedido]]</f>
        <v>106.8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customHeight="1" x14ac:dyDescent="0.25">
      <c r="A1123" s="1" t="s">
        <v>5515</v>
      </c>
      <c r="B1123" s="21" t="s">
        <v>5516</v>
      </c>
      <c r="C1123" s="1">
        <v>3</v>
      </c>
      <c r="D1123" s="1" t="s">
        <v>5517</v>
      </c>
      <c r="E1123" s="7">
        <v>4761</v>
      </c>
      <c r="F1123" s="7">
        <v>65</v>
      </c>
      <c r="G1123" s="1">
        <v>64.099999999999994</v>
      </c>
      <c r="H1123" s="34">
        <f>Tabela1[[#This Row],[PESO UNI]]*Tabela1[[#This Row],[QTE]]</f>
        <v>192.29999999999998</v>
      </c>
      <c r="I1123" s="7" t="s">
        <v>5583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>Tabela1[[#This Row],[QTDE/ Fabricação]]-Tabela1[[#This Row],[QTE]]</f>
        <v>-3</v>
      </c>
      <c r="R1123" s="18">
        <f t="shared" si="257"/>
        <v>160.57049999999998</v>
      </c>
      <c r="S1123" s="18">
        <f t="shared" si="258"/>
        <v>67.304999999999993</v>
      </c>
      <c r="T1123" s="19">
        <f t="shared" si="259"/>
        <v>-124.99499999999999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>IFERROR(Tabela1[[#This Row],[QIANTIDADE EXPEDIDA]]*Tabela1[[#This Row],[PESO UNI]],"")</f>
        <v>0</v>
      </c>
      <c r="Y1123" s="14">
        <f t="shared" si="260"/>
        <v>-3</v>
      </c>
      <c r="Z1123" s="20">
        <f>Tabela1[[#This Row],[PESO TOTAL]]-Tabela1[[#This Row],[Peso Expedido]]</f>
        <v>192.29999999999998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customHeight="1" x14ac:dyDescent="0.25">
      <c r="A1124" s="1" t="s">
        <v>5515</v>
      </c>
      <c r="B1124" s="21" t="s">
        <v>5516</v>
      </c>
      <c r="C1124" s="1">
        <v>1</v>
      </c>
      <c r="D1124" s="1" t="s">
        <v>5522</v>
      </c>
      <c r="E1124" s="7">
        <v>4762</v>
      </c>
      <c r="F1124" s="7">
        <v>65</v>
      </c>
      <c r="G1124" s="1">
        <v>83.4</v>
      </c>
      <c r="H1124" s="34">
        <f>Tabela1[[#This Row],[PESO UNI]]*Tabela1[[#This Row],[QTE]]</f>
        <v>83.4</v>
      </c>
      <c r="I1124" s="7" t="s">
        <v>5583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>Tabela1[[#This Row],[QTDE/ Fabricação]]-Tabela1[[#This Row],[QTE]]</f>
        <v>-1</v>
      </c>
      <c r="R1124" s="18">
        <f t="shared" si="257"/>
        <v>69.638999999999996</v>
      </c>
      <c r="S1124" s="18">
        <f t="shared" si="258"/>
        <v>29.19</v>
      </c>
      <c r="T1124" s="19">
        <f t="shared" si="259"/>
        <v>-54.210000000000008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>IFERROR(Tabela1[[#This Row],[QIANTIDADE EXPEDIDA]]*Tabela1[[#This Row],[PESO UNI]],"")</f>
        <v>0</v>
      </c>
      <c r="Y1124" s="14">
        <f t="shared" si="260"/>
        <v>-1</v>
      </c>
      <c r="Z1124" s="20">
        <f>Tabela1[[#This Row],[PESO TOTAL]]-Tabela1[[#This Row],[Peso Expedido]]</f>
        <v>83.4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customHeight="1" x14ac:dyDescent="0.25">
      <c r="A1125" s="1" t="s">
        <v>5515</v>
      </c>
      <c r="B1125" s="21" t="s">
        <v>5516</v>
      </c>
      <c r="C1125" s="1">
        <v>1</v>
      </c>
      <c r="D1125" s="1" t="s">
        <v>5523</v>
      </c>
      <c r="E1125" s="7">
        <v>4763</v>
      </c>
      <c r="F1125" s="7">
        <v>65</v>
      </c>
      <c r="G1125" s="1">
        <v>61.1</v>
      </c>
      <c r="H1125" s="34">
        <f>Tabela1[[#This Row],[PESO UNI]]*Tabela1[[#This Row],[QTE]]</f>
        <v>61.1</v>
      </c>
      <c r="I1125" s="7" t="s">
        <v>5583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>Tabela1[[#This Row],[QTDE/ Fabricação]]-Tabela1[[#This Row],[QTE]]</f>
        <v>-1</v>
      </c>
      <c r="R1125" s="18">
        <f t="shared" si="257"/>
        <v>51.018499999999996</v>
      </c>
      <c r="S1125" s="18">
        <f t="shared" si="258"/>
        <v>21.384999999999998</v>
      </c>
      <c r="T1125" s="19">
        <f t="shared" si="259"/>
        <v>-39.715000000000003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>IFERROR(Tabela1[[#This Row],[QIANTIDADE EXPEDIDA]]*Tabela1[[#This Row],[PESO UNI]],"")</f>
        <v>0</v>
      </c>
      <c r="Y1125" s="14">
        <f t="shared" si="260"/>
        <v>-1</v>
      </c>
      <c r="Z1125" s="20">
        <f>Tabela1[[#This Row],[PESO TOTAL]]-Tabela1[[#This Row],[Peso Expedido]]</f>
        <v>61.1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customHeight="1" x14ac:dyDescent="0.25">
      <c r="A1126" s="1" t="s">
        <v>5515</v>
      </c>
      <c r="B1126" s="21" t="s">
        <v>5516</v>
      </c>
      <c r="C1126" s="1">
        <v>1</v>
      </c>
      <c r="D1126" s="1" t="s">
        <v>5524</v>
      </c>
      <c r="E1126" s="7">
        <v>4764</v>
      </c>
      <c r="F1126" s="7">
        <v>65</v>
      </c>
      <c r="G1126" s="1">
        <v>87.1</v>
      </c>
      <c r="H1126" s="34">
        <f>Tabela1[[#This Row],[PESO UNI]]*Tabela1[[#This Row],[QTE]]</f>
        <v>87.1</v>
      </c>
      <c r="I1126" s="7" t="s">
        <v>5583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>Tabela1[[#This Row],[QTDE/ Fabricação]]-Tabela1[[#This Row],[QTE]]</f>
        <v>-1</v>
      </c>
      <c r="R1126" s="18">
        <f t="shared" si="257"/>
        <v>72.728499999999997</v>
      </c>
      <c r="S1126" s="18">
        <f t="shared" si="258"/>
        <v>30.484999999999996</v>
      </c>
      <c r="T1126" s="19">
        <f t="shared" si="259"/>
        <v>-56.614999999999995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>IFERROR(Tabela1[[#This Row],[QIANTIDADE EXPEDIDA]]*Tabela1[[#This Row],[PESO UNI]],"")</f>
        <v>0</v>
      </c>
      <c r="Y1126" s="14">
        <f t="shared" si="260"/>
        <v>-1</v>
      </c>
      <c r="Z1126" s="20">
        <f>Tabela1[[#This Row],[PESO TOTAL]]-Tabela1[[#This Row],[Peso Expedido]]</f>
        <v>87.1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customHeight="1" x14ac:dyDescent="0.25">
      <c r="A1127" s="1" t="s">
        <v>5515</v>
      </c>
      <c r="B1127" s="21" t="s">
        <v>5516</v>
      </c>
      <c r="C1127" s="1">
        <v>1</v>
      </c>
      <c r="D1127" s="1" t="s">
        <v>5525</v>
      </c>
      <c r="E1127" s="7">
        <v>4765</v>
      </c>
      <c r="F1127" s="7">
        <v>65</v>
      </c>
      <c r="G1127" s="1">
        <v>79.2</v>
      </c>
      <c r="H1127" s="34">
        <f>Tabela1[[#This Row],[PESO UNI]]*Tabela1[[#This Row],[QTE]]</f>
        <v>79.2</v>
      </c>
      <c r="I1127" s="7" t="s">
        <v>5583</v>
      </c>
      <c r="J1127" s="8" t="s">
        <v>3140</v>
      </c>
      <c r="K1127" s="8" t="s">
        <v>4320</v>
      </c>
      <c r="L1127" s="9" t="s">
        <v>2984</v>
      </c>
      <c r="M1127" s="10">
        <v>46265</v>
      </c>
      <c r="N1127" s="8" t="s">
        <v>5105</v>
      </c>
      <c r="O1127" s="12"/>
      <c r="P1127" s="13"/>
      <c r="Q1127" s="14">
        <f>Tabela1[[#This Row],[QTDE/ Fabricação]]-Tabela1[[#This Row],[QTE]]</f>
        <v>-1</v>
      </c>
      <c r="R1127" s="18">
        <f t="shared" si="257"/>
        <v>66.132000000000005</v>
      </c>
      <c r="S1127" s="18">
        <f t="shared" si="258"/>
        <v>27.72</v>
      </c>
      <c r="T1127" s="19">
        <f t="shared" si="259"/>
        <v>-51.480000000000004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>IFERROR(Tabela1[[#This Row],[QIANTIDADE EXPEDIDA]]*Tabela1[[#This Row],[PESO UNI]],"")</f>
        <v>0</v>
      </c>
      <c r="Y1127" s="14">
        <f t="shared" si="260"/>
        <v>-1</v>
      </c>
      <c r="Z1127" s="20">
        <f>Tabela1[[#This Row],[PESO TOTAL]]-Tabela1[[#This Row],[Peso Expedido]]</f>
        <v>79.2</v>
      </c>
      <c r="AA1127" s="17">
        <v>1</v>
      </c>
      <c r="AB1127" s="33"/>
      <c r="AC1127" s="33">
        <v>1</v>
      </c>
      <c r="AD1127" s="33">
        <v>0.7</v>
      </c>
      <c r="AE1127" s="33">
        <v>0.7</v>
      </c>
      <c r="AF1127" s="33">
        <v>0.4</v>
      </c>
      <c r="AG1127" s="33">
        <v>0.35</v>
      </c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customHeight="1" x14ac:dyDescent="0.25">
      <c r="A1128" s="1" t="s">
        <v>5515</v>
      </c>
      <c r="B1128" s="21" t="s">
        <v>5516</v>
      </c>
      <c r="C1128" s="1">
        <v>1</v>
      </c>
      <c r="D1128" s="1" t="s">
        <v>5526</v>
      </c>
      <c r="E1128" s="7">
        <v>4766</v>
      </c>
      <c r="F1128" s="7">
        <v>65</v>
      </c>
      <c r="G1128" s="1">
        <v>54.3</v>
      </c>
      <c r="H1128" s="34">
        <f>Tabela1[[#This Row],[PESO UNI]]*Tabela1[[#This Row],[QTE]]</f>
        <v>54.3</v>
      </c>
      <c r="I1128" s="7" t="s">
        <v>5583</v>
      </c>
      <c r="J1128" s="8" t="s">
        <v>3140</v>
      </c>
      <c r="K1128" s="8" t="s">
        <v>4320</v>
      </c>
      <c r="L1128" s="9" t="s">
        <v>2984</v>
      </c>
      <c r="M1128" s="10">
        <v>46265</v>
      </c>
      <c r="N1128" s="8" t="s">
        <v>5105</v>
      </c>
      <c r="O1128" s="12"/>
      <c r="P1128" s="13"/>
      <c r="Q1128" s="14">
        <f>Tabela1[[#This Row],[QTDE/ Fabricação]]-Tabela1[[#This Row],[QTE]]</f>
        <v>-1</v>
      </c>
      <c r="R1128" s="18">
        <f t="shared" si="257"/>
        <v>45.340499999999999</v>
      </c>
      <c r="S1128" s="18">
        <f t="shared" si="258"/>
        <v>19.004999999999999</v>
      </c>
      <c r="T1128" s="19">
        <f t="shared" si="259"/>
        <v>-35.295000000000002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>IFERROR(Tabela1[[#This Row],[QIANTIDADE EXPEDIDA]]*Tabela1[[#This Row],[PESO UNI]],"")</f>
        <v>0</v>
      </c>
      <c r="Y1128" s="14">
        <f t="shared" si="260"/>
        <v>-1</v>
      </c>
      <c r="Z1128" s="20">
        <f>Tabela1[[#This Row],[PESO TOTAL]]-Tabela1[[#This Row],[Peso Expedido]]</f>
        <v>54.3</v>
      </c>
      <c r="AA1128" s="17">
        <v>1</v>
      </c>
      <c r="AB1128" s="33"/>
      <c r="AC1128" s="33">
        <v>1</v>
      </c>
      <c r="AD1128" s="33">
        <v>0.7</v>
      </c>
      <c r="AE1128" s="33">
        <v>0.7</v>
      </c>
      <c r="AF1128" s="33">
        <v>0.4</v>
      </c>
      <c r="AG1128" s="33">
        <v>0.35</v>
      </c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customHeight="1" x14ac:dyDescent="0.25">
      <c r="A1129" s="1" t="s">
        <v>5527</v>
      </c>
      <c r="B1129" s="21"/>
      <c r="C1129" s="1">
        <v>1</v>
      </c>
      <c r="D1129" s="1" t="s">
        <v>5528</v>
      </c>
      <c r="E1129" s="7">
        <v>4767</v>
      </c>
      <c r="F1129" s="7">
        <v>2</v>
      </c>
      <c r="G1129" s="1">
        <v>101.4</v>
      </c>
      <c r="H1129" s="34">
        <f>Tabela1[[#This Row],[PESO UNI]]*Tabela1[[#This Row],[QTE]]</f>
        <v>101.4</v>
      </c>
      <c r="I1129" s="7">
        <v>0</v>
      </c>
      <c r="J1129" s="8" t="s">
        <v>5529</v>
      </c>
      <c r="K1129" s="8" t="s">
        <v>4320</v>
      </c>
      <c r="L1129" s="9" t="s">
        <v>5530</v>
      </c>
      <c r="M1129" s="10">
        <v>46265</v>
      </c>
      <c r="N1129" s="8" t="s">
        <v>5105</v>
      </c>
      <c r="O1129" s="12"/>
      <c r="P1129" s="13"/>
      <c r="Q1129" s="14">
        <f>Tabela1[[#This Row],[QTDE/ Fabricação]]-Tabela1[[#This Row],[QTE]]</f>
        <v>-1</v>
      </c>
      <c r="R1129" s="18">
        <f t="shared" si="257"/>
        <v>25.35</v>
      </c>
      <c r="S1129" s="18">
        <f t="shared" si="258"/>
        <v>0</v>
      </c>
      <c r="T1129" s="19">
        <f t="shared" si="259"/>
        <v>-101.4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>IFERROR(Tabela1[[#This Row],[QIANTIDADE EXPEDIDA]]*Tabela1[[#This Row],[PESO UNI]],"")</f>
        <v>0</v>
      </c>
      <c r="Y1129" s="14">
        <f t="shared" si="260"/>
        <v>-1</v>
      </c>
      <c r="Z1129" s="20">
        <f>Tabela1[[#This Row],[PESO TOTAL]]-Tabela1[[#This Row],[Peso Expedido]]</f>
        <v>101.4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customHeight="1" x14ac:dyDescent="0.25">
      <c r="A1130" s="1" t="s">
        <v>5527</v>
      </c>
      <c r="B1130" s="21"/>
      <c r="C1130" s="1">
        <v>1</v>
      </c>
      <c r="D1130" s="1" t="s">
        <v>5531</v>
      </c>
      <c r="E1130" s="7">
        <v>4768</v>
      </c>
      <c r="F1130" s="7">
        <v>2</v>
      </c>
      <c r="G1130" s="1">
        <v>110</v>
      </c>
      <c r="H1130" s="34">
        <f>Tabela1[[#This Row],[PESO UNI]]*Tabela1[[#This Row],[QTE]]</f>
        <v>110</v>
      </c>
      <c r="I1130" s="7">
        <v>0</v>
      </c>
      <c r="J1130" s="8" t="s">
        <v>5529</v>
      </c>
      <c r="K1130" s="8" t="s">
        <v>4320</v>
      </c>
      <c r="L1130" s="9" t="s">
        <v>5530</v>
      </c>
      <c r="M1130" s="10">
        <v>46265</v>
      </c>
      <c r="N1130" s="8" t="s">
        <v>5105</v>
      </c>
      <c r="O1130" s="12"/>
      <c r="P1130" s="13"/>
      <c r="Q1130" s="14">
        <f>Tabela1[[#This Row],[QTDE/ Fabricação]]-Tabela1[[#This Row],[QTE]]</f>
        <v>-1</v>
      </c>
      <c r="R1130" s="18">
        <f t="shared" si="257"/>
        <v>27.5</v>
      </c>
      <c r="S1130" s="18">
        <f t="shared" si="258"/>
        <v>0</v>
      </c>
      <c r="T1130" s="19">
        <f t="shared" si="259"/>
        <v>-110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>IFERROR(Tabela1[[#This Row],[QIANTIDADE EXPEDIDA]]*Tabela1[[#This Row],[PESO UNI]],"")</f>
        <v>0</v>
      </c>
      <c r="Y1130" s="14">
        <f t="shared" si="260"/>
        <v>-1</v>
      </c>
      <c r="Z1130" s="20">
        <f>Tabela1[[#This Row],[PESO TOTAL]]-Tabela1[[#This Row],[Peso Expedido]]</f>
        <v>110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customHeight="1" x14ac:dyDescent="0.25">
      <c r="A1131" s="1" t="s">
        <v>5527</v>
      </c>
      <c r="B1131" s="21"/>
      <c r="C1131" s="1">
        <v>1</v>
      </c>
      <c r="D1131" s="1" t="s">
        <v>5532</v>
      </c>
      <c r="E1131" s="7">
        <v>4769</v>
      </c>
      <c r="F1131" s="7">
        <v>2</v>
      </c>
      <c r="G1131" s="1">
        <v>2.4</v>
      </c>
      <c r="H1131" s="34">
        <f>Tabela1[[#This Row],[PESO UNI]]*Tabela1[[#This Row],[QTE]]</f>
        <v>2.4</v>
      </c>
      <c r="I1131" s="7">
        <v>0</v>
      </c>
      <c r="J1131" s="8" t="s">
        <v>5529</v>
      </c>
      <c r="K1131" s="8" t="s">
        <v>4320</v>
      </c>
      <c r="L1131" s="9" t="s">
        <v>5530</v>
      </c>
      <c r="M1131" s="10">
        <v>46265</v>
      </c>
      <c r="N1131" s="8" t="s">
        <v>5105</v>
      </c>
      <c r="O1131" s="12"/>
      <c r="P1131" s="13"/>
      <c r="Q1131" s="14">
        <f>Tabela1[[#This Row],[QTDE/ Fabricação]]-Tabela1[[#This Row],[QTE]]</f>
        <v>-1</v>
      </c>
      <c r="R1131" s="18">
        <f t="shared" si="257"/>
        <v>0.6</v>
      </c>
      <c r="S1131" s="18">
        <f t="shared" si="258"/>
        <v>0</v>
      </c>
      <c r="T1131" s="19">
        <f t="shared" si="259"/>
        <v>-2.4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>IFERROR(Tabela1[[#This Row],[QIANTIDADE EXPEDIDA]]*Tabela1[[#This Row],[PESO UNI]],"")</f>
        <v>0</v>
      </c>
      <c r="Y1131" s="14">
        <f t="shared" si="260"/>
        <v>-1</v>
      </c>
      <c r="Z1131" s="20">
        <f>Tabela1[[#This Row],[PESO TOTAL]]-Tabela1[[#This Row],[Peso Expedido]]</f>
        <v>2.4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customHeight="1" x14ac:dyDescent="0.25">
      <c r="A1132" s="1" t="s">
        <v>5527</v>
      </c>
      <c r="B1132" s="21"/>
      <c r="C1132" s="1">
        <v>1</v>
      </c>
      <c r="D1132" s="1" t="s">
        <v>5533</v>
      </c>
      <c r="E1132" s="7">
        <v>4770</v>
      </c>
      <c r="F1132" s="7">
        <v>2</v>
      </c>
      <c r="G1132" s="1">
        <v>2.2000000000000002</v>
      </c>
      <c r="H1132" s="34">
        <f>Tabela1[[#This Row],[PESO UNI]]*Tabela1[[#This Row],[QTE]]</f>
        <v>2.2000000000000002</v>
      </c>
      <c r="I1132" s="7">
        <v>0</v>
      </c>
      <c r="J1132" s="8" t="s">
        <v>5529</v>
      </c>
      <c r="K1132" s="8" t="s">
        <v>4320</v>
      </c>
      <c r="L1132" s="9" t="s">
        <v>5530</v>
      </c>
      <c r="M1132" s="10">
        <v>46265</v>
      </c>
      <c r="N1132" s="8" t="s">
        <v>5105</v>
      </c>
      <c r="O1132" s="12"/>
      <c r="P1132" s="13"/>
      <c r="Q1132" s="14">
        <f>Tabela1[[#This Row],[QTDE/ Fabricação]]-Tabela1[[#This Row],[QTE]]</f>
        <v>-1</v>
      </c>
      <c r="R1132" s="18">
        <f t="shared" si="257"/>
        <v>0.55000000000000004</v>
      </c>
      <c r="S1132" s="18">
        <f t="shared" si="258"/>
        <v>0</v>
      </c>
      <c r="T1132" s="19">
        <f t="shared" si="259"/>
        <v>-2.2000000000000002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>IFERROR(Tabela1[[#This Row],[QIANTIDADE EXPEDIDA]]*Tabela1[[#This Row],[PESO UNI]],"")</f>
        <v>0</v>
      </c>
      <c r="Y1132" s="14">
        <f t="shared" si="260"/>
        <v>-1</v>
      </c>
      <c r="Z1132" s="20">
        <f>Tabela1[[#This Row],[PESO TOTAL]]-Tabela1[[#This Row],[Peso Expedido]]</f>
        <v>2.2000000000000002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customHeight="1" x14ac:dyDescent="0.25">
      <c r="A1133" s="1" t="s">
        <v>5527</v>
      </c>
      <c r="B1133" s="21"/>
      <c r="C1133" s="1">
        <v>1</v>
      </c>
      <c r="D1133" s="1" t="s">
        <v>5534</v>
      </c>
      <c r="E1133" s="7">
        <v>4771</v>
      </c>
      <c r="F1133" s="7">
        <v>2</v>
      </c>
      <c r="G1133" s="1">
        <v>3.4</v>
      </c>
      <c r="H1133" s="34">
        <f>Tabela1[[#This Row],[PESO UNI]]*Tabela1[[#This Row],[QTE]]</f>
        <v>3.4</v>
      </c>
      <c r="I1133" s="7">
        <v>0</v>
      </c>
      <c r="J1133" s="8" t="s">
        <v>5529</v>
      </c>
      <c r="K1133" s="8" t="s">
        <v>4320</v>
      </c>
      <c r="L1133" s="9" t="s">
        <v>5530</v>
      </c>
      <c r="M1133" s="10">
        <v>46265</v>
      </c>
      <c r="N1133" s="8" t="s">
        <v>5105</v>
      </c>
      <c r="O1133" s="12"/>
      <c r="P1133" s="13"/>
      <c r="Q1133" s="14">
        <f>Tabela1[[#This Row],[QTDE/ Fabricação]]-Tabela1[[#This Row],[QTE]]</f>
        <v>-1</v>
      </c>
      <c r="R1133" s="18">
        <f t="shared" si="257"/>
        <v>0.85</v>
      </c>
      <c r="S1133" s="18">
        <f t="shared" si="258"/>
        <v>0</v>
      </c>
      <c r="T1133" s="19">
        <f t="shared" si="259"/>
        <v>-3.4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>IFERROR(Tabela1[[#This Row],[QIANTIDADE EXPEDIDA]]*Tabela1[[#This Row],[PESO UNI]],"")</f>
        <v>0</v>
      </c>
      <c r="Y1133" s="14">
        <f t="shared" si="260"/>
        <v>-1</v>
      </c>
      <c r="Z1133" s="20">
        <f>Tabela1[[#This Row],[PESO TOTAL]]-Tabela1[[#This Row],[Peso Expedido]]</f>
        <v>3.4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customHeight="1" x14ac:dyDescent="0.25">
      <c r="A1134" s="1" t="s">
        <v>5535</v>
      </c>
      <c r="B1134" s="21"/>
      <c r="C1134" s="1">
        <v>1</v>
      </c>
      <c r="D1134" s="1" t="s">
        <v>5536</v>
      </c>
      <c r="E1134" s="7">
        <v>4772</v>
      </c>
      <c r="F1134" s="7">
        <v>2</v>
      </c>
      <c r="G1134" s="1">
        <v>112</v>
      </c>
      <c r="H1134" s="34">
        <f>Tabela1[[#This Row],[PESO UNI]]*Tabela1[[#This Row],[QTE]]</f>
        <v>112</v>
      </c>
      <c r="I1134" s="7">
        <v>0</v>
      </c>
      <c r="J1134" s="8" t="s">
        <v>5529</v>
      </c>
      <c r="K1134" s="8" t="s">
        <v>4320</v>
      </c>
      <c r="L1134" s="9" t="s">
        <v>5530</v>
      </c>
      <c r="M1134" s="10">
        <v>46265</v>
      </c>
      <c r="N1134" s="8" t="s">
        <v>5105</v>
      </c>
      <c r="O1134" s="12"/>
      <c r="P1134" s="13"/>
      <c r="Q1134" s="14">
        <f>Tabela1[[#This Row],[QTDE/ Fabricação]]-Tabela1[[#This Row],[QTE]]</f>
        <v>-1</v>
      </c>
      <c r="R1134" s="18">
        <f t="shared" si="257"/>
        <v>28</v>
      </c>
      <c r="S1134" s="18">
        <f t="shared" si="258"/>
        <v>0</v>
      </c>
      <c r="T1134" s="19">
        <f t="shared" si="259"/>
        <v>-112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>IFERROR(Tabela1[[#This Row],[QIANTIDADE EXPEDIDA]]*Tabela1[[#This Row],[PESO UNI]],"")</f>
        <v>0</v>
      </c>
      <c r="Y1134" s="14">
        <f t="shared" si="260"/>
        <v>-1</v>
      </c>
      <c r="Z1134" s="20">
        <f>Tabela1[[#This Row],[PESO TOTAL]]-Tabela1[[#This Row],[Peso Expedido]]</f>
        <v>112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customHeight="1" x14ac:dyDescent="0.25">
      <c r="A1135" s="1" t="s">
        <v>5537</v>
      </c>
      <c r="B1135" s="21"/>
      <c r="C1135" s="1">
        <v>1</v>
      </c>
      <c r="D1135" s="1" t="s">
        <v>5538</v>
      </c>
      <c r="E1135" s="7">
        <v>4773</v>
      </c>
      <c r="F1135" s="7">
        <v>2</v>
      </c>
      <c r="G1135" s="1">
        <v>191.6</v>
      </c>
      <c r="H1135" s="34">
        <f>Tabela1[[#This Row],[PESO UNI]]*Tabela1[[#This Row],[QTE]]</f>
        <v>191.6</v>
      </c>
      <c r="I1135" s="7">
        <v>0</v>
      </c>
      <c r="J1135" s="8" t="s">
        <v>5529</v>
      </c>
      <c r="K1135" s="8" t="s">
        <v>4320</v>
      </c>
      <c r="L1135" s="9" t="s">
        <v>5530</v>
      </c>
      <c r="M1135" s="10">
        <v>46265</v>
      </c>
      <c r="N1135" s="8" t="s">
        <v>5105</v>
      </c>
      <c r="O1135" s="12"/>
      <c r="P1135" s="13"/>
      <c r="Q1135" s="14">
        <f>Tabela1[[#This Row],[QTDE/ Fabricação]]-Tabela1[[#This Row],[QTE]]</f>
        <v>-1</v>
      </c>
      <c r="R1135" s="18">
        <f t="shared" si="257"/>
        <v>47.9</v>
      </c>
      <c r="S1135" s="18">
        <f t="shared" si="258"/>
        <v>0</v>
      </c>
      <c r="T1135" s="19">
        <f t="shared" si="259"/>
        <v>-191.6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>IFERROR(Tabela1[[#This Row],[QIANTIDADE EXPEDIDA]]*Tabela1[[#This Row],[PESO UNI]],"")</f>
        <v>0</v>
      </c>
      <c r="Y1135" s="14">
        <f t="shared" si="260"/>
        <v>-1</v>
      </c>
      <c r="Z1135" s="20">
        <f>Tabela1[[#This Row],[PESO TOTAL]]-Tabela1[[#This Row],[Peso Expedido]]</f>
        <v>191.6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customHeight="1" x14ac:dyDescent="0.25">
      <c r="A1136" s="1" t="s">
        <v>5537</v>
      </c>
      <c r="B1136" s="21"/>
      <c r="C1136" s="1">
        <v>1</v>
      </c>
      <c r="D1136" s="1" t="s">
        <v>5539</v>
      </c>
      <c r="E1136" s="7">
        <v>4774</v>
      </c>
      <c r="F1136" s="7">
        <v>2</v>
      </c>
      <c r="G1136" s="1">
        <v>14.8</v>
      </c>
      <c r="H1136" s="34">
        <f>Tabela1[[#This Row],[PESO UNI]]*Tabela1[[#This Row],[QTE]]</f>
        <v>14.8</v>
      </c>
      <c r="I1136" s="7">
        <v>0</v>
      </c>
      <c r="J1136" s="8" t="s">
        <v>5529</v>
      </c>
      <c r="K1136" s="8" t="s">
        <v>4320</v>
      </c>
      <c r="L1136" s="9" t="s">
        <v>5530</v>
      </c>
      <c r="M1136" s="10">
        <v>46265</v>
      </c>
      <c r="N1136" s="8" t="s">
        <v>5105</v>
      </c>
      <c r="O1136" s="12"/>
      <c r="P1136" s="13"/>
      <c r="Q1136" s="14">
        <f>Tabela1[[#This Row],[QTDE/ Fabricação]]-Tabela1[[#This Row],[QTE]]</f>
        <v>-1</v>
      </c>
      <c r="R1136" s="18">
        <f t="shared" si="257"/>
        <v>3.7</v>
      </c>
      <c r="S1136" s="18">
        <f t="shared" si="258"/>
        <v>0</v>
      </c>
      <c r="T1136" s="19">
        <f t="shared" si="259"/>
        <v>-14.8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>IFERROR(Tabela1[[#This Row],[QIANTIDADE EXPEDIDA]]*Tabela1[[#This Row],[PESO UNI]],"")</f>
        <v>0</v>
      </c>
      <c r="Y1136" s="14">
        <f t="shared" si="260"/>
        <v>-1</v>
      </c>
      <c r="Z1136" s="20">
        <f>Tabela1[[#This Row],[PESO TOTAL]]-Tabela1[[#This Row],[Peso Expedido]]</f>
        <v>14.8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customHeight="1" x14ac:dyDescent="0.25">
      <c r="A1137" s="1" t="s">
        <v>5537</v>
      </c>
      <c r="B1137" s="21"/>
      <c r="C1137" s="1">
        <v>1</v>
      </c>
      <c r="D1137" s="1" t="s">
        <v>5540</v>
      </c>
      <c r="E1137" s="7">
        <v>4775</v>
      </c>
      <c r="F1137" s="7">
        <v>2</v>
      </c>
      <c r="G1137" s="1">
        <v>15.3</v>
      </c>
      <c r="H1137" s="34">
        <f>Tabela1[[#This Row],[PESO UNI]]*Tabela1[[#This Row],[QTE]]</f>
        <v>15.3</v>
      </c>
      <c r="I1137" s="7">
        <v>0</v>
      </c>
      <c r="J1137" s="8" t="s">
        <v>5529</v>
      </c>
      <c r="K1137" s="8" t="s">
        <v>4320</v>
      </c>
      <c r="L1137" s="9" t="s">
        <v>5530</v>
      </c>
      <c r="M1137" s="10">
        <v>46265</v>
      </c>
      <c r="N1137" s="8" t="s">
        <v>5105</v>
      </c>
      <c r="O1137" s="12"/>
      <c r="P1137" s="13"/>
      <c r="Q1137" s="14">
        <f>Tabela1[[#This Row],[QTDE/ Fabricação]]-Tabela1[[#This Row],[QTE]]</f>
        <v>-1</v>
      </c>
      <c r="R1137" s="18">
        <f t="shared" si="257"/>
        <v>3.8250000000000002</v>
      </c>
      <c r="S1137" s="18">
        <f t="shared" si="258"/>
        <v>0</v>
      </c>
      <c r="T1137" s="19">
        <f t="shared" si="259"/>
        <v>-15.3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>IFERROR(Tabela1[[#This Row],[QIANTIDADE EXPEDIDA]]*Tabela1[[#This Row],[PESO UNI]],"")</f>
        <v>0</v>
      </c>
      <c r="Y1137" s="14">
        <f t="shared" si="260"/>
        <v>-1</v>
      </c>
      <c r="Z1137" s="20">
        <f>Tabela1[[#This Row],[PESO TOTAL]]-Tabela1[[#This Row],[Peso Expedido]]</f>
        <v>15.3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customHeight="1" x14ac:dyDescent="0.25">
      <c r="A1138" s="1" t="s">
        <v>5542</v>
      </c>
      <c r="B1138" s="21"/>
      <c r="C1138" s="1">
        <v>1</v>
      </c>
      <c r="D1138" s="1" t="s">
        <v>5543</v>
      </c>
      <c r="E1138" s="7">
        <v>4776</v>
      </c>
      <c r="F1138" s="7">
        <v>2</v>
      </c>
      <c r="G1138" s="1">
        <v>54.2</v>
      </c>
      <c r="H1138" s="34">
        <f>Tabela1[[#This Row],[PESO UNI]]*Tabela1[[#This Row],[QTE]]</f>
        <v>54.2</v>
      </c>
      <c r="I1138" s="7">
        <v>0</v>
      </c>
      <c r="J1138" s="8" t="s">
        <v>5529</v>
      </c>
      <c r="K1138" s="8" t="s">
        <v>4320</v>
      </c>
      <c r="L1138" s="9" t="s">
        <v>5530</v>
      </c>
      <c r="M1138" s="10">
        <v>46265</v>
      </c>
      <c r="N1138" s="8" t="s">
        <v>5105</v>
      </c>
      <c r="O1138" s="12"/>
      <c r="P1138" s="13"/>
      <c r="Q1138" s="14">
        <f>Tabela1[[#This Row],[QTDE/ Fabricação]]-Tabela1[[#This Row],[QTE]]</f>
        <v>-1</v>
      </c>
      <c r="R1138" s="18">
        <f t="shared" si="257"/>
        <v>13.55</v>
      </c>
      <c r="S1138" s="18">
        <f t="shared" si="258"/>
        <v>0</v>
      </c>
      <c r="T1138" s="19">
        <f t="shared" si="259"/>
        <v>-54.2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>IFERROR(Tabela1[[#This Row],[QIANTIDADE EXPEDIDA]]*Tabela1[[#This Row],[PESO UNI]],"")</f>
        <v>0</v>
      </c>
      <c r="Y1138" s="14">
        <f t="shared" si="260"/>
        <v>-1</v>
      </c>
      <c r="Z1138" s="20">
        <f>Tabela1[[#This Row],[PESO TOTAL]]-Tabela1[[#This Row],[Peso Expedido]]</f>
        <v>54.2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customHeight="1" x14ac:dyDescent="0.25">
      <c r="A1139" s="1" t="s">
        <v>5542</v>
      </c>
      <c r="B1139" s="21"/>
      <c r="C1139" s="1">
        <v>1</v>
      </c>
      <c r="D1139" s="1" t="s">
        <v>5544</v>
      </c>
      <c r="E1139" s="7">
        <v>4777</v>
      </c>
      <c r="F1139" s="7">
        <v>2</v>
      </c>
      <c r="G1139" s="1">
        <v>101.9</v>
      </c>
      <c r="H1139" s="34">
        <f>Tabela1[[#This Row],[PESO UNI]]*Tabela1[[#This Row],[QTE]]</f>
        <v>101.9</v>
      </c>
      <c r="I1139" s="7">
        <v>0</v>
      </c>
      <c r="J1139" s="8" t="s">
        <v>5529</v>
      </c>
      <c r="K1139" s="8" t="s">
        <v>4320</v>
      </c>
      <c r="L1139" s="9" t="s">
        <v>5530</v>
      </c>
      <c r="M1139" s="10">
        <v>46265</v>
      </c>
      <c r="N1139" s="8" t="s">
        <v>5105</v>
      </c>
      <c r="O1139" s="12"/>
      <c r="P1139" s="13"/>
      <c r="Q1139" s="14">
        <f>Tabela1[[#This Row],[QTDE/ Fabricação]]-Tabela1[[#This Row],[QTE]]</f>
        <v>-1</v>
      </c>
      <c r="R1139" s="18">
        <f t="shared" si="257"/>
        <v>25.475000000000001</v>
      </c>
      <c r="S1139" s="18">
        <f t="shared" si="258"/>
        <v>0</v>
      </c>
      <c r="T1139" s="19">
        <f t="shared" si="259"/>
        <v>-101.9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>IFERROR(Tabela1[[#This Row],[QIANTIDADE EXPEDIDA]]*Tabela1[[#This Row],[PESO UNI]],"")</f>
        <v>0</v>
      </c>
      <c r="Y1139" s="14">
        <f t="shared" si="260"/>
        <v>-1</v>
      </c>
      <c r="Z1139" s="20">
        <f>Tabela1[[#This Row],[PESO TOTAL]]-Tabela1[[#This Row],[Peso Expedido]]</f>
        <v>101.9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customHeight="1" x14ac:dyDescent="0.25">
      <c r="A1140" s="1" t="s">
        <v>5545</v>
      </c>
      <c r="B1140" s="21"/>
      <c r="C1140" s="1">
        <v>1</v>
      </c>
      <c r="D1140" s="1" t="s">
        <v>5546</v>
      </c>
      <c r="E1140" s="7">
        <v>4778</v>
      </c>
      <c r="F1140" s="7">
        <v>2</v>
      </c>
      <c r="G1140" s="1">
        <v>367.7</v>
      </c>
      <c r="H1140" s="34">
        <f>Tabela1[[#This Row],[PESO UNI]]*Tabela1[[#This Row],[QTE]]</f>
        <v>367.7</v>
      </c>
      <c r="I1140" s="7">
        <v>0</v>
      </c>
      <c r="J1140" s="8" t="s">
        <v>5529</v>
      </c>
      <c r="K1140" s="8" t="s">
        <v>4320</v>
      </c>
      <c r="L1140" s="9" t="s">
        <v>5530</v>
      </c>
      <c r="M1140" s="10">
        <v>46265</v>
      </c>
      <c r="N1140" s="8" t="s">
        <v>5105</v>
      </c>
      <c r="O1140" s="12"/>
      <c r="P1140" s="13"/>
      <c r="Q1140" s="14">
        <f>Tabela1[[#This Row],[QTDE/ Fabricação]]-Tabela1[[#This Row],[QTE]]</f>
        <v>-1</v>
      </c>
      <c r="R1140" s="18">
        <f t="shared" si="257"/>
        <v>91.924999999999997</v>
      </c>
      <c r="S1140" s="18">
        <f t="shared" si="258"/>
        <v>0</v>
      </c>
      <c r="T1140" s="19">
        <f t="shared" si="259"/>
        <v>-367.7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>IFERROR(Tabela1[[#This Row],[QIANTIDADE EXPEDIDA]]*Tabela1[[#This Row],[PESO UNI]],"")</f>
        <v>0</v>
      </c>
      <c r="Y1140" s="14">
        <f t="shared" si="260"/>
        <v>-1</v>
      </c>
      <c r="Z1140" s="20">
        <f>Tabela1[[#This Row],[PESO TOTAL]]-Tabela1[[#This Row],[Peso Expedido]]</f>
        <v>367.7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customHeight="1" x14ac:dyDescent="0.25">
      <c r="A1141" s="1" t="s">
        <v>5541</v>
      </c>
      <c r="B1141" s="21"/>
      <c r="C1141" s="1">
        <v>1</v>
      </c>
      <c r="D1141" s="1" t="s">
        <v>5547</v>
      </c>
      <c r="E1141" s="7">
        <v>4779</v>
      </c>
      <c r="F1141" s="7">
        <v>2</v>
      </c>
      <c r="G1141" s="1">
        <v>217.8</v>
      </c>
      <c r="H1141" s="34">
        <f>Tabela1[[#This Row],[PESO UNI]]*Tabela1[[#This Row],[QTE]]</f>
        <v>217.8</v>
      </c>
      <c r="I1141" s="7">
        <v>0</v>
      </c>
      <c r="J1141" s="8" t="s">
        <v>5529</v>
      </c>
      <c r="K1141" s="8" t="s">
        <v>4320</v>
      </c>
      <c r="L1141" s="9" t="s">
        <v>5530</v>
      </c>
      <c r="M1141" s="10">
        <v>46265</v>
      </c>
      <c r="N1141" s="8" t="s">
        <v>5105</v>
      </c>
      <c r="O1141" s="12"/>
      <c r="P1141" s="13"/>
      <c r="Q1141" s="14">
        <f>Tabela1[[#This Row],[QTDE/ Fabricação]]-Tabela1[[#This Row],[QTE]]</f>
        <v>-1</v>
      </c>
      <c r="R1141" s="18">
        <f t="shared" si="257"/>
        <v>54.45</v>
      </c>
      <c r="S1141" s="18">
        <f t="shared" si="258"/>
        <v>0</v>
      </c>
      <c r="T1141" s="19">
        <f t="shared" si="259"/>
        <v>-217.8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>IFERROR(Tabela1[[#This Row],[QIANTIDADE EXPEDIDA]]*Tabela1[[#This Row],[PESO UNI]],"")</f>
        <v>0</v>
      </c>
      <c r="Y1141" s="14">
        <f t="shared" si="260"/>
        <v>-1</v>
      </c>
      <c r="Z1141" s="20">
        <f>Tabela1[[#This Row],[PESO TOTAL]]-Tabela1[[#This Row],[Peso Expedido]]</f>
        <v>217.8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customHeight="1" x14ac:dyDescent="0.25">
      <c r="A1142" s="1" t="s">
        <v>5548</v>
      </c>
      <c r="B1142" s="21"/>
      <c r="C1142" s="1">
        <v>5</v>
      </c>
      <c r="D1142" s="1" t="s">
        <v>5549</v>
      </c>
      <c r="E1142" s="7">
        <v>4780</v>
      </c>
      <c r="F1142" s="7">
        <v>2</v>
      </c>
      <c r="G1142" s="1">
        <v>316.7</v>
      </c>
      <c r="H1142" s="34">
        <f>Tabela1[[#This Row],[PESO UNI]]*Tabela1[[#This Row],[QTE]]</f>
        <v>1583.5</v>
      </c>
      <c r="I1142" s="7">
        <v>0</v>
      </c>
      <c r="J1142" s="8" t="s">
        <v>5529</v>
      </c>
      <c r="K1142" s="8" t="s">
        <v>4320</v>
      </c>
      <c r="L1142" s="9" t="s">
        <v>5530</v>
      </c>
      <c r="M1142" s="10">
        <v>46265</v>
      </c>
      <c r="N1142" s="8" t="s">
        <v>5105</v>
      </c>
      <c r="O1142" s="12"/>
      <c r="P1142" s="13"/>
      <c r="Q1142" s="14">
        <f>Tabela1[[#This Row],[QTDE/ Fabricação]]-Tabela1[[#This Row],[QTE]]</f>
        <v>-5</v>
      </c>
      <c r="R1142" s="18">
        <f t="shared" si="257"/>
        <v>395.875</v>
      </c>
      <c r="S1142" s="18">
        <f t="shared" si="258"/>
        <v>0</v>
      </c>
      <c r="T1142" s="19">
        <f t="shared" si="259"/>
        <v>-1583.5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>IFERROR(Tabela1[[#This Row],[QIANTIDADE EXPEDIDA]]*Tabela1[[#This Row],[PESO UNI]],"")</f>
        <v>0</v>
      </c>
      <c r="Y1142" s="14">
        <f t="shared" si="260"/>
        <v>-5</v>
      </c>
      <c r="Z1142" s="20">
        <f>Tabela1[[#This Row],[PESO TOTAL]]-Tabela1[[#This Row],[Peso Expedido]]</f>
        <v>1583.5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customHeight="1" x14ac:dyDescent="0.25">
      <c r="A1143" s="1" t="s">
        <v>5550</v>
      </c>
      <c r="B1143" s="21"/>
      <c r="C1143" s="1">
        <v>1</v>
      </c>
      <c r="D1143" s="1" t="s">
        <v>5551</v>
      </c>
      <c r="E1143" s="7">
        <v>4781</v>
      </c>
      <c r="F1143" s="7">
        <v>2</v>
      </c>
      <c r="G1143" s="1">
        <v>251.8</v>
      </c>
      <c r="H1143" s="34">
        <f>Tabela1[[#This Row],[PESO UNI]]*Tabela1[[#This Row],[QTE]]</f>
        <v>251.8</v>
      </c>
      <c r="I1143" s="7">
        <v>0</v>
      </c>
      <c r="J1143" s="8" t="s">
        <v>5529</v>
      </c>
      <c r="K1143" s="8" t="s">
        <v>4320</v>
      </c>
      <c r="L1143" s="9" t="s">
        <v>5530</v>
      </c>
      <c r="M1143" s="10">
        <v>46265</v>
      </c>
      <c r="N1143" s="8" t="s">
        <v>5105</v>
      </c>
      <c r="O1143" s="12"/>
      <c r="P1143" s="13"/>
      <c r="Q1143" s="14">
        <f>Tabela1[[#This Row],[QTDE/ Fabricação]]-Tabela1[[#This Row],[QTE]]</f>
        <v>-1</v>
      </c>
      <c r="R1143" s="18">
        <f t="shared" si="257"/>
        <v>62.95</v>
      </c>
      <c r="S1143" s="18">
        <f t="shared" si="258"/>
        <v>0</v>
      </c>
      <c r="T1143" s="19">
        <f t="shared" si="259"/>
        <v>-251.8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>IFERROR(Tabela1[[#This Row],[QIANTIDADE EXPEDIDA]]*Tabela1[[#This Row],[PESO UNI]],"")</f>
        <v>0</v>
      </c>
      <c r="Y1143" s="14">
        <f t="shared" si="260"/>
        <v>-1</v>
      </c>
      <c r="Z1143" s="20">
        <f>Tabela1[[#This Row],[PESO TOTAL]]-Tabela1[[#This Row],[Peso Expedido]]</f>
        <v>251.8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customHeight="1" x14ac:dyDescent="0.25">
      <c r="A1144" s="1" t="s">
        <v>5552</v>
      </c>
      <c r="B1144" s="21"/>
      <c r="C1144" s="1">
        <v>1</v>
      </c>
      <c r="D1144" s="1" t="s">
        <v>5553</v>
      </c>
      <c r="E1144" s="7">
        <v>4782</v>
      </c>
      <c r="F1144" s="7">
        <v>2</v>
      </c>
      <c r="G1144" s="1">
        <v>157.6</v>
      </c>
      <c r="H1144" s="34">
        <f>Tabela1[[#This Row],[PESO UNI]]*Tabela1[[#This Row],[QTE]]</f>
        <v>157.6</v>
      </c>
      <c r="I1144" s="7">
        <v>0</v>
      </c>
      <c r="J1144" s="8" t="s">
        <v>5529</v>
      </c>
      <c r="K1144" s="8" t="s">
        <v>4320</v>
      </c>
      <c r="L1144" s="9" t="s">
        <v>5530</v>
      </c>
      <c r="M1144" s="10">
        <v>46265</v>
      </c>
      <c r="N1144" s="8" t="s">
        <v>5105</v>
      </c>
      <c r="O1144" s="12"/>
      <c r="P1144" s="13"/>
      <c r="Q1144" s="14">
        <f>Tabela1[[#This Row],[QTDE/ Fabricação]]-Tabela1[[#This Row],[QTE]]</f>
        <v>-1</v>
      </c>
      <c r="R1144" s="18">
        <f t="shared" si="257"/>
        <v>39.4</v>
      </c>
      <c r="S1144" s="18">
        <f t="shared" si="258"/>
        <v>0</v>
      </c>
      <c r="T1144" s="19">
        <f t="shared" si="259"/>
        <v>-157.6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>IFERROR(Tabela1[[#This Row],[QIANTIDADE EXPEDIDA]]*Tabela1[[#This Row],[PESO UNI]],"")</f>
        <v>0</v>
      </c>
      <c r="Y1144" s="14">
        <f t="shared" si="260"/>
        <v>-1</v>
      </c>
      <c r="Z1144" s="20">
        <f>Tabela1[[#This Row],[PESO TOTAL]]-Tabela1[[#This Row],[Peso Expedido]]</f>
        <v>157.6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customHeight="1" x14ac:dyDescent="0.25">
      <c r="A1145" s="1" t="s">
        <v>5556</v>
      </c>
      <c r="B1145" s="21" t="s">
        <v>5557</v>
      </c>
      <c r="C1145" s="1">
        <v>1</v>
      </c>
      <c r="D1145" s="1" t="s">
        <v>5558</v>
      </c>
      <c r="E1145" s="7">
        <v>4783</v>
      </c>
      <c r="F1145" s="7">
        <v>33</v>
      </c>
      <c r="G1145" s="1">
        <v>442.7</v>
      </c>
      <c r="H1145" s="34">
        <f>Tabela1[[#This Row],[PESO UNI]]*Tabela1[[#This Row],[QTE]]</f>
        <v>442.7</v>
      </c>
      <c r="I1145" s="7" t="s">
        <v>5581</v>
      </c>
      <c r="J1145" s="8" t="s">
        <v>4834</v>
      </c>
      <c r="K1145" s="8" t="s">
        <v>4320</v>
      </c>
      <c r="L1145" s="9" t="s">
        <v>3291</v>
      </c>
      <c r="M1145" s="10">
        <v>46266</v>
      </c>
      <c r="N1145" s="8" t="s">
        <v>38</v>
      </c>
      <c r="O1145" s="12"/>
      <c r="P1145" s="13"/>
      <c r="Q1145" s="14">
        <f>Tabela1[[#This Row],[QTDE/ Fabricação]]-Tabela1[[#This Row],[QTE]]</f>
        <v>-1</v>
      </c>
      <c r="R1145" s="18">
        <f t="shared" ref="R1145:R1162" si="261">IFERROR(H1145*((AA1145*0.25)+(AC1145*0.25)+(AD1145*0.225)+(AE1145*0.225)+(AF1145*0.05)),"")</f>
        <v>110.675</v>
      </c>
      <c r="S1145" s="18">
        <f t="shared" ref="S1145:S1162" si="262">IFERROR(H1145*AG1145,"")</f>
        <v>0</v>
      </c>
      <c r="T1145" s="19">
        <f t="shared" ref="T1145:T1162" si="263">IFERROR(S1145-H1145,"")</f>
        <v>-442.7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>IFERROR(Tabela1[[#This Row],[QIANTIDADE EXPEDIDA]]*Tabela1[[#This Row],[PESO UNI]],"")</f>
        <v>0</v>
      </c>
      <c r="Y1145" s="14">
        <f t="shared" ref="Y1145:Y1162" si="264">U1145-C1145</f>
        <v>-1</v>
      </c>
      <c r="Z1145" s="20">
        <f>Tabela1[[#This Row],[PESO TOTAL]]-Tabela1[[#This Row],[Peso Expedido]]</f>
        <v>442.7</v>
      </c>
      <c r="AA1145" s="17">
        <v>1</v>
      </c>
      <c r="AB1145" s="33"/>
      <c r="AC1145" s="33"/>
      <c r="AD1145" s="33"/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customHeight="1" x14ac:dyDescent="0.25">
      <c r="A1146" s="1" t="s">
        <v>5556</v>
      </c>
      <c r="B1146" s="21" t="s">
        <v>5557</v>
      </c>
      <c r="C1146" s="1">
        <v>4</v>
      </c>
      <c r="D1146" s="1" t="s">
        <v>5559</v>
      </c>
      <c r="E1146" s="7">
        <v>4784</v>
      </c>
      <c r="F1146" s="7">
        <v>33</v>
      </c>
      <c r="G1146" s="1">
        <v>3.1</v>
      </c>
      <c r="H1146" s="34">
        <f>Tabela1[[#This Row],[PESO UNI]]*Tabela1[[#This Row],[QTE]]</f>
        <v>12.4</v>
      </c>
      <c r="I1146" s="7" t="s">
        <v>5581</v>
      </c>
      <c r="J1146" s="8" t="s">
        <v>4834</v>
      </c>
      <c r="K1146" s="8" t="s">
        <v>4320</v>
      </c>
      <c r="L1146" s="9" t="s">
        <v>3291</v>
      </c>
      <c r="M1146" s="10">
        <v>46266</v>
      </c>
      <c r="N1146" s="8" t="s">
        <v>38</v>
      </c>
      <c r="O1146" s="12"/>
      <c r="P1146" s="13"/>
      <c r="Q1146" s="14">
        <f>Tabela1[[#This Row],[QTDE/ Fabricação]]-Tabela1[[#This Row],[QTE]]</f>
        <v>-4</v>
      </c>
      <c r="R1146" s="18">
        <f t="shared" si="261"/>
        <v>3.1</v>
      </c>
      <c r="S1146" s="18">
        <f t="shared" si="262"/>
        <v>0</v>
      </c>
      <c r="T1146" s="19">
        <f t="shared" si="263"/>
        <v>-12.4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>IFERROR(Tabela1[[#This Row],[QIANTIDADE EXPEDIDA]]*Tabela1[[#This Row],[PESO UNI]],"")</f>
        <v>0</v>
      </c>
      <c r="Y1146" s="14">
        <f t="shared" si="264"/>
        <v>-4</v>
      </c>
      <c r="Z1146" s="20">
        <f>Tabela1[[#This Row],[PESO TOTAL]]-Tabela1[[#This Row],[Peso Expedido]]</f>
        <v>12.4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customHeight="1" x14ac:dyDescent="0.25">
      <c r="A1147" s="1" t="s">
        <v>5560</v>
      </c>
      <c r="B1147" s="21" t="s">
        <v>5561</v>
      </c>
      <c r="C1147" s="1">
        <v>1</v>
      </c>
      <c r="D1147" s="1" t="s">
        <v>5562</v>
      </c>
      <c r="E1147" s="7">
        <v>4785</v>
      </c>
      <c r="F1147" s="7">
        <v>19</v>
      </c>
      <c r="G1147" s="1">
        <v>675</v>
      </c>
      <c r="H1147" s="34">
        <f>Tabela1[[#This Row],[PESO UNI]]*Tabela1[[#This Row],[QTE]]</f>
        <v>675</v>
      </c>
      <c r="I1147" s="7" t="s">
        <v>5714</v>
      </c>
      <c r="J1147" s="8" t="s">
        <v>4834</v>
      </c>
      <c r="K1147" s="8" t="s">
        <v>4320</v>
      </c>
      <c r="L1147" s="9" t="s">
        <v>3291</v>
      </c>
      <c r="M1147" s="10">
        <v>46252</v>
      </c>
      <c r="N1147" s="8" t="s">
        <v>38</v>
      </c>
      <c r="O1147" s="12"/>
      <c r="P1147" s="13"/>
      <c r="Q1147" s="14">
        <f>Tabela1[[#This Row],[QTDE/ Fabricação]]-Tabela1[[#This Row],[QTE]]</f>
        <v>-1</v>
      </c>
      <c r="R1147" s="18">
        <f t="shared" si="261"/>
        <v>410.0625</v>
      </c>
      <c r="S1147" s="18">
        <f t="shared" si="262"/>
        <v>0</v>
      </c>
      <c r="T1147" s="19">
        <f t="shared" si="263"/>
        <v>-675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>IFERROR(Tabela1[[#This Row],[QIANTIDADE EXPEDIDA]]*Tabela1[[#This Row],[PESO UNI]],"")</f>
        <v>0</v>
      </c>
      <c r="Y1147" s="14">
        <f t="shared" si="264"/>
        <v>-1</v>
      </c>
      <c r="Z1147" s="20">
        <f>Tabela1[[#This Row],[PESO TOTAL]]-Tabela1[[#This Row],[Peso Expedido]]</f>
        <v>675</v>
      </c>
      <c r="AA1147" s="17">
        <v>0.9</v>
      </c>
      <c r="AB1147" s="33"/>
      <c r="AC1147" s="33">
        <v>0.9</v>
      </c>
      <c r="AD1147" s="33">
        <v>0.7</v>
      </c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customHeight="1" x14ac:dyDescent="0.25">
      <c r="A1148" s="1" t="s">
        <v>5563</v>
      </c>
      <c r="B1148" s="21"/>
      <c r="C1148" s="1">
        <v>8</v>
      </c>
      <c r="D1148" s="1" t="s">
        <v>5564</v>
      </c>
      <c r="E1148" s="7">
        <v>4786</v>
      </c>
      <c r="F1148" s="7">
        <v>3</v>
      </c>
      <c r="G1148" s="1">
        <v>0.6</v>
      </c>
      <c r="H1148" s="34">
        <f>Tabela1[[#This Row],[PESO UNI]]*Tabela1[[#This Row],[QTE]]</f>
        <v>4.8</v>
      </c>
      <c r="I1148" s="7">
        <v>0</v>
      </c>
      <c r="J1148" s="8" t="s">
        <v>5529</v>
      </c>
      <c r="K1148" s="8" t="s">
        <v>4320</v>
      </c>
      <c r="L1148" s="9" t="s">
        <v>5530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-8</v>
      </c>
      <c r="R1148" s="18">
        <f t="shared" si="261"/>
        <v>1.2</v>
      </c>
      <c r="S1148" s="18">
        <f t="shared" si="262"/>
        <v>0</v>
      </c>
      <c r="T1148" s="19">
        <f t="shared" si="263"/>
        <v>-4.8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>IFERROR(Tabela1[[#This Row],[QIANTIDADE EXPEDIDA]]*Tabela1[[#This Row],[PESO UNI]],"")</f>
        <v>0</v>
      </c>
      <c r="Y1148" s="14">
        <f t="shared" si="264"/>
        <v>-8</v>
      </c>
      <c r="Z1148" s="20">
        <f>Tabela1[[#This Row],[PESO TOTAL]]-Tabela1[[#This Row],[Peso Expedido]]</f>
        <v>4.8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customHeight="1" x14ac:dyDescent="0.25">
      <c r="A1149" s="1" t="s">
        <v>5563</v>
      </c>
      <c r="B1149" s="21"/>
      <c r="C1149" s="1">
        <v>1</v>
      </c>
      <c r="D1149" s="1" t="s">
        <v>5565</v>
      </c>
      <c r="E1149" s="7">
        <v>4787</v>
      </c>
      <c r="F1149" s="7">
        <v>3</v>
      </c>
      <c r="G1149" s="1">
        <v>14.4</v>
      </c>
      <c r="H1149" s="34">
        <f>Tabela1[[#This Row],[PESO UNI]]*Tabela1[[#This Row],[QTE]]</f>
        <v>14.4</v>
      </c>
      <c r="I1149" s="7">
        <v>0</v>
      </c>
      <c r="J1149" s="8" t="s">
        <v>5529</v>
      </c>
      <c r="K1149" s="8" t="s">
        <v>4320</v>
      </c>
      <c r="L1149" s="9" t="s">
        <v>5530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61"/>
        <v>3.6</v>
      </c>
      <c r="S1149" s="18">
        <f t="shared" si="262"/>
        <v>0</v>
      </c>
      <c r="T1149" s="19">
        <f t="shared" si="263"/>
        <v>-14.4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si="264"/>
        <v>-1</v>
      </c>
      <c r="Z1149" s="20">
        <f>Tabela1[[#This Row],[PESO TOTAL]]-Tabela1[[#This Row],[Peso Expedido]]</f>
        <v>14.4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customHeight="1" x14ac:dyDescent="0.25">
      <c r="A1150" s="1" t="s">
        <v>5563</v>
      </c>
      <c r="B1150" s="21"/>
      <c r="C1150" s="1">
        <v>1</v>
      </c>
      <c r="D1150" s="1" t="s">
        <v>5566</v>
      </c>
      <c r="E1150" s="7">
        <v>4788</v>
      </c>
      <c r="F1150" s="7">
        <v>3</v>
      </c>
      <c r="G1150" s="1">
        <v>14.4</v>
      </c>
      <c r="H1150" s="34">
        <f>Tabela1[[#This Row],[PESO UNI]]*Tabela1[[#This Row],[QTE]]</f>
        <v>14.4</v>
      </c>
      <c r="I1150" s="7">
        <v>0</v>
      </c>
      <c r="J1150" s="8" t="s">
        <v>5529</v>
      </c>
      <c r="K1150" s="8" t="s">
        <v>4320</v>
      </c>
      <c r="L1150" s="9" t="s">
        <v>5530</v>
      </c>
      <c r="M1150" s="10">
        <v>46267</v>
      </c>
      <c r="N1150" s="8" t="s">
        <v>5105</v>
      </c>
      <c r="O1150" s="12"/>
      <c r="P1150" s="13"/>
      <c r="Q1150" s="14">
        <f>Tabela1[[#This Row],[QTDE/ Fabricação]]-Tabela1[[#This Row],[QTE]]</f>
        <v>-1</v>
      </c>
      <c r="R1150" s="18">
        <f t="shared" si="261"/>
        <v>3.6</v>
      </c>
      <c r="S1150" s="18">
        <f t="shared" si="262"/>
        <v>0</v>
      </c>
      <c r="T1150" s="19">
        <f t="shared" si="263"/>
        <v>-14.4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si="264"/>
        <v>-1</v>
      </c>
      <c r="Z1150" s="20">
        <f>Tabela1[[#This Row],[PESO TOTAL]]-Tabela1[[#This Row],[Peso Expedido]]</f>
        <v>14.4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customHeight="1" x14ac:dyDescent="0.25">
      <c r="A1151" s="1" t="s">
        <v>5567</v>
      </c>
      <c r="B1151" s="21"/>
      <c r="C1151" s="1">
        <v>1</v>
      </c>
      <c r="D1151" s="1" t="s">
        <v>5568</v>
      </c>
      <c r="E1151" s="7">
        <v>4789</v>
      </c>
      <c r="F1151" s="7">
        <v>3</v>
      </c>
      <c r="G1151" s="1">
        <v>0.1</v>
      </c>
      <c r="H1151" s="34">
        <f>Tabela1[[#This Row],[PESO UNI]]*Tabela1[[#This Row],[QTE]]</f>
        <v>0.1</v>
      </c>
      <c r="I1151" s="7">
        <v>0</v>
      </c>
      <c r="J1151" s="8" t="s">
        <v>5529</v>
      </c>
      <c r="K1151" s="8" t="s">
        <v>4320</v>
      </c>
      <c r="L1151" s="9" t="s">
        <v>5530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si="261"/>
        <v>2.5000000000000001E-2</v>
      </c>
      <c r="S1151" s="18">
        <f t="shared" si="262"/>
        <v>0</v>
      </c>
      <c r="T1151" s="19">
        <f t="shared" si="263"/>
        <v>-0.1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si="264"/>
        <v>-1</v>
      </c>
      <c r="Z1151" s="20">
        <f>Tabela1[[#This Row],[PESO TOTAL]]-Tabela1[[#This Row],[Peso Expedido]]</f>
        <v>0.1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customHeight="1" x14ac:dyDescent="0.25">
      <c r="A1152" s="1" t="s">
        <v>5567</v>
      </c>
      <c r="B1152" s="21"/>
      <c r="C1152" s="1">
        <v>1</v>
      </c>
      <c r="D1152" s="1" t="s">
        <v>5569</v>
      </c>
      <c r="E1152" s="7">
        <v>4790</v>
      </c>
      <c r="F1152" s="7">
        <v>3</v>
      </c>
      <c r="G1152" s="1">
        <v>0.2</v>
      </c>
      <c r="H1152" s="34">
        <f>Tabela1[[#This Row],[PESO UNI]]*Tabela1[[#This Row],[QTE]]</f>
        <v>0.2</v>
      </c>
      <c r="I1152" s="7">
        <v>0</v>
      </c>
      <c r="J1152" s="8" t="s">
        <v>5529</v>
      </c>
      <c r="K1152" s="8" t="s">
        <v>4320</v>
      </c>
      <c r="L1152" s="9" t="s">
        <v>5530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si="261"/>
        <v>0.05</v>
      </c>
      <c r="S1152" s="18">
        <f t="shared" si="262"/>
        <v>0</v>
      </c>
      <c r="T1152" s="19">
        <f t="shared" si="263"/>
        <v>-0.2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>IFERROR(Tabela1[[#This Row],[QIANTIDADE EXPEDIDA]]*Tabela1[[#This Row],[PESO UNI]],"")</f>
        <v>0</v>
      </c>
      <c r="Y1152" s="14">
        <f t="shared" si="264"/>
        <v>-1</v>
      </c>
      <c r="Z1152" s="20">
        <f>Tabela1[[#This Row],[PESO TOTAL]]-Tabela1[[#This Row],[Peso Expedido]]</f>
        <v>0.2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customHeight="1" x14ac:dyDescent="0.25">
      <c r="A1153" s="1" t="s">
        <v>5567</v>
      </c>
      <c r="B1153" s="21"/>
      <c r="C1153" s="1">
        <v>1</v>
      </c>
      <c r="D1153" s="1" t="s">
        <v>5570</v>
      </c>
      <c r="E1153" s="7">
        <v>4791</v>
      </c>
      <c r="F1153" s="7">
        <v>3</v>
      </c>
      <c r="G1153" s="1">
        <v>4.4000000000000004</v>
      </c>
      <c r="H1153" s="34">
        <f>Tabela1[[#This Row],[PESO UNI]]*Tabela1[[#This Row],[QTE]]</f>
        <v>4.4000000000000004</v>
      </c>
      <c r="I1153" s="7">
        <v>0</v>
      </c>
      <c r="J1153" s="8" t="s">
        <v>5529</v>
      </c>
      <c r="K1153" s="8" t="s">
        <v>4320</v>
      </c>
      <c r="L1153" s="9" t="s">
        <v>5530</v>
      </c>
      <c r="M1153" s="10">
        <v>46267</v>
      </c>
      <c r="N1153" s="8" t="s">
        <v>5105</v>
      </c>
      <c r="O1153" s="12"/>
      <c r="P1153" s="13"/>
      <c r="Q1153" s="14">
        <f>Tabela1[[#This Row],[QTDE/ Fabricação]]-Tabela1[[#This Row],[QTE]]</f>
        <v>-1</v>
      </c>
      <c r="R1153" s="18">
        <f t="shared" si="261"/>
        <v>1.1000000000000001</v>
      </c>
      <c r="S1153" s="18">
        <f t="shared" si="262"/>
        <v>0</v>
      </c>
      <c r="T1153" s="19">
        <f t="shared" si="263"/>
        <v>-4.4000000000000004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>IFERROR(Tabela1[[#This Row],[QIANTIDADE EXPEDIDA]]*Tabela1[[#This Row],[PESO UNI]],"")</f>
        <v>0</v>
      </c>
      <c r="Y1153" s="14">
        <f t="shared" si="264"/>
        <v>-1</v>
      </c>
      <c r="Z1153" s="20">
        <f>Tabela1[[#This Row],[PESO TOTAL]]-Tabela1[[#This Row],[Peso Expedido]]</f>
        <v>4.4000000000000004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customHeight="1" x14ac:dyDescent="0.25">
      <c r="A1154" s="1" t="s">
        <v>5567</v>
      </c>
      <c r="B1154" s="21"/>
      <c r="C1154" s="1">
        <v>1</v>
      </c>
      <c r="D1154" s="1" t="s">
        <v>5571</v>
      </c>
      <c r="E1154" s="7">
        <v>4792</v>
      </c>
      <c r="F1154" s="7">
        <v>3</v>
      </c>
      <c r="G1154" s="1">
        <v>4</v>
      </c>
      <c r="H1154" s="34">
        <f>Tabela1[[#This Row],[PESO UNI]]*Tabela1[[#This Row],[QTE]]</f>
        <v>4</v>
      </c>
      <c r="I1154" s="7">
        <v>0</v>
      </c>
      <c r="J1154" s="8" t="s">
        <v>5529</v>
      </c>
      <c r="K1154" s="8" t="s">
        <v>4320</v>
      </c>
      <c r="L1154" s="9" t="s">
        <v>5530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61"/>
        <v>1</v>
      </c>
      <c r="S1154" s="18">
        <f t="shared" si="262"/>
        <v>0</v>
      </c>
      <c r="T1154" s="19">
        <f t="shared" si="263"/>
        <v>-4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>IFERROR(Tabela1[[#This Row],[QIANTIDADE EXPEDIDA]]*Tabela1[[#This Row],[PESO UNI]],"")</f>
        <v>0</v>
      </c>
      <c r="Y1154" s="14">
        <f t="shared" si="264"/>
        <v>-1</v>
      </c>
      <c r="Z1154" s="20">
        <f>Tabela1[[#This Row],[PESO TOTAL]]-Tabela1[[#This Row],[Peso Expedido]]</f>
        <v>4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customHeight="1" x14ac:dyDescent="0.25">
      <c r="A1155" s="1" t="s">
        <v>5567</v>
      </c>
      <c r="B1155" s="21"/>
      <c r="C1155" s="1">
        <v>1</v>
      </c>
      <c r="D1155" s="1" t="s">
        <v>5572</v>
      </c>
      <c r="E1155" s="7">
        <v>4792</v>
      </c>
      <c r="F1155" s="7">
        <v>3</v>
      </c>
      <c r="G1155" s="1">
        <v>2.9</v>
      </c>
      <c r="H1155" s="34">
        <f>Tabela1[[#This Row],[PESO UNI]]*Tabela1[[#This Row],[QTE]]</f>
        <v>2.9</v>
      </c>
      <c r="I1155" s="7">
        <v>0</v>
      </c>
      <c r="J1155" s="8" t="s">
        <v>5529</v>
      </c>
      <c r="K1155" s="8" t="s">
        <v>4320</v>
      </c>
      <c r="L1155" s="9" t="s">
        <v>5530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61"/>
        <v>0.72499999999999998</v>
      </c>
      <c r="S1155" s="18">
        <f t="shared" si="262"/>
        <v>0</v>
      </c>
      <c r="T1155" s="19">
        <f t="shared" si="263"/>
        <v>-2.9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si="264"/>
        <v>-1</v>
      </c>
      <c r="Z1155" s="20">
        <f>Tabela1[[#This Row],[PESO TOTAL]]-Tabela1[[#This Row],[Peso Expedido]]</f>
        <v>2.9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customHeight="1" x14ac:dyDescent="0.25">
      <c r="A1156" s="1" t="s">
        <v>5567</v>
      </c>
      <c r="B1156" s="21"/>
      <c r="C1156" s="1">
        <v>1</v>
      </c>
      <c r="D1156" s="1" t="s">
        <v>5573</v>
      </c>
      <c r="E1156" s="7">
        <v>4793</v>
      </c>
      <c r="F1156" s="7">
        <v>3</v>
      </c>
      <c r="G1156" s="1">
        <v>2</v>
      </c>
      <c r="H1156" s="34">
        <f>Tabela1[[#This Row],[PESO UNI]]*Tabela1[[#This Row],[QTE]]</f>
        <v>2</v>
      </c>
      <c r="I1156" s="7">
        <v>0</v>
      </c>
      <c r="J1156" s="8" t="s">
        <v>5529</v>
      </c>
      <c r="K1156" s="8" t="s">
        <v>4320</v>
      </c>
      <c r="L1156" s="9" t="s">
        <v>5530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si="261"/>
        <v>0.5</v>
      </c>
      <c r="S1156" s="18">
        <f t="shared" si="262"/>
        <v>0</v>
      </c>
      <c r="T1156" s="19">
        <f t="shared" si="263"/>
        <v>-2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>IFERROR(Tabela1[[#This Row],[QIANTIDADE EXPEDIDA]]*Tabela1[[#This Row],[PESO UNI]],"")</f>
        <v>0</v>
      </c>
      <c r="Y1156" s="14">
        <f t="shared" si="264"/>
        <v>-1</v>
      </c>
      <c r="Z1156" s="20">
        <f>Tabela1[[#This Row],[PESO TOTAL]]-Tabela1[[#This Row],[Peso Expedido]]</f>
        <v>2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customHeight="1" x14ac:dyDescent="0.25">
      <c r="A1157" s="1" t="s">
        <v>5567</v>
      </c>
      <c r="B1157" s="21"/>
      <c r="C1157" s="1">
        <v>1</v>
      </c>
      <c r="D1157" s="1" t="s">
        <v>5574</v>
      </c>
      <c r="E1157" s="7">
        <v>4794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5529</v>
      </c>
      <c r="K1157" s="8" t="s">
        <v>4320</v>
      </c>
      <c r="L1157" s="9" t="s">
        <v>5530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si="261"/>
        <v>0.8</v>
      </c>
      <c r="S1157" s="18">
        <f t="shared" si="262"/>
        <v>0</v>
      </c>
      <c r="T1157" s="19">
        <f t="shared" si="263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si="264"/>
        <v>-1</v>
      </c>
      <c r="Z1157" s="20">
        <f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customHeight="1" x14ac:dyDescent="0.25">
      <c r="A1158" s="1" t="s">
        <v>5567</v>
      </c>
      <c r="B1158" s="21"/>
      <c r="C1158" s="1">
        <v>1</v>
      </c>
      <c r="D1158" s="1" t="s">
        <v>5575</v>
      </c>
      <c r="E1158" s="7">
        <v>4794</v>
      </c>
      <c r="F1158" s="7">
        <v>3</v>
      </c>
      <c r="G1158" s="1">
        <v>3.3</v>
      </c>
      <c r="H1158" s="34">
        <f>Tabela1[[#This Row],[PESO UNI]]*Tabela1[[#This Row],[QTE]]</f>
        <v>3.3</v>
      </c>
      <c r="I1158" s="7">
        <v>0</v>
      </c>
      <c r="J1158" s="8" t="s">
        <v>5529</v>
      </c>
      <c r="K1158" s="8" t="s">
        <v>4320</v>
      </c>
      <c r="L1158" s="9" t="s">
        <v>5530</v>
      </c>
      <c r="M1158" s="10">
        <v>46267</v>
      </c>
      <c r="N1158" s="8" t="s">
        <v>5105</v>
      </c>
      <c r="O1158" s="12"/>
      <c r="P1158" s="13"/>
      <c r="Q1158" s="14">
        <f>Tabela1[[#This Row],[QTDE/ Fabricação]]-Tabela1[[#This Row],[QTE]]</f>
        <v>-1</v>
      </c>
      <c r="R1158" s="18">
        <f t="shared" si="261"/>
        <v>0.82499999999999996</v>
      </c>
      <c r="S1158" s="18">
        <f t="shared" si="262"/>
        <v>0</v>
      </c>
      <c r="T1158" s="19">
        <f t="shared" si="263"/>
        <v>-3.3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si="264"/>
        <v>-1</v>
      </c>
      <c r="Z1158" s="20">
        <f>Tabela1[[#This Row],[PESO TOTAL]]-Tabela1[[#This Row],[Peso Expedido]]</f>
        <v>3.3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customHeight="1" x14ac:dyDescent="0.25">
      <c r="A1159" s="1" t="s">
        <v>5567</v>
      </c>
      <c r="B1159" s="21"/>
      <c r="C1159" s="1">
        <v>1</v>
      </c>
      <c r="D1159" s="1" t="s">
        <v>5576</v>
      </c>
      <c r="E1159" s="7">
        <v>4795</v>
      </c>
      <c r="F1159" s="7">
        <v>3</v>
      </c>
      <c r="G1159" s="1">
        <v>3.2</v>
      </c>
      <c r="H1159" s="34">
        <f>Tabela1[[#This Row],[PESO UNI]]*Tabela1[[#This Row],[QTE]]</f>
        <v>3.2</v>
      </c>
      <c r="I1159" s="7">
        <v>0</v>
      </c>
      <c r="J1159" s="8" t="s">
        <v>5529</v>
      </c>
      <c r="K1159" s="8" t="s">
        <v>4320</v>
      </c>
      <c r="L1159" s="9" t="s">
        <v>5530</v>
      </c>
      <c r="M1159" s="10">
        <v>46267</v>
      </c>
      <c r="N1159" s="8" t="s">
        <v>5105</v>
      </c>
      <c r="O1159" s="12"/>
      <c r="P1159" s="13"/>
      <c r="Q1159" s="14">
        <f>Tabela1[[#This Row],[QTDE/ Fabricação]]-Tabela1[[#This Row],[QTE]]</f>
        <v>-1</v>
      </c>
      <c r="R1159" s="18">
        <f t="shared" si="261"/>
        <v>0.8</v>
      </c>
      <c r="S1159" s="18">
        <f t="shared" si="262"/>
        <v>0</v>
      </c>
      <c r="T1159" s="19">
        <f t="shared" si="263"/>
        <v>-3.2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si="264"/>
        <v>-1</v>
      </c>
      <c r="Z1159" s="20">
        <f>Tabela1[[#This Row],[PESO TOTAL]]-Tabela1[[#This Row],[Peso Expedido]]</f>
        <v>3.2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customHeight="1" x14ac:dyDescent="0.25">
      <c r="A1160" s="1" t="s">
        <v>5577</v>
      </c>
      <c r="B1160" s="21"/>
      <c r="C1160" s="1">
        <v>1</v>
      </c>
      <c r="D1160" s="1" t="s">
        <v>5578</v>
      </c>
      <c r="E1160" s="7">
        <v>4796</v>
      </c>
      <c r="F1160" s="7">
        <v>9</v>
      </c>
      <c r="G1160" s="1">
        <v>208.6</v>
      </c>
      <c r="H1160" s="34">
        <f>Tabela1[[#This Row],[PESO UNI]]*Tabela1[[#This Row],[QTE]]</f>
        <v>208.6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38</v>
      </c>
      <c r="O1160" s="12"/>
      <c r="P1160" s="13"/>
      <c r="Q1160" s="14">
        <f>Tabela1[[#This Row],[QTDE/ Fabricação]]-Tabela1[[#This Row],[QTE]]</f>
        <v>-1</v>
      </c>
      <c r="R1160" s="18">
        <f t="shared" si="261"/>
        <v>52.15</v>
      </c>
      <c r="S1160" s="18">
        <f t="shared" si="262"/>
        <v>0</v>
      </c>
      <c r="T1160" s="19">
        <f t="shared" si="263"/>
        <v>-208.6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si="264"/>
        <v>-1</v>
      </c>
      <c r="Z1160" s="20">
        <f>Tabela1[[#This Row],[PESO TOTAL]]-Tabela1[[#This Row],[Peso Expedido]]</f>
        <v>208.6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customHeight="1" x14ac:dyDescent="0.25">
      <c r="A1161" s="1" t="s">
        <v>5577</v>
      </c>
      <c r="B1161" s="21"/>
      <c r="C1161" s="1">
        <v>1</v>
      </c>
      <c r="D1161" s="1" t="s">
        <v>5579</v>
      </c>
      <c r="E1161" s="7">
        <v>4797</v>
      </c>
      <c r="F1161" s="7">
        <v>9</v>
      </c>
      <c r="G1161" s="1">
        <v>208.6</v>
      </c>
      <c r="H1161" s="34">
        <f>Tabela1[[#This Row],[PESO UNI]]*Tabela1[[#This Row],[QTE]]</f>
        <v>208.6</v>
      </c>
      <c r="I1161" s="7">
        <v>0</v>
      </c>
      <c r="J1161" s="8" t="s">
        <v>5255</v>
      </c>
      <c r="K1161" s="8" t="s">
        <v>4320</v>
      </c>
      <c r="L1161" s="9" t="s">
        <v>5256</v>
      </c>
      <c r="M1161" s="10">
        <v>46267</v>
      </c>
      <c r="N1161" s="8" t="s">
        <v>38</v>
      </c>
      <c r="O1161" s="12"/>
      <c r="P1161" s="13"/>
      <c r="Q1161" s="14">
        <f>Tabela1[[#This Row],[QTDE/ Fabricação]]-Tabela1[[#This Row],[QTE]]</f>
        <v>-1</v>
      </c>
      <c r="R1161" s="18">
        <f t="shared" si="261"/>
        <v>52.15</v>
      </c>
      <c r="S1161" s="18">
        <f t="shared" si="262"/>
        <v>0</v>
      </c>
      <c r="T1161" s="19">
        <f t="shared" si="263"/>
        <v>-208.6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>IFERROR(Tabela1[[#This Row],[QIANTIDADE EXPEDIDA]]*Tabela1[[#This Row],[PESO UNI]],"")</f>
        <v>0</v>
      </c>
      <c r="Y1161" s="14">
        <f t="shared" si="264"/>
        <v>-1</v>
      </c>
      <c r="Z1161" s="20">
        <f>Tabela1[[#This Row],[PESO TOTAL]]-Tabela1[[#This Row],[Peso Expedido]]</f>
        <v>208.6</v>
      </c>
      <c r="AA1161" s="17">
        <v>1</v>
      </c>
      <c r="AB1161" s="33"/>
      <c r="AC1161" s="33"/>
      <c r="AD1161" s="33"/>
      <c r="AE1161" s="33"/>
      <c r="AF1161" s="33"/>
      <c r="AG1161" s="33"/>
      <c r="AH1161" s="33"/>
      <c r="AI1161" s="33"/>
      <c r="AJ1161"/>
      <c r="AK1161"/>
      <c r="AL1161"/>
      <c r="AM1161"/>
      <c r="AN1161"/>
      <c r="AO1161"/>
      <c r="AP1161"/>
      <c r="AQ1161" s="22"/>
      <c r="AR1161" s="24"/>
      <c r="AS1161" s="37"/>
      <c r="AT1161" s="37"/>
      <c r="AU1161" s="37"/>
      <c r="AV1161" s="37"/>
      <c r="AW1161" s="37"/>
    </row>
    <row r="1162" spans="1:49" ht="15.75" customHeight="1" x14ac:dyDescent="0.25">
      <c r="A1162" s="1" t="s">
        <v>5577</v>
      </c>
      <c r="B1162" s="21"/>
      <c r="C1162" s="1">
        <v>1</v>
      </c>
      <c r="D1162" s="1" t="s">
        <v>5580</v>
      </c>
      <c r="E1162" s="7">
        <v>4798</v>
      </c>
      <c r="F1162" s="7">
        <v>9</v>
      </c>
      <c r="G1162" s="1">
        <v>157.6</v>
      </c>
      <c r="H1162" s="34">
        <f>Tabela1[[#This Row],[PESO UNI]]*Tabela1[[#This Row],[QTE]]</f>
        <v>157.6</v>
      </c>
      <c r="I1162" s="7">
        <v>0</v>
      </c>
      <c r="J1162" s="8" t="s">
        <v>5255</v>
      </c>
      <c r="K1162" s="8" t="s">
        <v>4320</v>
      </c>
      <c r="L1162" s="9" t="s">
        <v>5256</v>
      </c>
      <c r="M1162" s="10">
        <v>46267</v>
      </c>
      <c r="N1162" s="8" t="s">
        <v>38</v>
      </c>
      <c r="O1162" s="12"/>
      <c r="P1162" s="13"/>
      <c r="Q1162" s="14">
        <f>Tabela1[[#This Row],[QTDE/ Fabricação]]-Tabela1[[#This Row],[QTE]]</f>
        <v>-1</v>
      </c>
      <c r="R1162" s="18">
        <f t="shared" si="261"/>
        <v>39.4</v>
      </c>
      <c r="S1162" s="18">
        <f t="shared" si="262"/>
        <v>0</v>
      </c>
      <c r="T1162" s="19">
        <f t="shared" si="263"/>
        <v>-157.6</v>
      </c>
      <c r="U1162" s="16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IFERROR(VLOOKUP(Tabela1[[#This Row],[COD.MDE]],'LISTA DE EMBARQUE'!B:M,12,0),"")</f>
        <v/>
      </c>
      <c r="X1162" s="14">
        <f>IFERROR(Tabela1[[#This Row],[QIANTIDADE EXPEDIDA]]*Tabela1[[#This Row],[PESO UNI]],"")</f>
        <v>0</v>
      </c>
      <c r="Y1162" s="14">
        <f t="shared" si="264"/>
        <v>-1</v>
      </c>
      <c r="Z1162" s="20">
        <f>Tabela1[[#This Row],[PESO TOTAL]]-Tabela1[[#This Row],[Peso Expedido]]</f>
        <v>157.6</v>
      </c>
      <c r="AA1162" s="17">
        <v>1</v>
      </c>
      <c r="AB1162" s="33"/>
      <c r="AC1162" s="33"/>
      <c r="AD1162" s="33"/>
      <c r="AE1162" s="33"/>
      <c r="AF1162" s="33"/>
      <c r="AG1162" s="33"/>
      <c r="AH1162" s="33"/>
      <c r="AI1162" s="33"/>
      <c r="AJ1162"/>
      <c r="AK1162"/>
      <c r="AL1162"/>
      <c r="AM1162"/>
      <c r="AN1162"/>
      <c r="AO1162"/>
      <c r="AP1162"/>
      <c r="AQ1162" s="22"/>
      <c r="AR1162" s="24"/>
      <c r="AS1162" s="37"/>
      <c r="AT1162" s="37"/>
      <c r="AU1162" s="37"/>
      <c r="AV1162" s="37"/>
      <c r="AW1162" s="37"/>
    </row>
    <row r="1163" spans="1:49" ht="15.75" customHeight="1" x14ac:dyDescent="0.25">
      <c r="A1163" s="1"/>
      <c r="B1163" s="21"/>
      <c r="C1163" s="1"/>
      <c r="D1163" s="1" t="s">
        <v>5625</v>
      </c>
      <c r="E1163" s="7">
        <v>4844</v>
      </c>
      <c r="F1163" s="7">
        <v>1</v>
      </c>
      <c r="G1163" s="1"/>
      <c r="H1163" s="34"/>
      <c r="I1163" s="7"/>
      <c r="J1163" s="8" t="s">
        <v>5626</v>
      </c>
      <c r="K1163" s="8" t="s">
        <v>5627</v>
      </c>
      <c r="L1163" s="9" t="s">
        <v>5628</v>
      </c>
      <c r="M1163" s="10">
        <v>46262</v>
      </c>
      <c r="N1163" s="8" t="s">
        <v>38</v>
      </c>
      <c r="O1163" s="12"/>
      <c r="P1163" s="13"/>
      <c r="Q1163" s="14">
        <f>Tabela1[[#This Row],[QTDE/ Fabricação]]-Tabela1[[#This Row],[QTE]]</f>
        <v>0</v>
      </c>
      <c r="R1163" s="18">
        <f t="shared" ref="R1163:R1168" si="265">IFERROR(H1163*((AA1163*0.25)+(AC1163*0.25)+(AD1163*0.225)+(AE1163*0.225)+(AF1163*0.05)),"")</f>
        <v>0</v>
      </c>
      <c r="S1163" s="18">
        <f t="shared" ref="S1163:S1168" si="266">IFERROR(H1163*AG1163,"")</f>
        <v>0</v>
      </c>
      <c r="T1163" s="19">
        <f t="shared" ref="T1163:T1168" si="267">IFERROR(S1163-H1163,"")</f>
        <v>0</v>
      </c>
      <c r="U1163" s="16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IFERROR(VLOOKUP(Tabela1[[#This Row],[COD.MDE]],'LISTA DE EMBARQUE'!B:M,12,0),"")</f>
        <v/>
      </c>
      <c r="X1163" s="14">
        <f>IFERROR(Tabela1[[#This Row],[QIANTIDADE EXPEDIDA]]*Tabela1[[#This Row],[PESO UNI]],"")</f>
        <v>0</v>
      </c>
      <c r="Y1163" s="14">
        <f t="shared" ref="Y1163:Y1168" si="268">U1163-C1163</f>
        <v>0</v>
      </c>
      <c r="Z1163" s="20">
        <f>Tabela1[[#This Row],[PESO TOTAL]]-Tabela1[[#This Row],[Peso Expedido]]</f>
        <v>0</v>
      </c>
      <c r="AA1163" s="17"/>
      <c r="AB1163" s="33"/>
      <c r="AC1163" s="33"/>
      <c r="AD1163" s="33"/>
      <c r="AE1163" s="33"/>
      <c r="AF1163" s="33"/>
      <c r="AG1163" s="33"/>
      <c r="AH1163" s="33"/>
      <c r="AI1163" s="33"/>
      <c r="AJ1163"/>
      <c r="AK1163"/>
      <c r="AL1163"/>
      <c r="AM1163"/>
      <c r="AN1163"/>
      <c r="AO1163"/>
      <c r="AP1163"/>
      <c r="AQ1163" s="22"/>
      <c r="AR1163" s="24"/>
      <c r="AS1163" s="37"/>
      <c r="AT1163" s="37"/>
      <c r="AU1163" s="37"/>
      <c r="AV1163" s="37"/>
      <c r="AW1163" s="37"/>
    </row>
    <row r="1164" spans="1:49" ht="15.75" customHeight="1" x14ac:dyDescent="0.25">
      <c r="A1164" s="1" t="s">
        <v>5632</v>
      </c>
      <c r="B1164" s="21" t="s">
        <v>5633</v>
      </c>
      <c r="C1164" s="1">
        <v>1</v>
      </c>
      <c r="D1164" s="1" t="s">
        <v>5634</v>
      </c>
      <c r="E1164" s="7">
        <v>4845</v>
      </c>
      <c r="F1164" s="7">
        <v>66</v>
      </c>
      <c r="G1164" s="1">
        <v>498.4</v>
      </c>
      <c r="H1164" s="34">
        <f>Tabela1[[#This Row],[PESO UNI]]*Tabela1[[#This Row],[QTE]]</f>
        <v>498.4</v>
      </c>
      <c r="I1164" s="7">
        <v>0</v>
      </c>
      <c r="J1164" s="8" t="s">
        <v>3140</v>
      </c>
      <c r="K1164" s="8" t="s">
        <v>4320</v>
      </c>
      <c r="L1164" s="9" t="s">
        <v>2984</v>
      </c>
      <c r="M1164" s="10">
        <v>46273</v>
      </c>
      <c r="N1164" s="8" t="s">
        <v>38</v>
      </c>
      <c r="O1164" s="12"/>
      <c r="P1164" s="13"/>
      <c r="Q1164" s="14">
        <f>Tabela1[[#This Row],[QTDE/ Fabricação]]-Tabela1[[#This Row],[QTE]]</f>
        <v>-1</v>
      </c>
      <c r="R1164" s="18">
        <f t="shared" si="265"/>
        <v>124.6</v>
      </c>
      <c r="S1164" s="18">
        <f t="shared" si="266"/>
        <v>0</v>
      </c>
      <c r="T1164" s="19">
        <f t="shared" si="267"/>
        <v>-498.4</v>
      </c>
      <c r="U1164" s="16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IFERROR(VLOOKUP(Tabela1[[#This Row],[COD.MDE]],'LISTA DE EMBARQUE'!B:M,12,0),"")</f>
        <v/>
      </c>
      <c r="X1164" s="14">
        <f>IFERROR(Tabela1[[#This Row],[QIANTIDADE EXPEDIDA]]*Tabela1[[#This Row],[PESO UNI]],"")</f>
        <v>0</v>
      </c>
      <c r="Y1164" s="14">
        <f t="shared" si="268"/>
        <v>-1</v>
      </c>
      <c r="Z1164" s="20">
        <f>Tabela1[[#This Row],[PESO TOTAL]]-Tabela1[[#This Row],[Peso Expedido]]</f>
        <v>498.4</v>
      </c>
      <c r="AA1164" s="17">
        <v>1</v>
      </c>
      <c r="AB1164" s="33"/>
      <c r="AC1164" s="33"/>
      <c r="AD1164" s="33"/>
      <c r="AE1164" s="33"/>
      <c r="AF1164" s="33"/>
      <c r="AG1164" s="33"/>
      <c r="AH1164" s="33"/>
      <c r="AI1164" s="33"/>
      <c r="AJ1164"/>
      <c r="AK1164"/>
      <c r="AL1164"/>
      <c r="AM1164"/>
      <c r="AN1164"/>
      <c r="AO1164"/>
      <c r="AP1164"/>
      <c r="AQ1164" s="22"/>
      <c r="AR1164" s="24"/>
      <c r="AS1164" s="37"/>
      <c r="AT1164" s="37"/>
      <c r="AU1164" s="37"/>
      <c r="AV1164" s="37"/>
      <c r="AW1164" s="37"/>
    </row>
    <row r="1165" spans="1:49" ht="15.75" customHeight="1" x14ac:dyDescent="0.25">
      <c r="A1165" s="1" t="s">
        <v>5632</v>
      </c>
      <c r="B1165" s="21" t="s">
        <v>5633</v>
      </c>
      <c r="C1165" s="1">
        <v>1</v>
      </c>
      <c r="D1165" s="1" t="s">
        <v>5635</v>
      </c>
      <c r="E1165" s="7">
        <v>4846</v>
      </c>
      <c r="F1165" s="7">
        <v>66</v>
      </c>
      <c r="G1165" s="1">
        <v>287.39999999999998</v>
      </c>
      <c r="H1165" s="34">
        <f>Tabela1[[#This Row],[PESO UNI]]*Tabela1[[#This Row],[QTE]]</f>
        <v>287.39999999999998</v>
      </c>
      <c r="I1165" s="7">
        <v>0</v>
      </c>
      <c r="J1165" s="8" t="s">
        <v>3140</v>
      </c>
      <c r="K1165" s="8" t="s">
        <v>4320</v>
      </c>
      <c r="L1165" s="9" t="s">
        <v>2984</v>
      </c>
      <c r="M1165" s="10">
        <v>46273</v>
      </c>
      <c r="N1165" s="8" t="s">
        <v>38</v>
      </c>
      <c r="O1165" s="12"/>
      <c r="P1165" s="13"/>
      <c r="Q1165" s="14">
        <f>Tabela1[[#This Row],[QTDE/ Fabricação]]-Tabela1[[#This Row],[QTE]]</f>
        <v>-1</v>
      </c>
      <c r="R1165" s="18">
        <f t="shared" si="265"/>
        <v>71.849999999999994</v>
      </c>
      <c r="S1165" s="18">
        <f t="shared" si="266"/>
        <v>0</v>
      </c>
      <c r="T1165" s="19">
        <f t="shared" si="267"/>
        <v>-287.39999999999998</v>
      </c>
      <c r="U1165" s="16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IFERROR(VLOOKUP(Tabela1[[#This Row],[COD.MDE]],'LISTA DE EMBARQUE'!B:M,12,0),"")</f>
        <v/>
      </c>
      <c r="X1165" s="14">
        <f>IFERROR(Tabela1[[#This Row],[QIANTIDADE EXPEDIDA]]*Tabela1[[#This Row],[PESO UNI]],"")</f>
        <v>0</v>
      </c>
      <c r="Y1165" s="14">
        <f t="shared" si="268"/>
        <v>-1</v>
      </c>
      <c r="Z1165" s="20">
        <f>Tabela1[[#This Row],[PESO TOTAL]]-Tabela1[[#This Row],[Peso Expedido]]</f>
        <v>287.39999999999998</v>
      </c>
      <c r="AA1165" s="17">
        <v>1</v>
      </c>
      <c r="AB1165" s="33"/>
      <c r="AC1165" s="33"/>
      <c r="AD1165" s="33"/>
      <c r="AE1165" s="33"/>
      <c r="AF1165" s="33"/>
      <c r="AG1165" s="33"/>
      <c r="AH1165" s="33"/>
      <c r="AI1165" s="33"/>
      <c r="AJ1165"/>
      <c r="AK1165"/>
      <c r="AL1165"/>
      <c r="AM1165"/>
      <c r="AN1165"/>
      <c r="AO1165"/>
      <c r="AP1165"/>
      <c r="AQ1165" s="22"/>
      <c r="AR1165" s="24"/>
      <c r="AS1165" s="37"/>
      <c r="AT1165" s="37"/>
      <c r="AU1165" s="37"/>
      <c r="AV1165" s="37"/>
      <c r="AW1165" s="37"/>
    </row>
    <row r="1166" spans="1:49" ht="15.75" customHeight="1" x14ac:dyDescent="0.25">
      <c r="A1166" s="1" t="s">
        <v>5632</v>
      </c>
      <c r="B1166" s="21" t="s">
        <v>5633</v>
      </c>
      <c r="C1166" s="1">
        <v>1</v>
      </c>
      <c r="D1166" s="1" t="s">
        <v>5636</v>
      </c>
      <c r="E1166" s="7">
        <v>4847</v>
      </c>
      <c r="F1166" s="7">
        <v>66</v>
      </c>
      <c r="G1166" s="1">
        <v>190</v>
      </c>
      <c r="H1166" s="34">
        <f>Tabela1[[#This Row],[PESO UNI]]*Tabela1[[#This Row],[QTE]]</f>
        <v>190</v>
      </c>
      <c r="I1166" s="7">
        <v>0</v>
      </c>
      <c r="J1166" s="8" t="s">
        <v>3140</v>
      </c>
      <c r="K1166" s="8" t="s">
        <v>4320</v>
      </c>
      <c r="L1166" s="9" t="s">
        <v>2984</v>
      </c>
      <c r="M1166" s="10">
        <v>46273</v>
      </c>
      <c r="N1166" s="8" t="s">
        <v>38</v>
      </c>
      <c r="O1166" s="12"/>
      <c r="P1166" s="13"/>
      <c r="Q1166" s="14">
        <f>Tabela1[[#This Row],[QTDE/ Fabricação]]-Tabela1[[#This Row],[QTE]]</f>
        <v>-1</v>
      </c>
      <c r="R1166" s="18">
        <f t="shared" si="265"/>
        <v>47.5</v>
      </c>
      <c r="S1166" s="18">
        <f t="shared" si="266"/>
        <v>0</v>
      </c>
      <c r="T1166" s="19">
        <f t="shared" si="267"/>
        <v>-190</v>
      </c>
      <c r="U1166" s="16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IFERROR(VLOOKUP(Tabela1[[#This Row],[COD.MDE]],'LISTA DE EMBARQUE'!B:M,12,0),"")</f>
        <v/>
      </c>
      <c r="X1166" s="14">
        <f>IFERROR(Tabela1[[#This Row],[QIANTIDADE EXPEDIDA]]*Tabela1[[#This Row],[PESO UNI]],"")</f>
        <v>0</v>
      </c>
      <c r="Y1166" s="14">
        <f t="shared" si="268"/>
        <v>-1</v>
      </c>
      <c r="Z1166" s="20">
        <f>Tabela1[[#This Row],[PESO TOTAL]]-Tabela1[[#This Row],[Peso Expedido]]</f>
        <v>190</v>
      </c>
      <c r="AA1166" s="17">
        <v>1</v>
      </c>
      <c r="AB1166" s="33"/>
      <c r="AC1166" s="33"/>
      <c r="AD1166" s="33"/>
      <c r="AE1166" s="33"/>
      <c r="AF1166" s="33"/>
      <c r="AG1166" s="33"/>
      <c r="AH1166" s="33"/>
      <c r="AI1166" s="33"/>
      <c r="AJ1166"/>
      <c r="AK1166"/>
      <c r="AL1166"/>
      <c r="AM1166"/>
      <c r="AN1166"/>
      <c r="AO1166"/>
      <c r="AP1166"/>
      <c r="AQ1166" s="22"/>
      <c r="AR1166" s="24"/>
      <c r="AS1166" s="37"/>
      <c r="AT1166" s="37"/>
      <c r="AU1166" s="37"/>
      <c r="AV1166" s="37"/>
      <c r="AW1166" s="37"/>
    </row>
    <row r="1167" spans="1:49" ht="15.75" customHeight="1" x14ac:dyDescent="0.25">
      <c r="A1167" s="1" t="s">
        <v>5632</v>
      </c>
      <c r="B1167" s="21" t="s">
        <v>5633</v>
      </c>
      <c r="C1167" s="1">
        <v>1</v>
      </c>
      <c r="D1167" s="1" t="s">
        <v>5637</v>
      </c>
      <c r="E1167" s="7">
        <v>4848</v>
      </c>
      <c r="F1167" s="7">
        <v>66</v>
      </c>
      <c r="G1167" s="1">
        <v>14.5</v>
      </c>
      <c r="H1167" s="34">
        <f>Tabela1[[#This Row],[PESO UNI]]*Tabela1[[#This Row],[QTE]]</f>
        <v>14.5</v>
      </c>
      <c r="I1167" s="7">
        <v>0</v>
      </c>
      <c r="J1167" s="8" t="s">
        <v>3140</v>
      </c>
      <c r="K1167" s="8" t="s">
        <v>4320</v>
      </c>
      <c r="L1167" s="9" t="s">
        <v>2984</v>
      </c>
      <c r="M1167" s="10">
        <v>46273</v>
      </c>
      <c r="N1167" s="8" t="s">
        <v>38</v>
      </c>
      <c r="O1167" s="12"/>
      <c r="P1167" s="13"/>
      <c r="Q1167" s="14">
        <f>Tabela1[[#This Row],[QTDE/ Fabricação]]-Tabela1[[#This Row],[QTE]]</f>
        <v>-1</v>
      </c>
      <c r="R1167" s="18">
        <f t="shared" si="265"/>
        <v>3.625</v>
      </c>
      <c r="S1167" s="18">
        <f t="shared" si="266"/>
        <v>0</v>
      </c>
      <c r="T1167" s="19">
        <f t="shared" si="267"/>
        <v>-14.5</v>
      </c>
      <c r="U1167" s="16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IFERROR(VLOOKUP(Tabela1[[#This Row],[COD.MDE]],'LISTA DE EMBARQUE'!B:M,12,0),"")</f>
        <v/>
      </c>
      <c r="X1167" s="14">
        <f>IFERROR(Tabela1[[#This Row],[QIANTIDADE EXPEDIDA]]*Tabela1[[#This Row],[PESO UNI]],"")</f>
        <v>0</v>
      </c>
      <c r="Y1167" s="14">
        <f t="shared" si="268"/>
        <v>-1</v>
      </c>
      <c r="Z1167" s="20">
        <f>Tabela1[[#This Row],[PESO TOTAL]]-Tabela1[[#This Row],[Peso Expedido]]</f>
        <v>14.5</v>
      </c>
      <c r="AA1167" s="17">
        <v>1</v>
      </c>
      <c r="AB1167" s="33"/>
      <c r="AC1167" s="33"/>
      <c r="AD1167" s="33"/>
      <c r="AE1167" s="33"/>
      <c r="AF1167" s="33"/>
      <c r="AG1167" s="33"/>
      <c r="AH1167" s="33"/>
      <c r="AI1167" s="33"/>
      <c r="AJ1167"/>
      <c r="AK1167"/>
      <c r="AL1167"/>
      <c r="AM1167"/>
      <c r="AN1167"/>
      <c r="AO1167"/>
      <c r="AP1167"/>
      <c r="AQ1167" s="22"/>
      <c r="AR1167" s="24"/>
      <c r="AS1167" s="37"/>
      <c r="AT1167" s="37"/>
      <c r="AU1167" s="37"/>
      <c r="AV1167" s="37"/>
      <c r="AW1167" s="37"/>
    </row>
    <row r="1168" spans="1:49" ht="15.75" customHeight="1" x14ac:dyDescent="0.25">
      <c r="A1168" s="1" t="s">
        <v>5638</v>
      </c>
      <c r="B1168" s="21" t="s">
        <v>5639</v>
      </c>
      <c r="C1168" s="1">
        <v>1</v>
      </c>
      <c r="D1168" s="1" t="s">
        <v>5640</v>
      </c>
      <c r="E1168" s="7">
        <v>4849</v>
      </c>
      <c r="F1168" s="7">
        <v>67</v>
      </c>
      <c r="G1168" s="1">
        <v>106.3</v>
      </c>
      <c r="H1168" s="34">
        <f>Tabela1[[#This Row],[PESO UNI]]*Tabela1[[#This Row],[QTE]]</f>
        <v>106.3</v>
      </c>
      <c r="I1168" s="7">
        <v>0</v>
      </c>
      <c r="J1168" s="8" t="s">
        <v>3140</v>
      </c>
      <c r="K1168" s="8" t="s">
        <v>4320</v>
      </c>
      <c r="L1168" s="9" t="s">
        <v>2984</v>
      </c>
      <c r="M1168" s="10">
        <v>46274</v>
      </c>
      <c r="N1168" s="8" t="s">
        <v>5105</v>
      </c>
      <c r="O1168" s="12"/>
      <c r="P1168" s="13"/>
      <c r="Q1168" s="14">
        <f>Tabela1[[#This Row],[QTDE/ Fabricação]]-Tabela1[[#This Row],[QTE]]</f>
        <v>-1</v>
      </c>
      <c r="R1168" s="18">
        <f t="shared" si="265"/>
        <v>26.574999999999999</v>
      </c>
      <c r="S1168" s="18">
        <f t="shared" si="266"/>
        <v>0</v>
      </c>
      <c r="T1168" s="19">
        <f t="shared" si="267"/>
        <v>-106.3</v>
      </c>
      <c r="U1168" s="16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IFERROR(VLOOKUP(Tabela1[[#This Row],[COD.MDE]],'LISTA DE EMBARQUE'!B:M,12,0),"")</f>
        <v/>
      </c>
      <c r="X1168" s="14">
        <f>IFERROR(Tabela1[[#This Row],[QIANTIDADE EXPEDIDA]]*Tabela1[[#This Row],[PESO UNI]],"")</f>
        <v>0</v>
      </c>
      <c r="Y1168" s="14">
        <f t="shared" si="268"/>
        <v>-1</v>
      </c>
      <c r="Z1168" s="20">
        <f>Tabela1[[#This Row],[PESO TOTAL]]-Tabela1[[#This Row],[Peso Expedido]]</f>
        <v>106.3</v>
      </c>
      <c r="AA1168" s="17">
        <v>1</v>
      </c>
      <c r="AB1168" s="33"/>
      <c r="AC1168" s="33"/>
      <c r="AD1168" s="33"/>
      <c r="AE1168" s="33"/>
      <c r="AF1168" s="33"/>
      <c r="AG1168" s="33"/>
      <c r="AH1168" s="33"/>
      <c r="AI1168" s="33"/>
      <c r="AJ1168"/>
      <c r="AK1168"/>
      <c r="AL1168"/>
      <c r="AM1168"/>
      <c r="AN1168"/>
      <c r="AO1168"/>
      <c r="AP1168"/>
      <c r="AQ1168" s="22"/>
      <c r="AR1168" s="24"/>
      <c r="AS1168" s="37"/>
      <c r="AT1168" s="37"/>
      <c r="AU1168" s="37"/>
      <c r="AV1168" s="37"/>
      <c r="AW1168" s="37"/>
    </row>
    <row r="1169" spans="1:49" ht="15.75" customHeight="1" x14ac:dyDescent="0.25">
      <c r="A1169" s="1" t="s">
        <v>5638</v>
      </c>
      <c r="B1169" s="21" t="s">
        <v>5639</v>
      </c>
      <c r="C1169" s="1">
        <v>1</v>
      </c>
      <c r="D1169" s="1" t="s">
        <v>5641</v>
      </c>
      <c r="E1169" s="7">
        <v>4850</v>
      </c>
      <c r="F1169" s="7">
        <v>67</v>
      </c>
      <c r="G1169" s="1">
        <v>105.5</v>
      </c>
      <c r="H1169" s="34">
        <f>Tabela1[[#This Row],[PESO UNI]]*Tabela1[[#This Row],[QTE]]</f>
        <v>105.5</v>
      </c>
      <c r="I1169" s="7">
        <v>0</v>
      </c>
      <c r="J1169" s="8" t="s">
        <v>3140</v>
      </c>
      <c r="K1169" s="8" t="s">
        <v>4320</v>
      </c>
      <c r="L1169" s="9" t="s">
        <v>2984</v>
      </c>
      <c r="M1169" s="10">
        <v>46274</v>
      </c>
      <c r="N1169" s="8" t="s">
        <v>5105</v>
      </c>
      <c r="O1169" s="12"/>
      <c r="P1169" s="13"/>
      <c r="Q1169" s="14">
        <f>Tabela1[[#This Row],[QTDE/ Fabricação]]-Tabela1[[#This Row],[QTE]]</f>
        <v>-1</v>
      </c>
      <c r="R1169" s="18">
        <f t="shared" ref="R1169:R1179" si="269">IFERROR(H1169*((AA1169*0.25)+(AC1169*0.25)+(AD1169*0.225)+(AE1169*0.225)+(AF1169*0.05)),"")</f>
        <v>26.375</v>
      </c>
      <c r="S1169" s="18">
        <f t="shared" ref="S1169:S1179" si="270">IFERROR(H1169*AG1169,"")</f>
        <v>0</v>
      </c>
      <c r="T1169" s="19">
        <f t="shared" ref="T1169:T1179" si="271">IFERROR(S1169-H1169,"")</f>
        <v>-105.5</v>
      </c>
      <c r="U1169" s="16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IFERROR(VLOOKUP(Tabela1[[#This Row],[COD.MDE]],'LISTA DE EMBARQUE'!B:M,12,0),"")</f>
        <v/>
      </c>
      <c r="X1169" s="14">
        <f>IFERROR(Tabela1[[#This Row],[QIANTIDADE EXPEDIDA]]*Tabela1[[#This Row],[PESO UNI]],"")</f>
        <v>0</v>
      </c>
      <c r="Y1169" s="14">
        <f t="shared" ref="Y1169:Y1179" si="272">U1169-C1169</f>
        <v>-1</v>
      </c>
      <c r="Z1169" s="20">
        <f>Tabela1[[#This Row],[PESO TOTAL]]-Tabela1[[#This Row],[Peso Expedido]]</f>
        <v>105.5</v>
      </c>
      <c r="AA1169" s="17">
        <v>1</v>
      </c>
      <c r="AB1169" s="33"/>
      <c r="AC1169" s="33"/>
      <c r="AD1169" s="33"/>
      <c r="AE1169" s="33"/>
      <c r="AF1169" s="33"/>
      <c r="AG1169" s="33"/>
      <c r="AH1169" s="33"/>
      <c r="AI1169" s="33"/>
      <c r="AJ1169"/>
      <c r="AK1169"/>
      <c r="AL1169"/>
      <c r="AM1169"/>
      <c r="AN1169"/>
      <c r="AO1169"/>
      <c r="AP1169"/>
      <c r="AQ1169" s="22"/>
      <c r="AR1169" s="24"/>
      <c r="AS1169" s="37"/>
      <c r="AT1169" s="37"/>
      <c r="AU1169" s="37"/>
      <c r="AV1169" s="37"/>
      <c r="AW1169" s="37"/>
    </row>
    <row r="1170" spans="1:49" ht="15.75" customHeight="1" x14ac:dyDescent="0.25">
      <c r="A1170" s="1" t="s">
        <v>5644</v>
      </c>
      <c r="B1170" s="21" t="s">
        <v>5645</v>
      </c>
      <c r="C1170" s="1">
        <v>6</v>
      </c>
      <c r="D1170" s="1" t="s">
        <v>5646</v>
      </c>
      <c r="E1170" s="7">
        <v>4851</v>
      </c>
      <c r="F1170" s="7">
        <v>68</v>
      </c>
      <c r="G1170" s="1">
        <v>1.1000000000000001</v>
      </c>
      <c r="H1170" s="34">
        <f>Tabela1[[#This Row],[PESO UNI]]*Tabela1[[#This Row],[QTE]]</f>
        <v>6.6000000000000005</v>
      </c>
      <c r="I1170" s="7">
        <v>0</v>
      </c>
      <c r="J1170" s="8" t="s">
        <v>3140</v>
      </c>
      <c r="K1170" s="8" t="s">
        <v>4320</v>
      </c>
      <c r="L1170" s="9" t="s">
        <v>2984</v>
      </c>
      <c r="M1170" s="10">
        <v>46274</v>
      </c>
      <c r="N1170" s="8" t="s">
        <v>5105</v>
      </c>
      <c r="O1170" s="12"/>
      <c r="P1170" s="13"/>
      <c r="Q1170" s="14">
        <f>Tabela1[[#This Row],[QTDE/ Fabricação]]-Tabela1[[#This Row],[QTE]]</f>
        <v>-6</v>
      </c>
      <c r="R1170" s="18">
        <f t="shared" si="269"/>
        <v>1.6500000000000001</v>
      </c>
      <c r="S1170" s="18">
        <f t="shared" si="270"/>
        <v>0</v>
      </c>
      <c r="T1170" s="19">
        <f t="shared" si="271"/>
        <v>-6.6000000000000005</v>
      </c>
      <c r="U1170" s="16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IFERROR(VLOOKUP(Tabela1[[#This Row],[COD.MDE]],'LISTA DE EMBARQUE'!B:M,12,0),"")</f>
        <v/>
      </c>
      <c r="X1170" s="14">
        <f>IFERROR(Tabela1[[#This Row],[QIANTIDADE EXPEDIDA]]*Tabela1[[#This Row],[PESO UNI]],"")</f>
        <v>0</v>
      </c>
      <c r="Y1170" s="14">
        <f t="shared" si="272"/>
        <v>-6</v>
      </c>
      <c r="Z1170" s="20">
        <f>Tabela1[[#This Row],[PESO TOTAL]]-Tabela1[[#This Row],[Peso Expedido]]</f>
        <v>6.6000000000000005</v>
      </c>
      <c r="AA1170" s="17">
        <v>1</v>
      </c>
      <c r="AB1170" s="33"/>
      <c r="AC1170" s="33"/>
      <c r="AD1170" s="33"/>
      <c r="AE1170" s="33"/>
      <c r="AF1170" s="33"/>
      <c r="AG1170" s="33"/>
      <c r="AH1170" s="33"/>
      <c r="AI1170" s="33"/>
      <c r="AJ1170"/>
      <c r="AK1170"/>
      <c r="AL1170"/>
      <c r="AM1170"/>
      <c r="AN1170"/>
      <c r="AO1170"/>
      <c r="AP1170"/>
      <c r="AQ1170" s="22"/>
      <c r="AR1170" s="24"/>
      <c r="AS1170" s="37"/>
      <c r="AT1170" s="37"/>
      <c r="AU1170" s="37"/>
      <c r="AV1170" s="37"/>
      <c r="AW1170" s="37"/>
    </row>
    <row r="1171" spans="1:49" ht="15.75" customHeight="1" x14ac:dyDescent="0.25">
      <c r="A1171" s="1" t="s">
        <v>5644</v>
      </c>
      <c r="B1171" s="21" t="s">
        <v>5645</v>
      </c>
      <c r="C1171" s="1">
        <v>6</v>
      </c>
      <c r="D1171" s="1" t="s">
        <v>5647</v>
      </c>
      <c r="E1171" s="7">
        <v>4852</v>
      </c>
      <c r="F1171" s="7">
        <v>68</v>
      </c>
      <c r="G1171" s="1">
        <v>8.1999999999999993</v>
      </c>
      <c r="H1171" s="34">
        <f>Tabela1[[#This Row],[PESO UNI]]*Tabela1[[#This Row],[QTE]]</f>
        <v>49.199999999999996</v>
      </c>
      <c r="I1171" s="7">
        <v>0</v>
      </c>
      <c r="J1171" s="8" t="s">
        <v>3140</v>
      </c>
      <c r="K1171" s="8" t="s">
        <v>4320</v>
      </c>
      <c r="L1171" s="9" t="s">
        <v>2984</v>
      </c>
      <c r="M1171" s="10">
        <v>46274</v>
      </c>
      <c r="N1171" s="8" t="s">
        <v>5105</v>
      </c>
      <c r="O1171" s="12"/>
      <c r="P1171" s="13"/>
      <c r="Q1171" s="14">
        <f>Tabela1[[#This Row],[QTDE/ Fabricação]]-Tabela1[[#This Row],[QTE]]</f>
        <v>-6</v>
      </c>
      <c r="R1171" s="18">
        <f t="shared" si="269"/>
        <v>12.299999999999999</v>
      </c>
      <c r="S1171" s="18">
        <f t="shared" si="270"/>
        <v>0</v>
      </c>
      <c r="T1171" s="19">
        <f t="shared" si="271"/>
        <v>-49.199999999999996</v>
      </c>
      <c r="U1171" s="16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IFERROR(VLOOKUP(Tabela1[[#This Row],[COD.MDE]],'LISTA DE EMBARQUE'!B:M,12,0),"")</f>
        <v/>
      </c>
      <c r="X1171" s="14">
        <f>IFERROR(Tabela1[[#This Row],[QIANTIDADE EXPEDIDA]]*Tabela1[[#This Row],[PESO UNI]],"")</f>
        <v>0</v>
      </c>
      <c r="Y1171" s="14">
        <f t="shared" si="272"/>
        <v>-6</v>
      </c>
      <c r="Z1171" s="20">
        <f>Tabela1[[#This Row],[PESO TOTAL]]-Tabela1[[#This Row],[Peso Expedido]]</f>
        <v>49.199999999999996</v>
      </c>
      <c r="AA1171" s="17">
        <v>1</v>
      </c>
      <c r="AB1171" s="33"/>
      <c r="AC1171" s="33"/>
      <c r="AD1171" s="33"/>
      <c r="AE1171" s="33"/>
      <c r="AF1171" s="33"/>
      <c r="AG1171" s="33"/>
      <c r="AH1171" s="33"/>
      <c r="AI1171" s="33"/>
      <c r="AJ1171"/>
      <c r="AK1171"/>
      <c r="AL1171"/>
      <c r="AM1171"/>
      <c r="AN1171"/>
      <c r="AO1171"/>
      <c r="AP1171"/>
      <c r="AQ1171" s="22"/>
      <c r="AR1171" s="24"/>
      <c r="AS1171" s="37"/>
      <c r="AT1171" s="37"/>
      <c r="AU1171" s="37"/>
      <c r="AV1171" s="37"/>
      <c r="AW1171" s="37"/>
    </row>
    <row r="1172" spans="1:49" ht="15.75" customHeight="1" x14ac:dyDescent="0.25">
      <c r="A1172" s="1" t="s">
        <v>5644</v>
      </c>
      <c r="B1172" s="21" t="s">
        <v>5645</v>
      </c>
      <c r="C1172" s="1">
        <v>4</v>
      </c>
      <c r="D1172" s="1" t="s">
        <v>5648</v>
      </c>
      <c r="E1172" s="7">
        <v>4853</v>
      </c>
      <c r="F1172" s="7">
        <v>68</v>
      </c>
      <c r="G1172" s="1">
        <v>50.9</v>
      </c>
      <c r="H1172" s="34">
        <f>Tabela1[[#This Row],[PESO UNI]]*Tabela1[[#This Row],[QTE]]</f>
        <v>203.6</v>
      </c>
      <c r="I1172" s="7">
        <v>0</v>
      </c>
      <c r="J1172" s="8" t="s">
        <v>3140</v>
      </c>
      <c r="K1172" s="8" t="s">
        <v>4320</v>
      </c>
      <c r="L1172" s="9" t="s">
        <v>2984</v>
      </c>
      <c r="M1172" s="10">
        <v>46274</v>
      </c>
      <c r="N1172" s="8" t="s">
        <v>5105</v>
      </c>
      <c r="O1172" s="12"/>
      <c r="P1172" s="13"/>
      <c r="Q1172" s="14">
        <f>Tabela1[[#This Row],[QTDE/ Fabricação]]-Tabela1[[#This Row],[QTE]]</f>
        <v>-4</v>
      </c>
      <c r="R1172" s="18">
        <f t="shared" si="269"/>
        <v>50.9</v>
      </c>
      <c r="S1172" s="18">
        <f t="shared" si="270"/>
        <v>0</v>
      </c>
      <c r="T1172" s="19">
        <f t="shared" si="271"/>
        <v>-203.6</v>
      </c>
      <c r="U1172" s="16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IFERROR(VLOOKUP(Tabela1[[#This Row],[COD.MDE]],'LISTA DE EMBARQUE'!B:M,12,0),"")</f>
        <v/>
      </c>
      <c r="X1172" s="14">
        <f>IFERROR(Tabela1[[#This Row],[QIANTIDADE EXPEDIDA]]*Tabela1[[#This Row],[PESO UNI]],"")</f>
        <v>0</v>
      </c>
      <c r="Y1172" s="14">
        <f t="shared" si="272"/>
        <v>-4</v>
      </c>
      <c r="Z1172" s="20">
        <f>Tabela1[[#This Row],[PESO TOTAL]]-Tabela1[[#This Row],[Peso Expedido]]</f>
        <v>203.6</v>
      </c>
      <c r="AA1172" s="17">
        <v>1</v>
      </c>
      <c r="AB1172" s="33"/>
      <c r="AC1172" s="33"/>
      <c r="AD1172" s="33"/>
      <c r="AE1172" s="33"/>
      <c r="AF1172" s="33"/>
      <c r="AG1172" s="33"/>
      <c r="AH1172" s="33"/>
      <c r="AI1172" s="33"/>
      <c r="AJ1172"/>
      <c r="AK1172"/>
      <c r="AL1172"/>
      <c r="AM1172"/>
      <c r="AN1172"/>
      <c r="AO1172"/>
      <c r="AP1172"/>
      <c r="AQ1172" s="22"/>
      <c r="AR1172" s="24"/>
      <c r="AS1172" s="37"/>
      <c r="AT1172" s="37"/>
      <c r="AU1172" s="37"/>
      <c r="AV1172" s="37"/>
      <c r="AW1172" s="37"/>
    </row>
    <row r="1173" spans="1:49" ht="15.75" customHeight="1" x14ac:dyDescent="0.25">
      <c r="A1173" s="1" t="s">
        <v>5644</v>
      </c>
      <c r="B1173" s="21" t="s">
        <v>5645</v>
      </c>
      <c r="C1173" s="1">
        <v>4</v>
      </c>
      <c r="D1173" s="1" t="s">
        <v>5649</v>
      </c>
      <c r="E1173" s="7">
        <v>4854</v>
      </c>
      <c r="F1173" s="7">
        <v>68</v>
      </c>
      <c r="G1173" s="1">
        <v>4.2</v>
      </c>
      <c r="H1173" s="34">
        <f>Tabela1[[#This Row],[PESO UNI]]*Tabela1[[#This Row],[QTE]]</f>
        <v>16.8</v>
      </c>
      <c r="I1173" s="7">
        <v>0</v>
      </c>
      <c r="J1173" s="8" t="s">
        <v>3140</v>
      </c>
      <c r="K1173" s="8" t="s">
        <v>4320</v>
      </c>
      <c r="L1173" s="9" t="s">
        <v>2984</v>
      </c>
      <c r="M1173" s="10">
        <v>46274</v>
      </c>
      <c r="N1173" s="8" t="s">
        <v>5105</v>
      </c>
      <c r="O1173" s="12"/>
      <c r="P1173" s="13"/>
      <c r="Q1173" s="14">
        <f>Tabela1[[#This Row],[QTDE/ Fabricação]]-Tabela1[[#This Row],[QTE]]</f>
        <v>-4</v>
      </c>
      <c r="R1173" s="18">
        <f t="shared" si="269"/>
        <v>4.2</v>
      </c>
      <c r="S1173" s="18">
        <f t="shared" si="270"/>
        <v>0</v>
      </c>
      <c r="T1173" s="19">
        <f t="shared" si="271"/>
        <v>-16.8</v>
      </c>
      <c r="U1173" s="16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IFERROR(VLOOKUP(Tabela1[[#This Row],[COD.MDE]],'LISTA DE EMBARQUE'!B:M,12,0),"")</f>
        <v/>
      </c>
      <c r="X1173" s="14">
        <f>IFERROR(Tabela1[[#This Row],[QIANTIDADE EXPEDIDA]]*Tabela1[[#This Row],[PESO UNI]],"")</f>
        <v>0</v>
      </c>
      <c r="Y1173" s="14">
        <f t="shared" si="272"/>
        <v>-4</v>
      </c>
      <c r="Z1173" s="20">
        <f>Tabela1[[#This Row],[PESO TOTAL]]-Tabela1[[#This Row],[Peso Expedido]]</f>
        <v>16.8</v>
      </c>
      <c r="AA1173" s="17">
        <v>1</v>
      </c>
      <c r="AB1173" s="33"/>
      <c r="AC1173" s="33"/>
      <c r="AD1173" s="33"/>
      <c r="AE1173" s="33"/>
      <c r="AF1173" s="33"/>
      <c r="AG1173" s="33"/>
      <c r="AH1173" s="33"/>
      <c r="AI1173" s="33"/>
      <c r="AJ1173"/>
      <c r="AK1173"/>
      <c r="AL1173"/>
      <c r="AM1173"/>
      <c r="AN1173"/>
      <c r="AO1173"/>
      <c r="AP1173"/>
      <c r="AQ1173" s="22"/>
      <c r="AR1173" s="24"/>
      <c r="AS1173" s="37"/>
      <c r="AT1173" s="37"/>
      <c r="AU1173" s="37"/>
      <c r="AV1173" s="37"/>
      <c r="AW1173" s="37"/>
    </row>
    <row r="1174" spans="1:49" ht="15.75" customHeight="1" x14ac:dyDescent="0.25">
      <c r="A1174" s="1" t="s">
        <v>5644</v>
      </c>
      <c r="B1174" s="21" t="s">
        <v>5645</v>
      </c>
      <c r="C1174" s="1">
        <v>4</v>
      </c>
      <c r="D1174" s="1" t="s">
        <v>5650</v>
      </c>
      <c r="E1174" s="7">
        <v>4855</v>
      </c>
      <c r="F1174" s="7">
        <v>68</v>
      </c>
      <c r="G1174" s="1">
        <v>3.8</v>
      </c>
      <c r="H1174" s="34">
        <f>Tabela1[[#This Row],[PESO UNI]]*Tabela1[[#This Row],[QTE]]</f>
        <v>15.2</v>
      </c>
      <c r="I1174" s="7">
        <v>0</v>
      </c>
      <c r="J1174" s="8" t="s">
        <v>3140</v>
      </c>
      <c r="K1174" s="8" t="s">
        <v>4320</v>
      </c>
      <c r="L1174" s="9" t="s">
        <v>2984</v>
      </c>
      <c r="M1174" s="10">
        <v>46274</v>
      </c>
      <c r="N1174" s="8" t="s">
        <v>5105</v>
      </c>
      <c r="O1174" s="12"/>
      <c r="P1174" s="13"/>
      <c r="Q1174" s="14">
        <f>Tabela1[[#This Row],[QTDE/ Fabricação]]-Tabela1[[#This Row],[QTE]]</f>
        <v>-4</v>
      </c>
      <c r="R1174" s="18">
        <f t="shared" si="269"/>
        <v>3.8</v>
      </c>
      <c r="S1174" s="18">
        <f t="shared" si="270"/>
        <v>0</v>
      </c>
      <c r="T1174" s="19">
        <f t="shared" si="271"/>
        <v>-15.2</v>
      </c>
      <c r="U1174" s="16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IFERROR(VLOOKUP(Tabela1[[#This Row],[COD.MDE]],'LISTA DE EMBARQUE'!B:M,12,0),"")</f>
        <v/>
      </c>
      <c r="X1174" s="14">
        <f>IFERROR(Tabela1[[#This Row],[QIANTIDADE EXPEDIDA]]*Tabela1[[#This Row],[PESO UNI]],"")</f>
        <v>0</v>
      </c>
      <c r="Y1174" s="14">
        <f t="shared" si="272"/>
        <v>-4</v>
      </c>
      <c r="Z1174" s="20">
        <f>Tabela1[[#This Row],[PESO TOTAL]]-Tabela1[[#This Row],[Peso Expedido]]</f>
        <v>15.2</v>
      </c>
      <c r="AA1174" s="17">
        <v>1</v>
      </c>
      <c r="AB1174" s="33"/>
      <c r="AC1174" s="33"/>
      <c r="AD1174" s="33"/>
      <c r="AE1174" s="33"/>
      <c r="AF1174" s="33"/>
      <c r="AG1174" s="33"/>
      <c r="AH1174" s="33"/>
      <c r="AI1174" s="33"/>
      <c r="AJ1174"/>
      <c r="AK1174"/>
      <c r="AL1174"/>
      <c r="AM1174"/>
      <c r="AN1174"/>
      <c r="AO1174"/>
      <c r="AP1174"/>
      <c r="AQ1174" s="22"/>
      <c r="AR1174" s="24"/>
      <c r="AS1174" s="37"/>
      <c r="AT1174" s="37"/>
      <c r="AU1174" s="37"/>
      <c r="AV1174" s="37"/>
      <c r="AW1174" s="37"/>
    </row>
    <row r="1175" spans="1:49" ht="15.75" customHeight="1" x14ac:dyDescent="0.25">
      <c r="A1175" s="1" t="s">
        <v>5644</v>
      </c>
      <c r="B1175" s="21" t="s">
        <v>5645</v>
      </c>
      <c r="C1175" s="1">
        <v>22</v>
      </c>
      <c r="D1175" s="1" t="s">
        <v>5651</v>
      </c>
      <c r="E1175" s="7">
        <v>4856</v>
      </c>
      <c r="F1175" s="7">
        <v>68</v>
      </c>
      <c r="G1175" s="1">
        <v>7.7</v>
      </c>
      <c r="H1175" s="34">
        <f>Tabela1[[#This Row],[PESO UNI]]*Tabela1[[#This Row],[QTE]]</f>
        <v>169.4</v>
      </c>
      <c r="I1175" s="7">
        <v>0</v>
      </c>
      <c r="J1175" s="8" t="s">
        <v>3140</v>
      </c>
      <c r="K1175" s="8" t="s">
        <v>4320</v>
      </c>
      <c r="L1175" s="9" t="s">
        <v>2984</v>
      </c>
      <c r="M1175" s="10">
        <v>46274</v>
      </c>
      <c r="N1175" s="8" t="s">
        <v>5105</v>
      </c>
      <c r="O1175" s="12"/>
      <c r="P1175" s="13"/>
      <c r="Q1175" s="14">
        <f>Tabela1[[#This Row],[QTDE/ Fabricação]]-Tabela1[[#This Row],[QTE]]</f>
        <v>-22</v>
      </c>
      <c r="R1175" s="18">
        <f t="shared" si="269"/>
        <v>42.35</v>
      </c>
      <c r="S1175" s="18">
        <f t="shared" si="270"/>
        <v>0</v>
      </c>
      <c r="T1175" s="19">
        <f t="shared" si="271"/>
        <v>-169.4</v>
      </c>
      <c r="U1175" s="16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IFERROR(VLOOKUP(Tabela1[[#This Row],[COD.MDE]],'LISTA DE EMBARQUE'!B:M,12,0),"")</f>
        <v/>
      </c>
      <c r="X1175" s="14">
        <f>IFERROR(Tabela1[[#This Row],[QIANTIDADE EXPEDIDA]]*Tabela1[[#This Row],[PESO UNI]],"")</f>
        <v>0</v>
      </c>
      <c r="Y1175" s="14">
        <f t="shared" si="272"/>
        <v>-22</v>
      </c>
      <c r="Z1175" s="20">
        <f>Tabela1[[#This Row],[PESO TOTAL]]-Tabela1[[#This Row],[Peso Expedido]]</f>
        <v>169.4</v>
      </c>
      <c r="AA1175" s="17">
        <v>1</v>
      </c>
      <c r="AB1175" s="33"/>
      <c r="AC1175" s="33"/>
      <c r="AD1175" s="33"/>
      <c r="AE1175" s="33"/>
      <c r="AF1175" s="33"/>
      <c r="AG1175" s="33"/>
      <c r="AH1175" s="33"/>
      <c r="AI1175" s="33"/>
      <c r="AJ1175"/>
      <c r="AK1175"/>
      <c r="AL1175"/>
      <c r="AM1175"/>
      <c r="AN1175"/>
      <c r="AO1175"/>
      <c r="AP1175"/>
      <c r="AQ1175" s="22"/>
      <c r="AR1175" s="24"/>
      <c r="AS1175" s="37"/>
      <c r="AT1175" s="37"/>
      <c r="AU1175" s="37"/>
      <c r="AV1175" s="37"/>
      <c r="AW1175" s="37"/>
    </row>
    <row r="1176" spans="1:49" ht="15.75" customHeight="1" x14ac:dyDescent="0.25">
      <c r="A1176" s="1" t="s">
        <v>5644</v>
      </c>
      <c r="B1176" s="21" t="s">
        <v>5645</v>
      </c>
      <c r="C1176" s="1">
        <v>1</v>
      </c>
      <c r="D1176" s="1" t="s">
        <v>5652</v>
      </c>
      <c r="E1176" s="7">
        <v>4857</v>
      </c>
      <c r="F1176" s="7">
        <v>68</v>
      </c>
      <c r="G1176" s="1">
        <v>15.1</v>
      </c>
      <c r="H1176" s="34">
        <f>Tabela1[[#This Row],[PESO UNI]]*Tabela1[[#This Row],[QTE]]</f>
        <v>15.1</v>
      </c>
      <c r="I1176" s="7">
        <v>0</v>
      </c>
      <c r="J1176" s="8" t="s">
        <v>3140</v>
      </c>
      <c r="K1176" s="8" t="s">
        <v>4320</v>
      </c>
      <c r="L1176" s="9" t="s">
        <v>2984</v>
      </c>
      <c r="M1176" s="10">
        <v>46274</v>
      </c>
      <c r="N1176" s="8" t="s">
        <v>5105</v>
      </c>
      <c r="O1176" s="12"/>
      <c r="P1176" s="13"/>
      <c r="Q1176" s="14">
        <f>Tabela1[[#This Row],[QTDE/ Fabricação]]-Tabela1[[#This Row],[QTE]]</f>
        <v>-1</v>
      </c>
      <c r="R1176" s="18">
        <f t="shared" si="269"/>
        <v>3.7749999999999999</v>
      </c>
      <c r="S1176" s="18">
        <f t="shared" si="270"/>
        <v>0</v>
      </c>
      <c r="T1176" s="19">
        <f t="shared" si="271"/>
        <v>-15.1</v>
      </c>
      <c r="U1176" s="16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IFERROR(VLOOKUP(Tabela1[[#This Row],[COD.MDE]],'LISTA DE EMBARQUE'!B:M,12,0),"")</f>
        <v/>
      </c>
      <c r="X1176" s="14">
        <f>IFERROR(Tabela1[[#This Row],[QIANTIDADE EXPEDIDA]]*Tabela1[[#This Row],[PESO UNI]],"")</f>
        <v>0</v>
      </c>
      <c r="Y1176" s="14">
        <f t="shared" si="272"/>
        <v>-1</v>
      </c>
      <c r="Z1176" s="20">
        <f>Tabela1[[#This Row],[PESO TOTAL]]-Tabela1[[#This Row],[Peso Expedido]]</f>
        <v>15.1</v>
      </c>
      <c r="AA1176" s="17">
        <v>1</v>
      </c>
      <c r="AB1176" s="33"/>
      <c r="AC1176" s="33"/>
      <c r="AD1176" s="33"/>
      <c r="AE1176" s="33"/>
      <c r="AF1176" s="33"/>
      <c r="AG1176" s="33"/>
      <c r="AH1176" s="33"/>
      <c r="AI1176" s="33"/>
      <c r="AJ1176"/>
      <c r="AK1176"/>
      <c r="AL1176"/>
      <c r="AM1176"/>
      <c r="AN1176"/>
      <c r="AO1176"/>
      <c r="AP1176"/>
      <c r="AQ1176" s="22"/>
      <c r="AR1176" s="24"/>
      <c r="AS1176" s="37"/>
      <c r="AT1176" s="37"/>
      <c r="AU1176" s="37"/>
      <c r="AV1176" s="37"/>
      <c r="AW1176" s="37"/>
    </row>
    <row r="1177" spans="1:49" ht="15.75" customHeight="1" x14ac:dyDescent="0.25">
      <c r="A1177" s="1" t="s">
        <v>5644</v>
      </c>
      <c r="B1177" s="21" t="s">
        <v>5645</v>
      </c>
      <c r="C1177" s="1">
        <v>1</v>
      </c>
      <c r="D1177" s="1" t="s">
        <v>5653</v>
      </c>
      <c r="E1177" s="7">
        <v>4858</v>
      </c>
      <c r="F1177" s="7">
        <v>68</v>
      </c>
      <c r="G1177" s="1">
        <v>2.2000000000000002</v>
      </c>
      <c r="H1177" s="34">
        <f>Tabela1[[#This Row],[PESO UNI]]*Tabela1[[#This Row],[QTE]]</f>
        <v>2.2000000000000002</v>
      </c>
      <c r="I1177" s="7">
        <v>0</v>
      </c>
      <c r="J1177" s="8" t="s">
        <v>3140</v>
      </c>
      <c r="K1177" s="8" t="s">
        <v>4320</v>
      </c>
      <c r="L1177" s="9" t="s">
        <v>2984</v>
      </c>
      <c r="M1177" s="10">
        <v>46274</v>
      </c>
      <c r="N1177" s="8" t="s">
        <v>5105</v>
      </c>
      <c r="O1177" s="12"/>
      <c r="P1177" s="13"/>
      <c r="Q1177" s="14">
        <f>Tabela1[[#This Row],[QTDE/ Fabricação]]-Tabela1[[#This Row],[QTE]]</f>
        <v>-1</v>
      </c>
      <c r="R1177" s="18">
        <f t="shared" si="269"/>
        <v>0.55000000000000004</v>
      </c>
      <c r="S1177" s="18">
        <f t="shared" si="270"/>
        <v>0</v>
      </c>
      <c r="T1177" s="19">
        <f t="shared" si="271"/>
        <v>-2.2000000000000002</v>
      </c>
      <c r="U1177" s="16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IFERROR(VLOOKUP(Tabela1[[#This Row],[COD.MDE]],'LISTA DE EMBARQUE'!B:M,12,0),"")</f>
        <v/>
      </c>
      <c r="X1177" s="14">
        <f>IFERROR(Tabela1[[#This Row],[QIANTIDADE EXPEDIDA]]*Tabela1[[#This Row],[PESO UNI]],"")</f>
        <v>0</v>
      </c>
      <c r="Y1177" s="14">
        <f t="shared" si="272"/>
        <v>-1</v>
      </c>
      <c r="Z1177" s="20">
        <f>Tabela1[[#This Row],[PESO TOTAL]]-Tabela1[[#This Row],[Peso Expedido]]</f>
        <v>2.2000000000000002</v>
      </c>
      <c r="AA1177" s="17">
        <v>1</v>
      </c>
      <c r="AB1177" s="33"/>
      <c r="AC1177" s="33"/>
      <c r="AD1177" s="33"/>
      <c r="AE1177" s="33"/>
      <c r="AF1177" s="33"/>
      <c r="AG1177" s="33"/>
      <c r="AH1177" s="33"/>
      <c r="AI1177" s="33"/>
      <c r="AJ1177"/>
      <c r="AK1177"/>
      <c r="AL1177"/>
      <c r="AM1177"/>
      <c r="AN1177"/>
      <c r="AO1177"/>
      <c r="AP1177"/>
      <c r="AQ1177" s="22"/>
      <c r="AR1177" s="24"/>
      <c r="AS1177" s="37"/>
      <c r="AT1177" s="37"/>
      <c r="AU1177" s="37"/>
      <c r="AV1177" s="37"/>
      <c r="AW1177" s="37"/>
    </row>
    <row r="1178" spans="1:49" ht="15.75" customHeight="1" x14ac:dyDescent="0.25">
      <c r="A1178" s="1" t="s">
        <v>5644</v>
      </c>
      <c r="B1178" s="21" t="s">
        <v>5645</v>
      </c>
      <c r="C1178" s="1">
        <v>1</v>
      </c>
      <c r="D1178" s="1" t="s">
        <v>5654</v>
      </c>
      <c r="E1178" s="7">
        <v>4859</v>
      </c>
      <c r="F1178" s="7">
        <v>68</v>
      </c>
      <c r="G1178" s="1">
        <v>11.1</v>
      </c>
      <c r="H1178" s="34">
        <f>Tabela1[[#This Row],[PESO UNI]]*Tabela1[[#This Row],[QTE]]</f>
        <v>11.1</v>
      </c>
      <c r="I1178" s="7">
        <v>0</v>
      </c>
      <c r="J1178" s="8" t="s">
        <v>3140</v>
      </c>
      <c r="K1178" s="8" t="s">
        <v>4320</v>
      </c>
      <c r="L1178" s="9" t="s">
        <v>2984</v>
      </c>
      <c r="M1178" s="10">
        <v>46274</v>
      </c>
      <c r="N1178" s="8" t="s">
        <v>5105</v>
      </c>
      <c r="O1178" s="12"/>
      <c r="P1178" s="13"/>
      <c r="Q1178" s="14">
        <f>Tabela1[[#This Row],[QTDE/ Fabricação]]-Tabela1[[#This Row],[QTE]]</f>
        <v>-1</v>
      </c>
      <c r="R1178" s="18">
        <f t="shared" si="269"/>
        <v>2.7749999999999999</v>
      </c>
      <c r="S1178" s="18">
        <f t="shared" si="270"/>
        <v>0</v>
      </c>
      <c r="T1178" s="19">
        <f t="shared" si="271"/>
        <v>-11.1</v>
      </c>
      <c r="U1178" s="16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IFERROR(VLOOKUP(Tabela1[[#This Row],[COD.MDE]],'LISTA DE EMBARQUE'!B:M,12,0),"")</f>
        <v/>
      </c>
      <c r="X1178" s="14">
        <f>IFERROR(Tabela1[[#This Row],[QIANTIDADE EXPEDIDA]]*Tabela1[[#This Row],[PESO UNI]],"")</f>
        <v>0</v>
      </c>
      <c r="Y1178" s="14">
        <f t="shared" si="272"/>
        <v>-1</v>
      </c>
      <c r="Z1178" s="20">
        <f>Tabela1[[#This Row],[PESO TOTAL]]-Tabela1[[#This Row],[Peso Expedido]]</f>
        <v>11.1</v>
      </c>
      <c r="AA1178" s="17">
        <v>1</v>
      </c>
      <c r="AB1178" s="33"/>
      <c r="AC1178" s="33"/>
      <c r="AD1178" s="33"/>
      <c r="AE1178" s="33"/>
      <c r="AF1178" s="33"/>
      <c r="AG1178" s="33"/>
      <c r="AH1178" s="33"/>
      <c r="AI1178" s="33"/>
      <c r="AJ1178"/>
      <c r="AK1178"/>
      <c r="AL1178"/>
      <c r="AM1178"/>
      <c r="AN1178"/>
      <c r="AO1178"/>
      <c r="AP1178"/>
      <c r="AQ1178" s="22"/>
      <c r="AR1178" s="24"/>
      <c r="AS1178" s="37"/>
      <c r="AT1178" s="37"/>
      <c r="AU1178" s="37"/>
      <c r="AV1178" s="37"/>
      <c r="AW1178" s="37"/>
    </row>
    <row r="1179" spans="1:49" ht="15.75" customHeight="1" x14ac:dyDescent="0.25">
      <c r="A1179" s="1" t="s">
        <v>5644</v>
      </c>
      <c r="B1179" s="21" t="s">
        <v>5645</v>
      </c>
      <c r="C1179" s="1">
        <v>2</v>
      </c>
      <c r="D1179" s="1" t="s">
        <v>5655</v>
      </c>
      <c r="E1179" s="7">
        <v>4860</v>
      </c>
      <c r="F1179" s="7">
        <v>68</v>
      </c>
      <c r="G1179" s="1">
        <v>8.1999999999999993</v>
      </c>
      <c r="H1179" s="34">
        <f>Tabela1[[#This Row],[PESO UNI]]*Tabela1[[#This Row],[QTE]]</f>
        <v>16.399999999999999</v>
      </c>
      <c r="I1179" s="7">
        <v>0</v>
      </c>
      <c r="J1179" s="8" t="s">
        <v>3140</v>
      </c>
      <c r="K1179" s="8" t="s">
        <v>4320</v>
      </c>
      <c r="L1179" s="9" t="s">
        <v>2984</v>
      </c>
      <c r="M1179" s="10">
        <v>46274</v>
      </c>
      <c r="N1179" s="8" t="s">
        <v>5105</v>
      </c>
      <c r="O1179" s="12"/>
      <c r="P1179" s="13"/>
      <c r="Q1179" s="14">
        <f>Tabela1[[#This Row],[QTDE/ Fabricação]]-Tabela1[[#This Row],[QTE]]</f>
        <v>-2</v>
      </c>
      <c r="R1179" s="18">
        <f t="shared" si="269"/>
        <v>4.0999999999999996</v>
      </c>
      <c r="S1179" s="18">
        <f t="shared" si="270"/>
        <v>0</v>
      </c>
      <c r="T1179" s="19">
        <f t="shared" si="271"/>
        <v>-16.399999999999999</v>
      </c>
      <c r="U1179" s="16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IFERROR(VLOOKUP(Tabela1[[#This Row],[COD.MDE]],'LISTA DE EMBARQUE'!B:M,12,0),"")</f>
        <v/>
      </c>
      <c r="X1179" s="14">
        <f>IFERROR(Tabela1[[#This Row],[QIANTIDADE EXPEDIDA]]*Tabela1[[#This Row],[PESO UNI]],"")</f>
        <v>0</v>
      </c>
      <c r="Y1179" s="14">
        <f t="shared" si="272"/>
        <v>-2</v>
      </c>
      <c r="Z1179" s="20">
        <f>Tabela1[[#This Row],[PESO TOTAL]]-Tabela1[[#This Row],[Peso Expedido]]</f>
        <v>16.399999999999999</v>
      </c>
      <c r="AA1179" s="17">
        <v>1</v>
      </c>
      <c r="AB1179" s="33"/>
      <c r="AC1179" s="33"/>
      <c r="AD1179" s="33"/>
      <c r="AE1179" s="33"/>
      <c r="AF1179" s="33"/>
      <c r="AG1179" s="33"/>
      <c r="AH1179" s="33"/>
      <c r="AI1179" s="33"/>
      <c r="AJ1179"/>
      <c r="AK1179"/>
      <c r="AL1179"/>
      <c r="AM1179"/>
      <c r="AN1179"/>
      <c r="AO1179"/>
      <c r="AP1179"/>
      <c r="AQ1179" s="22"/>
      <c r="AR1179" s="24"/>
      <c r="AS1179" s="37"/>
      <c r="AT1179" s="37"/>
      <c r="AU1179" s="37"/>
      <c r="AV1179" s="37"/>
      <c r="AW1179" s="37"/>
    </row>
    <row r="1180" spans="1:49" ht="15.75" customHeight="1" x14ac:dyDescent="0.25">
      <c r="A1180" s="1" t="s">
        <v>5644</v>
      </c>
      <c r="B1180" s="21" t="s">
        <v>5645</v>
      </c>
      <c r="C1180" s="1">
        <v>2</v>
      </c>
      <c r="D1180" s="1" t="s">
        <v>5656</v>
      </c>
      <c r="E1180" s="7">
        <v>4861</v>
      </c>
      <c r="F1180" s="7">
        <v>68</v>
      </c>
      <c r="G1180" s="1">
        <v>1.9</v>
      </c>
      <c r="H1180" s="34">
        <f>Tabela1[[#This Row],[PESO UNI]]*Tabela1[[#This Row],[QTE]]</f>
        <v>3.8</v>
      </c>
      <c r="I1180" s="7">
        <v>0</v>
      </c>
      <c r="J1180" s="8" t="s">
        <v>3140</v>
      </c>
      <c r="K1180" s="8" t="s">
        <v>4320</v>
      </c>
      <c r="L1180" s="9" t="s">
        <v>2984</v>
      </c>
      <c r="M1180" s="10">
        <v>46274</v>
      </c>
      <c r="N1180" s="8" t="s">
        <v>5105</v>
      </c>
      <c r="O1180" s="12"/>
      <c r="P1180" s="13"/>
      <c r="Q1180" s="14">
        <f>Tabela1[[#This Row],[QTDE/ Fabricação]]-Tabela1[[#This Row],[QTE]]</f>
        <v>-2</v>
      </c>
      <c r="R1180" s="18">
        <f>IFERROR(H1180*((AA1180*0.25)+(AC1180*0.25)+(AD1180*0.225)+(AE1180*0.225)+(AF1180*0.05)),"")</f>
        <v>0.95</v>
      </c>
      <c r="S1180" s="18">
        <f>IFERROR(H1180*AG1180,"")</f>
        <v>0</v>
      </c>
      <c r="T1180" s="19">
        <f>IFERROR(S1180-H1180,"")</f>
        <v>-3.8</v>
      </c>
      <c r="U1180" s="16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IFERROR(VLOOKUP(Tabela1[[#This Row],[COD.MDE]],'LISTA DE EMBARQUE'!B:M,12,0),"")</f>
        <v/>
      </c>
      <c r="X1180" s="14">
        <f>IFERROR(Tabela1[[#This Row],[QIANTIDADE EXPEDIDA]]*Tabela1[[#This Row],[PESO UNI]],"")</f>
        <v>0</v>
      </c>
      <c r="Y1180" s="14">
        <f>U1180-C1180</f>
        <v>-2</v>
      </c>
      <c r="Z1180" s="20">
        <f>Tabela1[[#This Row],[PESO TOTAL]]-Tabela1[[#This Row],[Peso Expedido]]</f>
        <v>3.8</v>
      </c>
      <c r="AA1180" s="17">
        <v>1</v>
      </c>
      <c r="AB1180" s="33"/>
      <c r="AC1180" s="33"/>
      <c r="AD1180" s="33"/>
      <c r="AE1180" s="33"/>
      <c r="AF1180" s="33"/>
      <c r="AG1180" s="33"/>
      <c r="AH1180" s="33"/>
      <c r="AI1180" s="33"/>
      <c r="AJ1180"/>
      <c r="AK1180"/>
      <c r="AL1180"/>
      <c r="AM1180"/>
      <c r="AN1180"/>
      <c r="AO1180"/>
      <c r="AP1180"/>
      <c r="AQ1180" s="22"/>
      <c r="AR1180" s="24"/>
      <c r="AS1180" s="37"/>
      <c r="AT1180" s="37"/>
      <c r="AU1180" s="37"/>
      <c r="AV1180" s="37"/>
      <c r="AW1180" s="37"/>
    </row>
    <row r="1181" spans="1:49" ht="15.75" customHeight="1" x14ac:dyDescent="0.25">
      <c r="A1181" s="1"/>
      <c r="B1181" s="21"/>
      <c r="C1181" s="1"/>
      <c r="D1181" s="1" t="s">
        <v>5657</v>
      </c>
      <c r="E1181" s="7">
        <v>4862</v>
      </c>
      <c r="F1181" s="7">
        <v>1</v>
      </c>
      <c r="G1181" s="1"/>
      <c r="H1181" s="34"/>
      <c r="I1181" s="7"/>
      <c r="J1181" s="8" t="s">
        <v>5658</v>
      </c>
      <c r="K1181" s="8" t="s">
        <v>45</v>
      </c>
      <c r="L1181" s="9" t="s">
        <v>5659</v>
      </c>
      <c r="M1181" s="10">
        <v>46238</v>
      </c>
      <c r="N1181" s="8" t="s">
        <v>38</v>
      </c>
      <c r="O1181" s="12"/>
      <c r="P1181" s="13"/>
      <c r="Q1181" s="14">
        <f>Tabela1[[#This Row],[QTDE/ Fabricação]]-Tabela1[[#This Row],[QTE]]</f>
        <v>0</v>
      </c>
      <c r="R1181" s="18">
        <f t="shared" ref="R1181" si="273">IFERROR(H1181*((AA1181*0.25)+(AC1181*0.25)+(AD1181*0.225)+(AE1181*0.225)+(AF1181*0.05)),"")</f>
        <v>0</v>
      </c>
      <c r="S1181" s="18">
        <f t="shared" ref="S1181" si="274">IFERROR(H1181*AG1181,"")</f>
        <v>0</v>
      </c>
      <c r="T1181" s="19">
        <f t="shared" ref="T1181" si="275">IFERROR(S1181-H1181,"")</f>
        <v>0</v>
      </c>
      <c r="U1181" s="16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IFERROR(VLOOKUP(Tabela1[[#This Row],[COD.MDE]],'LISTA DE EMBARQUE'!B:M,12,0),"")</f>
        <v/>
      </c>
      <c r="X1181" s="14">
        <f>IFERROR(Tabela1[[#This Row],[QIANTIDADE EXPEDIDA]]*Tabela1[[#This Row],[PESO UNI]],"")</f>
        <v>0</v>
      </c>
      <c r="Y1181" s="14">
        <f t="shared" ref="Y1181" si="276">U1181-C1181</f>
        <v>0</v>
      </c>
      <c r="Z1181" s="20">
        <f>Tabela1[[#This Row],[PESO TOTAL]]-Tabela1[[#This Row],[Peso Expedido]]</f>
        <v>0</v>
      </c>
      <c r="AA1181" s="17"/>
      <c r="AB1181" s="33"/>
      <c r="AC1181" s="33"/>
      <c r="AD1181" s="33"/>
      <c r="AE1181" s="33"/>
      <c r="AF1181" s="33"/>
      <c r="AG1181" s="33"/>
      <c r="AH1181" s="33"/>
      <c r="AI1181" s="33"/>
      <c r="AJ1181"/>
      <c r="AK1181"/>
      <c r="AL1181"/>
      <c r="AM1181"/>
      <c r="AN1181"/>
      <c r="AO1181"/>
      <c r="AP1181"/>
      <c r="AQ1181" s="22"/>
      <c r="AR1181" s="24"/>
      <c r="AS1181" s="37"/>
      <c r="AT1181" s="37"/>
      <c r="AU1181" s="37"/>
      <c r="AV1181" s="37"/>
      <c r="AW1181" s="37"/>
    </row>
    <row r="1182" spans="1:49" ht="15.75" customHeight="1" x14ac:dyDescent="0.25">
      <c r="A1182" s="1" t="s">
        <v>5670</v>
      </c>
      <c r="B1182" s="21" t="s">
        <v>5671</v>
      </c>
      <c r="C1182" s="1">
        <v>1</v>
      </c>
      <c r="D1182" s="1" t="s">
        <v>5672</v>
      </c>
      <c r="E1182" s="7">
        <v>4863</v>
      </c>
      <c r="F1182" s="7">
        <v>7</v>
      </c>
      <c r="G1182" s="1">
        <v>15.9</v>
      </c>
      <c r="H1182" s="34">
        <f>Tabela1[[#This Row],[PESO UNI]]*Tabela1[[#This Row],[QTE]]</f>
        <v>15.9</v>
      </c>
      <c r="I1182" s="7">
        <v>0</v>
      </c>
      <c r="J1182" s="8" t="s">
        <v>5529</v>
      </c>
      <c r="K1182" s="8" t="s">
        <v>4320</v>
      </c>
      <c r="L1182" s="9" t="s">
        <v>5530</v>
      </c>
      <c r="M1182" s="10">
        <v>46275</v>
      </c>
      <c r="N1182" s="8" t="s">
        <v>5105</v>
      </c>
      <c r="O1182" s="12"/>
      <c r="P1182" s="13"/>
      <c r="Q1182" s="14">
        <f>Tabela1[[#This Row],[QTDE/ Fabricação]]-Tabela1[[#This Row],[QTE]]</f>
        <v>-1</v>
      </c>
      <c r="R1182" s="18">
        <f t="shared" ref="R1182:R1199" si="277">IFERROR(H1182*((AA1182*0.25)+(AC1182*0.25)+(AD1182*0.225)+(AE1182*0.225)+(AF1182*0.05)),"")</f>
        <v>3.9750000000000001</v>
      </c>
      <c r="S1182" s="18">
        <f t="shared" ref="S1182:S1199" si="278">IFERROR(H1182*AG1182,"")</f>
        <v>0</v>
      </c>
      <c r="T1182" s="19">
        <f t="shared" ref="T1182:T1199" si="279">IFERROR(S1182-H1182,"")</f>
        <v>-15.9</v>
      </c>
      <c r="U1182" s="16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IFERROR(VLOOKUP(Tabela1[[#This Row],[COD.MDE]],'LISTA DE EMBARQUE'!B:M,12,0),"")</f>
        <v/>
      </c>
      <c r="X1182" s="14">
        <f>IFERROR(Tabela1[[#This Row],[QIANTIDADE EXPEDIDA]]*Tabela1[[#This Row],[PESO UNI]],"")</f>
        <v>0</v>
      </c>
      <c r="Y1182" s="14">
        <f t="shared" ref="Y1182:Y1199" si="280">U1182-C1182</f>
        <v>-1</v>
      </c>
      <c r="Z1182" s="20">
        <f>Tabela1[[#This Row],[PESO TOTAL]]-Tabela1[[#This Row],[Peso Expedido]]</f>
        <v>15.9</v>
      </c>
      <c r="AA1182" s="17">
        <v>1</v>
      </c>
      <c r="AB1182" s="33"/>
      <c r="AC1182" s="33"/>
      <c r="AD1182" s="33"/>
      <c r="AE1182" s="33"/>
      <c r="AF1182" s="33"/>
      <c r="AG1182" s="33"/>
      <c r="AH1182" s="33"/>
      <c r="AI1182" s="33"/>
      <c r="AJ1182"/>
      <c r="AK1182"/>
      <c r="AL1182"/>
      <c r="AM1182"/>
      <c r="AN1182"/>
      <c r="AO1182"/>
      <c r="AP1182"/>
      <c r="AQ1182" s="22"/>
      <c r="AR1182" s="24"/>
      <c r="AS1182" s="37"/>
      <c r="AT1182" s="37"/>
      <c r="AU1182" s="37"/>
      <c r="AV1182" s="37"/>
      <c r="AW1182" s="37"/>
    </row>
    <row r="1183" spans="1:49" ht="15.75" customHeight="1" x14ac:dyDescent="0.25">
      <c r="A1183" s="1" t="s">
        <v>5670</v>
      </c>
      <c r="B1183" s="21" t="s">
        <v>5671</v>
      </c>
      <c r="C1183" s="1">
        <v>1</v>
      </c>
      <c r="D1183" s="1" t="s">
        <v>5673</v>
      </c>
      <c r="E1183" s="7">
        <v>4864</v>
      </c>
      <c r="F1183" s="7">
        <v>7</v>
      </c>
      <c r="G1183" s="1">
        <v>15.7</v>
      </c>
      <c r="H1183" s="34">
        <f>Tabela1[[#This Row],[PESO UNI]]*Tabela1[[#This Row],[QTE]]</f>
        <v>15.7</v>
      </c>
      <c r="I1183" s="7">
        <v>0</v>
      </c>
      <c r="J1183" s="8" t="s">
        <v>5529</v>
      </c>
      <c r="K1183" s="8" t="s">
        <v>4320</v>
      </c>
      <c r="L1183" s="9" t="s">
        <v>5530</v>
      </c>
      <c r="M1183" s="10">
        <v>46275</v>
      </c>
      <c r="N1183" s="8" t="s">
        <v>5105</v>
      </c>
      <c r="O1183" s="12"/>
      <c r="P1183" s="13"/>
      <c r="Q1183" s="14">
        <f>Tabela1[[#This Row],[QTDE/ Fabricação]]-Tabela1[[#This Row],[QTE]]</f>
        <v>-1</v>
      </c>
      <c r="R1183" s="18">
        <f t="shared" si="277"/>
        <v>3.9249999999999998</v>
      </c>
      <c r="S1183" s="18">
        <f t="shared" si="278"/>
        <v>0</v>
      </c>
      <c r="T1183" s="19">
        <f t="shared" si="279"/>
        <v>-15.7</v>
      </c>
      <c r="U1183" s="16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IFERROR(VLOOKUP(Tabela1[[#This Row],[COD.MDE]],'LISTA DE EMBARQUE'!B:M,12,0),"")</f>
        <v/>
      </c>
      <c r="X1183" s="14">
        <f>IFERROR(Tabela1[[#This Row],[QIANTIDADE EXPEDIDA]]*Tabela1[[#This Row],[PESO UNI]],"")</f>
        <v>0</v>
      </c>
      <c r="Y1183" s="14">
        <f t="shared" si="280"/>
        <v>-1</v>
      </c>
      <c r="Z1183" s="20">
        <f>Tabela1[[#This Row],[PESO TOTAL]]-Tabela1[[#This Row],[Peso Expedido]]</f>
        <v>15.7</v>
      </c>
      <c r="AA1183" s="17">
        <v>1</v>
      </c>
      <c r="AB1183" s="33"/>
      <c r="AC1183" s="33"/>
      <c r="AD1183" s="33"/>
      <c r="AE1183" s="33"/>
      <c r="AF1183" s="33"/>
      <c r="AG1183" s="33"/>
      <c r="AH1183" s="33"/>
      <c r="AI1183" s="33"/>
      <c r="AJ1183"/>
      <c r="AK1183"/>
      <c r="AL1183"/>
      <c r="AM1183"/>
      <c r="AN1183"/>
      <c r="AO1183"/>
      <c r="AP1183"/>
      <c r="AQ1183" s="22"/>
      <c r="AR1183" s="24"/>
      <c r="AS1183" s="37"/>
      <c r="AT1183" s="37"/>
      <c r="AU1183" s="37"/>
      <c r="AV1183" s="37"/>
      <c r="AW1183" s="37"/>
    </row>
    <row r="1184" spans="1:49" ht="15.75" customHeight="1" x14ac:dyDescent="0.25">
      <c r="A1184" s="1" t="s">
        <v>5670</v>
      </c>
      <c r="B1184" s="21" t="s">
        <v>5671</v>
      </c>
      <c r="C1184" s="1">
        <v>2</v>
      </c>
      <c r="D1184" s="1" t="s">
        <v>5674</v>
      </c>
      <c r="E1184" s="7">
        <v>4865</v>
      </c>
      <c r="F1184" s="7">
        <v>7</v>
      </c>
      <c r="G1184" s="1">
        <v>6.7</v>
      </c>
      <c r="H1184" s="34">
        <f>Tabela1[[#This Row],[PESO UNI]]*Tabela1[[#This Row],[QTE]]</f>
        <v>13.4</v>
      </c>
      <c r="I1184" s="7">
        <v>0</v>
      </c>
      <c r="J1184" s="8" t="s">
        <v>5529</v>
      </c>
      <c r="K1184" s="8" t="s">
        <v>4320</v>
      </c>
      <c r="L1184" s="9" t="s">
        <v>5530</v>
      </c>
      <c r="M1184" s="10">
        <v>46275</v>
      </c>
      <c r="N1184" s="8" t="s">
        <v>5105</v>
      </c>
      <c r="O1184" s="12"/>
      <c r="P1184" s="13"/>
      <c r="Q1184" s="14">
        <f>Tabela1[[#This Row],[QTDE/ Fabricação]]-Tabela1[[#This Row],[QTE]]</f>
        <v>-2</v>
      </c>
      <c r="R1184" s="18">
        <f t="shared" si="277"/>
        <v>3.35</v>
      </c>
      <c r="S1184" s="18">
        <f t="shared" si="278"/>
        <v>0</v>
      </c>
      <c r="T1184" s="19">
        <f t="shared" si="279"/>
        <v>-13.4</v>
      </c>
      <c r="U1184" s="16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IFERROR(VLOOKUP(Tabela1[[#This Row],[COD.MDE]],'LISTA DE EMBARQUE'!B:M,12,0),"")</f>
        <v/>
      </c>
      <c r="X1184" s="14">
        <f>IFERROR(Tabela1[[#This Row],[QIANTIDADE EXPEDIDA]]*Tabela1[[#This Row],[PESO UNI]],"")</f>
        <v>0</v>
      </c>
      <c r="Y1184" s="14">
        <f t="shared" si="280"/>
        <v>-2</v>
      </c>
      <c r="Z1184" s="20">
        <f>Tabela1[[#This Row],[PESO TOTAL]]-Tabela1[[#This Row],[Peso Expedido]]</f>
        <v>13.4</v>
      </c>
      <c r="AA1184" s="17">
        <v>1</v>
      </c>
      <c r="AB1184" s="33"/>
      <c r="AC1184" s="33"/>
      <c r="AD1184" s="33"/>
      <c r="AE1184" s="33"/>
      <c r="AF1184" s="33"/>
      <c r="AG1184" s="33"/>
      <c r="AH1184" s="33"/>
      <c r="AI1184" s="33"/>
      <c r="AJ1184"/>
      <c r="AK1184"/>
      <c r="AL1184"/>
      <c r="AM1184"/>
      <c r="AN1184"/>
      <c r="AO1184"/>
      <c r="AP1184"/>
      <c r="AQ1184" s="22"/>
      <c r="AR1184" s="24"/>
      <c r="AS1184" s="37"/>
      <c r="AT1184" s="37"/>
      <c r="AU1184" s="37"/>
      <c r="AV1184" s="37"/>
      <c r="AW1184" s="37"/>
    </row>
    <row r="1185" spans="1:49" ht="15.75" customHeight="1" x14ac:dyDescent="0.25">
      <c r="A1185" s="1" t="s">
        <v>5670</v>
      </c>
      <c r="B1185" s="21" t="s">
        <v>5671</v>
      </c>
      <c r="C1185" s="1">
        <v>1</v>
      </c>
      <c r="D1185" s="1" t="s">
        <v>5675</v>
      </c>
      <c r="E1185" s="7">
        <v>4866</v>
      </c>
      <c r="F1185" s="7">
        <v>7</v>
      </c>
      <c r="G1185" s="1">
        <v>12.5</v>
      </c>
      <c r="H1185" s="34">
        <f>Tabela1[[#This Row],[PESO UNI]]*Tabela1[[#This Row],[QTE]]</f>
        <v>12.5</v>
      </c>
      <c r="I1185" s="7">
        <v>0</v>
      </c>
      <c r="J1185" s="8" t="s">
        <v>5529</v>
      </c>
      <c r="K1185" s="8" t="s">
        <v>4320</v>
      </c>
      <c r="L1185" s="9" t="s">
        <v>5530</v>
      </c>
      <c r="M1185" s="10">
        <v>46275</v>
      </c>
      <c r="N1185" s="8" t="s">
        <v>5105</v>
      </c>
      <c r="O1185" s="12"/>
      <c r="P1185" s="13"/>
      <c r="Q1185" s="14">
        <f>Tabela1[[#This Row],[QTDE/ Fabricação]]-Tabela1[[#This Row],[QTE]]</f>
        <v>-1</v>
      </c>
      <c r="R1185" s="18">
        <f t="shared" si="277"/>
        <v>3.125</v>
      </c>
      <c r="S1185" s="18">
        <f t="shared" si="278"/>
        <v>0</v>
      </c>
      <c r="T1185" s="19">
        <f t="shared" si="279"/>
        <v>-12.5</v>
      </c>
      <c r="U1185" s="16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IFERROR(VLOOKUP(Tabela1[[#This Row],[COD.MDE]],'LISTA DE EMBARQUE'!B:M,12,0),"")</f>
        <v/>
      </c>
      <c r="X1185" s="14">
        <f>IFERROR(Tabela1[[#This Row],[QIANTIDADE EXPEDIDA]]*Tabela1[[#This Row],[PESO UNI]],"")</f>
        <v>0</v>
      </c>
      <c r="Y1185" s="14">
        <f t="shared" si="280"/>
        <v>-1</v>
      </c>
      <c r="Z1185" s="20">
        <f>Tabela1[[#This Row],[PESO TOTAL]]-Tabela1[[#This Row],[Peso Expedido]]</f>
        <v>12.5</v>
      </c>
      <c r="AA1185" s="17">
        <v>1</v>
      </c>
      <c r="AB1185" s="33"/>
      <c r="AC1185" s="33"/>
      <c r="AD1185" s="33"/>
      <c r="AE1185" s="33"/>
      <c r="AF1185" s="33"/>
      <c r="AG1185" s="33"/>
      <c r="AH1185" s="33"/>
      <c r="AI1185" s="33"/>
      <c r="AJ1185"/>
      <c r="AK1185"/>
      <c r="AL1185"/>
      <c r="AM1185"/>
      <c r="AN1185"/>
      <c r="AO1185"/>
      <c r="AP1185"/>
      <c r="AQ1185" s="22"/>
      <c r="AR1185" s="24"/>
      <c r="AS1185" s="37"/>
      <c r="AT1185" s="37"/>
      <c r="AU1185" s="37"/>
      <c r="AV1185" s="37"/>
      <c r="AW1185" s="37"/>
    </row>
    <row r="1186" spans="1:49" ht="15.75" customHeight="1" x14ac:dyDescent="0.25">
      <c r="A1186" s="1" t="s">
        <v>5670</v>
      </c>
      <c r="B1186" s="21" t="s">
        <v>5671</v>
      </c>
      <c r="C1186" s="1">
        <v>1</v>
      </c>
      <c r="D1186" s="1" t="s">
        <v>5676</v>
      </c>
      <c r="E1186" s="7">
        <v>4867</v>
      </c>
      <c r="F1186" s="7">
        <v>7</v>
      </c>
      <c r="G1186" s="1">
        <v>14.5</v>
      </c>
      <c r="H1186" s="34">
        <f>Tabela1[[#This Row],[PESO UNI]]*Tabela1[[#This Row],[QTE]]</f>
        <v>14.5</v>
      </c>
      <c r="I1186" s="7">
        <v>0</v>
      </c>
      <c r="J1186" s="8" t="s">
        <v>5529</v>
      </c>
      <c r="K1186" s="8" t="s">
        <v>4320</v>
      </c>
      <c r="L1186" s="9" t="s">
        <v>5530</v>
      </c>
      <c r="M1186" s="10">
        <v>46275</v>
      </c>
      <c r="N1186" s="8" t="s">
        <v>5105</v>
      </c>
      <c r="O1186" s="12"/>
      <c r="P1186" s="13"/>
      <c r="Q1186" s="14">
        <f>Tabela1[[#This Row],[QTDE/ Fabricação]]-Tabela1[[#This Row],[QTE]]</f>
        <v>-1</v>
      </c>
      <c r="R1186" s="18">
        <f t="shared" si="277"/>
        <v>3.625</v>
      </c>
      <c r="S1186" s="18">
        <f t="shared" si="278"/>
        <v>0</v>
      </c>
      <c r="T1186" s="19">
        <f t="shared" si="279"/>
        <v>-14.5</v>
      </c>
      <c r="U1186" s="16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IFERROR(VLOOKUP(Tabela1[[#This Row],[COD.MDE]],'LISTA DE EMBARQUE'!B:M,12,0),"")</f>
        <v/>
      </c>
      <c r="X1186" s="14">
        <f>IFERROR(Tabela1[[#This Row],[QIANTIDADE EXPEDIDA]]*Tabela1[[#This Row],[PESO UNI]],"")</f>
        <v>0</v>
      </c>
      <c r="Y1186" s="14">
        <f t="shared" si="280"/>
        <v>-1</v>
      </c>
      <c r="Z1186" s="20">
        <f>Tabela1[[#This Row],[PESO TOTAL]]-Tabela1[[#This Row],[Peso Expedido]]</f>
        <v>14.5</v>
      </c>
      <c r="AA1186" s="17">
        <v>1</v>
      </c>
      <c r="AB1186" s="33"/>
      <c r="AC1186" s="33"/>
      <c r="AD1186" s="33"/>
      <c r="AE1186" s="33"/>
      <c r="AF1186" s="33"/>
      <c r="AG1186" s="33"/>
      <c r="AH1186" s="33"/>
      <c r="AI1186" s="33"/>
      <c r="AJ1186"/>
      <c r="AK1186"/>
      <c r="AL1186"/>
      <c r="AM1186"/>
      <c r="AN1186"/>
      <c r="AO1186"/>
      <c r="AP1186"/>
      <c r="AQ1186" s="22"/>
      <c r="AR1186" s="24"/>
      <c r="AS1186" s="37"/>
      <c r="AT1186" s="37"/>
      <c r="AU1186" s="37"/>
      <c r="AV1186" s="37"/>
      <c r="AW1186" s="37"/>
    </row>
    <row r="1187" spans="1:49" ht="15.75" customHeight="1" x14ac:dyDescent="0.25">
      <c r="A1187" s="1" t="s">
        <v>5670</v>
      </c>
      <c r="B1187" s="21" t="s">
        <v>5671</v>
      </c>
      <c r="C1187" s="1">
        <v>1</v>
      </c>
      <c r="D1187" s="1" t="s">
        <v>5677</v>
      </c>
      <c r="E1187" s="7">
        <v>4868</v>
      </c>
      <c r="F1187" s="7">
        <v>7</v>
      </c>
      <c r="G1187" s="1">
        <v>14.7</v>
      </c>
      <c r="H1187" s="34">
        <f>Tabela1[[#This Row],[PESO UNI]]*Tabela1[[#This Row],[QTE]]</f>
        <v>14.7</v>
      </c>
      <c r="I1187" s="7">
        <v>0</v>
      </c>
      <c r="J1187" s="8" t="s">
        <v>5529</v>
      </c>
      <c r="K1187" s="8" t="s">
        <v>4320</v>
      </c>
      <c r="L1187" s="9" t="s">
        <v>5530</v>
      </c>
      <c r="M1187" s="10">
        <v>46275</v>
      </c>
      <c r="N1187" s="8" t="s">
        <v>5105</v>
      </c>
      <c r="O1187" s="12"/>
      <c r="P1187" s="13"/>
      <c r="Q1187" s="14">
        <f>Tabela1[[#This Row],[QTDE/ Fabricação]]-Tabela1[[#This Row],[QTE]]</f>
        <v>-1</v>
      </c>
      <c r="R1187" s="18">
        <f t="shared" si="277"/>
        <v>3.6749999999999998</v>
      </c>
      <c r="S1187" s="18">
        <f t="shared" si="278"/>
        <v>0</v>
      </c>
      <c r="T1187" s="19">
        <f t="shared" si="279"/>
        <v>-14.7</v>
      </c>
      <c r="U1187" s="16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IFERROR(VLOOKUP(Tabela1[[#This Row],[COD.MDE]],'LISTA DE EMBARQUE'!B:M,12,0),"")</f>
        <v/>
      </c>
      <c r="X1187" s="14">
        <f>IFERROR(Tabela1[[#This Row],[QIANTIDADE EXPEDIDA]]*Tabela1[[#This Row],[PESO UNI]],"")</f>
        <v>0</v>
      </c>
      <c r="Y1187" s="14">
        <f t="shared" si="280"/>
        <v>-1</v>
      </c>
      <c r="Z1187" s="20">
        <f>Tabela1[[#This Row],[PESO TOTAL]]-Tabela1[[#This Row],[Peso Expedido]]</f>
        <v>14.7</v>
      </c>
      <c r="AA1187" s="17">
        <v>1</v>
      </c>
      <c r="AB1187" s="33"/>
      <c r="AC1187" s="33"/>
      <c r="AD1187" s="33"/>
      <c r="AE1187" s="33"/>
      <c r="AF1187" s="33"/>
      <c r="AG1187" s="33"/>
      <c r="AH1187" s="33"/>
      <c r="AI1187" s="33"/>
      <c r="AJ1187"/>
      <c r="AK1187"/>
      <c r="AL1187"/>
      <c r="AM1187"/>
      <c r="AN1187"/>
      <c r="AO1187"/>
      <c r="AP1187"/>
      <c r="AQ1187" s="22"/>
      <c r="AR1187" s="24"/>
      <c r="AS1187" s="37"/>
      <c r="AT1187" s="37"/>
      <c r="AU1187" s="37"/>
      <c r="AV1187" s="37"/>
      <c r="AW1187" s="37"/>
    </row>
    <row r="1188" spans="1:49" ht="15.75" customHeight="1" x14ac:dyDescent="0.25">
      <c r="A1188" s="1" t="s">
        <v>5670</v>
      </c>
      <c r="B1188" s="21" t="s">
        <v>5671</v>
      </c>
      <c r="C1188" s="1">
        <v>1</v>
      </c>
      <c r="D1188" s="1" t="s">
        <v>5678</v>
      </c>
      <c r="E1188" s="7">
        <v>4869</v>
      </c>
      <c r="F1188" s="7">
        <v>7</v>
      </c>
      <c r="G1188" s="1">
        <v>12.3</v>
      </c>
      <c r="H1188" s="34">
        <f>Tabela1[[#This Row],[PESO UNI]]*Tabela1[[#This Row],[QTE]]</f>
        <v>12.3</v>
      </c>
      <c r="I1188" s="7">
        <v>0</v>
      </c>
      <c r="J1188" s="8" t="s">
        <v>5529</v>
      </c>
      <c r="K1188" s="8" t="s">
        <v>4320</v>
      </c>
      <c r="L1188" s="9" t="s">
        <v>5530</v>
      </c>
      <c r="M1188" s="10">
        <v>46275</v>
      </c>
      <c r="N1188" s="8" t="s">
        <v>5105</v>
      </c>
      <c r="O1188" s="12"/>
      <c r="P1188" s="13"/>
      <c r="Q1188" s="14">
        <f>Tabela1[[#This Row],[QTDE/ Fabricação]]-Tabela1[[#This Row],[QTE]]</f>
        <v>-1</v>
      </c>
      <c r="R1188" s="18">
        <f t="shared" si="277"/>
        <v>3.0750000000000002</v>
      </c>
      <c r="S1188" s="18">
        <f t="shared" si="278"/>
        <v>0</v>
      </c>
      <c r="T1188" s="19">
        <f t="shared" si="279"/>
        <v>-12.3</v>
      </c>
      <c r="U1188" s="16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IFERROR(VLOOKUP(Tabela1[[#This Row],[COD.MDE]],'LISTA DE EMBARQUE'!B:M,12,0),"")</f>
        <v/>
      </c>
      <c r="X1188" s="14">
        <f>IFERROR(Tabela1[[#This Row],[QIANTIDADE EXPEDIDA]]*Tabela1[[#This Row],[PESO UNI]],"")</f>
        <v>0</v>
      </c>
      <c r="Y1188" s="14">
        <f t="shared" si="280"/>
        <v>-1</v>
      </c>
      <c r="Z1188" s="20">
        <f>Tabela1[[#This Row],[PESO TOTAL]]-Tabela1[[#This Row],[Peso Expedido]]</f>
        <v>12.3</v>
      </c>
      <c r="AA1188" s="17">
        <v>1</v>
      </c>
      <c r="AB1188" s="33"/>
      <c r="AC1188" s="33"/>
      <c r="AD1188" s="33"/>
      <c r="AE1188" s="33"/>
      <c r="AF1188" s="33"/>
      <c r="AG1188" s="33"/>
      <c r="AH1188" s="33"/>
      <c r="AI1188" s="33"/>
      <c r="AJ1188"/>
      <c r="AK1188"/>
      <c r="AL1188"/>
      <c r="AM1188"/>
      <c r="AN1188"/>
      <c r="AO1188"/>
      <c r="AP1188"/>
      <c r="AQ1188" s="22"/>
      <c r="AR1188" s="24"/>
      <c r="AS1188" s="37"/>
      <c r="AT1188" s="37"/>
      <c r="AU1188" s="37"/>
      <c r="AV1188" s="37"/>
      <c r="AW1188" s="37"/>
    </row>
    <row r="1189" spans="1:49" ht="15.75" customHeight="1" x14ac:dyDescent="0.25">
      <c r="A1189" s="1" t="s">
        <v>5670</v>
      </c>
      <c r="B1189" s="21" t="s">
        <v>5671</v>
      </c>
      <c r="C1189" s="1">
        <v>1</v>
      </c>
      <c r="D1189" s="1" t="s">
        <v>5679</v>
      </c>
      <c r="E1189" s="7">
        <v>4870</v>
      </c>
      <c r="F1189" s="7">
        <v>7</v>
      </c>
      <c r="G1189" s="1">
        <v>16.899999999999999</v>
      </c>
      <c r="H1189" s="34">
        <f>Tabela1[[#This Row],[PESO UNI]]*Tabela1[[#This Row],[QTE]]</f>
        <v>16.899999999999999</v>
      </c>
      <c r="I1189" s="7">
        <v>0</v>
      </c>
      <c r="J1189" s="8" t="s">
        <v>5529</v>
      </c>
      <c r="K1189" s="8" t="s">
        <v>4320</v>
      </c>
      <c r="L1189" s="9" t="s">
        <v>5530</v>
      </c>
      <c r="M1189" s="10">
        <v>46275</v>
      </c>
      <c r="N1189" s="8" t="s">
        <v>5105</v>
      </c>
      <c r="O1189" s="12"/>
      <c r="P1189" s="13"/>
      <c r="Q1189" s="14">
        <f>Tabela1[[#This Row],[QTDE/ Fabricação]]-Tabela1[[#This Row],[QTE]]</f>
        <v>-1</v>
      </c>
      <c r="R1189" s="18">
        <f t="shared" si="277"/>
        <v>4.2249999999999996</v>
      </c>
      <c r="S1189" s="18">
        <f t="shared" si="278"/>
        <v>0</v>
      </c>
      <c r="T1189" s="19">
        <f t="shared" si="279"/>
        <v>-16.899999999999999</v>
      </c>
      <c r="U1189" s="16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IFERROR(VLOOKUP(Tabela1[[#This Row],[COD.MDE]],'LISTA DE EMBARQUE'!B:M,12,0),"")</f>
        <v/>
      </c>
      <c r="X1189" s="14">
        <f>IFERROR(Tabela1[[#This Row],[QIANTIDADE EXPEDIDA]]*Tabela1[[#This Row],[PESO UNI]],"")</f>
        <v>0</v>
      </c>
      <c r="Y1189" s="14">
        <f t="shared" si="280"/>
        <v>-1</v>
      </c>
      <c r="Z1189" s="20">
        <f>Tabela1[[#This Row],[PESO TOTAL]]-Tabela1[[#This Row],[Peso Expedido]]</f>
        <v>16.899999999999999</v>
      </c>
      <c r="AA1189" s="17">
        <v>1</v>
      </c>
      <c r="AB1189" s="33"/>
      <c r="AC1189" s="33"/>
      <c r="AD1189" s="33"/>
      <c r="AE1189" s="33"/>
      <c r="AF1189" s="33"/>
      <c r="AG1189" s="33"/>
      <c r="AH1189" s="33"/>
      <c r="AI1189" s="33"/>
      <c r="AJ1189"/>
      <c r="AK1189"/>
      <c r="AL1189"/>
      <c r="AM1189"/>
      <c r="AN1189"/>
      <c r="AO1189"/>
      <c r="AP1189"/>
      <c r="AQ1189" s="22"/>
      <c r="AR1189" s="24"/>
      <c r="AS1189" s="37"/>
      <c r="AT1189" s="37"/>
      <c r="AU1189" s="37"/>
      <c r="AV1189" s="37"/>
      <c r="AW1189" s="37"/>
    </row>
    <row r="1190" spans="1:49" ht="15.75" customHeight="1" x14ac:dyDescent="0.25">
      <c r="A1190" s="1" t="s">
        <v>5670</v>
      </c>
      <c r="B1190" s="21" t="s">
        <v>5671</v>
      </c>
      <c r="C1190" s="1">
        <v>1</v>
      </c>
      <c r="D1190" s="1" t="s">
        <v>5680</v>
      </c>
      <c r="E1190" s="7">
        <v>4871</v>
      </c>
      <c r="F1190" s="7">
        <v>7</v>
      </c>
      <c r="G1190" s="1">
        <v>16.7</v>
      </c>
      <c r="H1190" s="34">
        <f>Tabela1[[#This Row],[PESO UNI]]*Tabela1[[#This Row],[QTE]]</f>
        <v>16.7</v>
      </c>
      <c r="I1190" s="7">
        <v>0</v>
      </c>
      <c r="J1190" s="8" t="s">
        <v>5529</v>
      </c>
      <c r="K1190" s="8" t="s">
        <v>4320</v>
      </c>
      <c r="L1190" s="9" t="s">
        <v>5530</v>
      </c>
      <c r="M1190" s="10">
        <v>46275</v>
      </c>
      <c r="N1190" s="8" t="s">
        <v>5105</v>
      </c>
      <c r="O1190" s="12"/>
      <c r="P1190" s="13"/>
      <c r="Q1190" s="14">
        <f>Tabela1[[#This Row],[QTDE/ Fabricação]]-Tabela1[[#This Row],[QTE]]</f>
        <v>-1</v>
      </c>
      <c r="R1190" s="18">
        <f t="shared" si="277"/>
        <v>4.1749999999999998</v>
      </c>
      <c r="S1190" s="18">
        <f t="shared" si="278"/>
        <v>0</v>
      </c>
      <c r="T1190" s="19">
        <f t="shared" si="279"/>
        <v>-16.7</v>
      </c>
      <c r="U1190" s="16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IFERROR(VLOOKUP(Tabela1[[#This Row],[COD.MDE]],'LISTA DE EMBARQUE'!B:M,12,0),"")</f>
        <v/>
      </c>
      <c r="X1190" s="14">
        <f>IFERROR(Tabela1[[#This Row],[QIANTIDADE EXPEDIDA]]*Tabela1[[#This Row],[PESO UNI]],"")</f>
        <v>0</v>
      </c>
      <c r="Y1190" s="14">
        <f t="shared" si="280"/>
        <v>-1</v>
      </c>
      <c r="Z1190" s="20">
        <f>Tabela1[[#This Row],[PESO TOTAL]]-Tabela1[[#This Row],[Peso Expedido]]</f>
        <v>16.7</v>
      </c>
      <c r="AA1190" s="17">
        <v>1</v>
      </c>
      <c r="AB1190" s="33"/>
      <c r="AC1190" s="33"/>
      <c r="AD1190" s="33"/>
      <c r="AE1190" s="33"/>
      <c r="AF1190" s="33"/>
      <c r="AG1190" s="33"/>
      <c r="AH1190" s="33"/>
      <c r="AI1190" s="33"/>
      <c r="AJ1190"/>
      <c r="AK1190"/>
      <c r="AL1190"/>
      <c r="AM1190"/>
      <c r="AN1190"/>
      <c r="AO1190"/>
      <c r="AP1190"/>
      <c r="AQ1190" s="22"/>
      <c r="AR1190" s="24"/>
      <c r="AS1190" s="37"/>
      <c r="AT1190" s="37"/>
      <c r="AU1190" s="37"/>
      <c r="AV1190" s="37"/>
      <c r="AW1190" s="37"/>
    </row>
    <row r="1191" spans="1:49" ht="15.75" customHeight="1" x14ac:dyDescent="0.25">
      <c r="A1191" s="1" t="s">
        <v>5670</v>
      </c>
      <c r="B1191" s="21" t="s">
        <v>5671</v>
      </c>
      <c r="C1191" s="1">
        <v>1</v>
      </c>
      <c r="D1191" s="1" t="s">
        <v>5681</v>
      </c>
      <c r="E1191" s="7">
        <v>4872</v>
      </c>
      <c r="F1191" s="7">
        <v>7</v>
      </c>
      <c r="G1191" s="1">
        <v>14.1</v>
      </c>
      <c r="H1191" s="34">
        <f>Tabela1[[#This Row],[PESO UNI]]*Tabela1[[#This Row],[QTE]]</f>
        <v>14.1</v>
      </c>
      <c r="I1191" s="7">
        <v>0</v>
      </c>
      <c r="J1191" s="8" t="s">
        <v>5529</v>
      </c>
      <c r="K1191" s="8" t="s">
        <v>4320</v>
      </c>
      <c r="L1191" s="9" t="s">
        <v>5530</v>
      </c>
      <c r="M1191" s="10">
        <v>46275</v>
      </c>
      <c r="N1191" s="8" t="s">
        <v>5105</v>
      </c>
      <c r="O1191" s="12"/>
      <c r="P1191" s="13"/>
      <c r="Q1191" s="14">
        <f>Tabela1[[#This Row],[QTDE/ Fabricação]]-Tabela1[[#This Row],[QTE]]</f>
        <v>-1</v>
      </c>
      <c r="R1191" s="18">
        <f t="shared" si="277"/>
        <v>3.5249999999999999</v>
      </c>
      <c r="S1191" s="18">
        <f t="shared" si="278"/>
        <v>0</v>
      </c>
      <c r="T1191" s="19">
        <f t="shared" si="279"/>
        <v>-14.1</v>
      </c>
      <c r="U1191" s="16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IFERROR(VLOOKUP(Tabela1[[#This Row],[COD.MDE]],'LISTA DE EMBARQUE'!B:M,12,0),"")</f>
        <v/>
      </c>
      <c r="X1191" s="14">
        <f>IFERROR(Tabela1[[#This Row],[QIANTIDADE EXPEDIDA]]*Tabela1[[#This Row],[PESO UNI]],"")</f>
        <v>0</v>
      </c>
      <c r="Y1191" s="14">
        <f t="shared" si="280"/>
        <v>-1</v>
      </c>
      <c r="Z1191" s="20">
        <f>Tabela1[[#This Row],[PESO TOTAL]]-Tabela1[[#This Row],[Peso Expedido]]</f>
        <v>14.1</v>
      </c>
      <c r="AA1191" s="17">
        <v>1</v>
      </c>
      <c r="AB1191" s="33"/>
      <c r="AC1191" s="33"/>
      <c r="AD1191" s="33"/>
      <c r="AE1191" s="33"/>
      <c r="AF1191" s="33"/>
      <c r="AG1191" s="33"/>
      <c r="AH1191" s="33"/>
      <c r="AI1191" s="33"/>
      <c r="AJ1191"/>
      <c r="AK1191"/>
      <c r="AL1191"/>
      <c r="AM1191"/>
      <c r="AN1191"/>
      <c r="AO1191"/>
      <c r="AP1191"/>
      <c r="AQ1191" s="22"/>
      <c r="AR1191" s="24"/>
      <c r="AS1191" s="37"/>
      <c r="AT1191" s="37"/>
      <c r="AU1191" s="37"/>
      <c r="AV1191" s="37"/>
      <c r="AW1191" s="37"/>
    </row>
    <row r="1192" spans="1:49" ht="15.75" customHeight="1" x14ac:dyDescent="0.25">
      <c r="A1192" s="1" t="s">
        <v>5670</v>
      </c>
      <c r="B1192" s="21" t="s">
        <v>5671</v>
      </c>
      <c r="C1192" s="1">
        <v>1</v>
      </c>
      <c r="D1192" s="1" t="s">
        <v>5682</v>
      </c>
      <c r="E1192" s="7">
        <v>4873</v>
      </c>
      <c r="F1192" s="7">
        <v>7</v>
      </c>
      <c r="G1192" s="1">
        <v>13.1</v>
      </c>
      <c r="H1192" s="34">
        <f>Tabela1[[#This Row],[PESO UNI]]*Tabela1[[#This Row],[QTE]]</f>
        <v>13.1</v>
      </c>
      <c r="I1192" s="7">
        <v>0</v>
      </c>
      <c r="J1192" s="8" t="s">
        <v>5529</v>
      </c>
      <c r="K1192" s="8" t="s">
        <v>4320</v>
      </c>
      <c r="L1192" s="9" t="s">
        <v>5530</v>
      </c>
      <c r="M1192" s="10">
        <v>46275</v>
      </c>
      <c r="N1192" s="8" t="s">
        <v>5105</v>
      </c>
      <c r="O1192" s="12"/>
      <c r="P1192" s="13"/>
      <c r="Q1192" s="14">
        <f>Tabela1[[#This Row],[QTDE/ Fabricação]]-Tabela1[[#This Row],[QTE]]</f>
        <v>-1</v>
      </c>
      <c r="R1192" s="18">
        <f t="shared" si="277"/>
        <v>3.2749999999999999</v>
      </c>
      <c r="S1192" s="18">
        <f t="shared" si="278"/>
        <v>0</v>
      </c>
      <c r="T1192" s="19">
        <f t="shared" si="279"/>
        <v>-13.1</v>
      </c>
      <c r="U1192" s="16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IFERROR(VLOOKUP(Tabela1[[#This Row],[COD.MDE]],'LISTA DE EMBARQUE'!B:M,12,0),"")</f>
        <v/>
      </c>
      <c r="X1192" s="14">
        <f>IFERROR(Tabela1[[#This Row],[QIANTIDADE EXPEDIDA]]*Tabela1[[#This Row],[PESO UNI]],"")</f>
        <v>0</v>
      </c>
      <c r="Y1192" s="14">
        <f t="shared" si="280"/>
        <v>-1</v>
      </c>
      <c r="Z1192" s="20">
        <f>Tabela1[[#This Row],[PESO TOTAL]]-Tabela1[[#This Row],[Peso Expedido]]</f>
        <v>13.1</v>
      </c>
      <c r="AA1192" s="17">
        <v>1</v>
      </c>
      <c r="AB1192" s="33"/>
      <c r="AC1192" s="33"/>
      <c r="AD1192" s="33"/>
      <c r="AE1192" s="33"/>
      <c r="AF1192" s="33"/>
      <c r="AG1192" s="33"/>
      <c r="AH1192" s="33"/>
      <c r="AI1192" s="33"/>
      <c r="AJ1192"/>
      <c r="AK1192"/>
      <c r="AL1192"/>
      <c r="AM1192"/>
      <c r="AN1192"/>
      <c r="AO1192"/>
      <c r="AP1192"/>
      <c r="AQ1192" s="22"/>
      <c r="AR1192" s="24"/>
      <c r="AS1192" s="37"/>
      <c r="AT1192" s="37"/>
      <c r="AU1192" s="37"/>
      <c r="AV1192" s="37"/>
      <c r="AW1192" s="37"/>
    </row>
    <row r="1193" spans="1:49" ht="15.75" customHeight="1" x14ac:dyDescent="0.25">
      <c r="A1193" s="1" t="s">
        <v>5670</v>
      </c>
      <c r="B1193" s="21" t="s">
        <v>5671</v>
      </c>
      <c r="C1193" s="1">
        <v>1</v>
      </c>
      <c r="D1193" s="1" t="s">
        <v>5683</v>
      </c>
      <c r="E1193" s="7">
        <v>4874</v>
      </c>
      <c r="F1193" s="7">
        <v>7</v>
      </c>
      <c r="G1193" s="1">
        <v>13.1</v>
      </c>
      <c r="H1193" s="34">
        <f>Tabela1[[#This Row],[PESO UNI]]*Tabela1[[#This Row],[QTE]]</f>
        <v>13.1</v>
      </c>
      <c r="I1193" s="7">
        <v>0</v>
      </c>
      <c r="J1193" s="8" t="s">
        <v>5529</v>
      </c>
      <c r="K1193" s="8" t="s">
        <v>4320</v>
      </c>
      <c r="L1193" s="9" t="s">
        <v>5530</v>
      </c>
      <c r="M1193" s="10">
        <v>46275</v>
      </c>
      <c r="N1193" s="8" t="s">
        <v>5105</v>
      </c>
      <c r="O1193" s="12"/>
      <c r="P1193" s="13"/>
      <c r="Q1193" s="14">
        <f>Tabela1[[#This Row],[QTDE/ Fabricação]]-Tabela1[[#This Row],[QTE]]</f>
        <v>-1</v>
      </c>
      <c r="R1193" s="18">
        <f t="shared" si="277"/>
        <v>3.2749999999999999</v>
      </c>
      <c r="S1193" s="18">
        <f t="shared" si="278"/>
        <v>0</v>
      </c>
      <c r="T1193" s="19">
        <f t="shared" si="279"/>
        <v>-13.1</v>
      </c>
      <c r="U1193" s="16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IFERROR(VLOOKUP(Tabela1[[#This Row],[COD.MDE]],'LISTA DE EMBARQUE'!B:M,12,0),"")</f>
        <v/>
      </c>
      <c r="X1193" s="14">
        <f>IFERROR(Tabela1[[#This Row],[QIANTIDADE EXPEDIDA]]*Tabela1[[#This Row],[PESO UNI]],"")</f>
        <v>0</v>
      </c>
      <c r="Y1193" s="14">
        <f t="shared" si="280"/>
        <v>-1</v>
      </c>
      <c r="Z1193" s="20">
        <f>Tabela1[[#This Row],[PESO TOTAL]]-Tabela1[[#This Row],[Peso Expedido]]</f>
        <v>13.1</v>
      </c>
      <c r="AA1193" s="17">
        <v>1</v>
      </c>
      <c r="AB1193" s="33"/>
      <c r="AC1193" s="33"/>
      <c r="AD1193" s="33"/>
      <c r="AE1193" s="33"/>
      <c r="AF1193" s="33"/>
      <c r="AG1193" s="33"/>
      <c r="AH1193" s="33"/>
      <c r="AI1193" s="33"/>
      <c r="AJ1193"/>
      <c r="AK1193"/>
      <c r="AL1193"/>
      <c r="AM1193"/>
      <c r="AN1193"/>
      <c r="AO1193"/>
      <c r="AP1193"/>
      <c r="AQ1193" s="22"/>
      <c r="AR1193" s="24"/>
      <c r="AS1193" s="37"/>
      <c r="AT1193" s="37"/>
      <c r="AU1193" s="37"/>
      <c r="AV1193" s="37"/>
      <c r="AW1193" s="37"/>
    </row>
    <row r="1194" spans="1:49" ht="15.75" customHeight="1" x14ac:dyDescent="0.25">
      <c r="A1194" s="1" t="s">
        <v>5670</v>
      </c>
      <c r="B1194" s="21" t="s">
        <v>5671</v>
      </c>
      <c r="C1194" s="1">
        <v>1</v>
      </c>
      <c r="D1194" s="1" t="s">
        <v>5684</v>
      </c>
      <c r="E1194" s="7">
        <v>4875</v>
      </c>
      <c r="F1194" s="7">
        <v>7</v>
      </c>
      <c r="G1194" s="1">
        <v>19.7</v>
      </c>
      <c r="H1194" s="34">
        <f>Tabela1[[#This Row],[PESO UNI]]*Tabela1[[#This Row],[QTE]]</f>
        <v>19.7</v>
      </c>
      <c r="I1194" s="7">
        <v>0</v>
      </c>
      <c r="J1194" s="8" t="s">
        <v>5529</v>
      </c>
      <c r="K1194" s="8" t="s">
        <v>4320</v>
      </c>
      <c r="L1194" s="9" t="s">
        <v>5530</v>
      </c>
      <c r="M1194" s="10">
        <v>46275</v>
      </c>
      <c r="N1194" s="8" t="s">
        <v>5105</v>
      </c>
      <c r="O1194" s="12"/>
      <c r="P1194" s="13"/>
      <c r="Q1194" s="14">
        <f>Tabela1[[#This Row],[QTDE/ Fabricação]]-Tabela1[[#This Row],[QTE]]</f>
        <v>-1</v>
      </c>
      <c r="R1194" s="18">
        <f t="shared" si="277"/>
        <v>4.9249999999999998</v>
      </c>
      <c r="S1194" s="18">
        <f t="shared" si="278"/>
        <v>0</v>
      </c>
      <c r="T1194" s="19">
        <f t="shared" si="279"/>
        <v>-19.7</v>
      </c>
      <c r="U1194" s="16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IFERROR(VLOOKUP(Tabela1[[#This Row],[COD.MDE]],'LISTA DE EMBARQUE'!B:M,12,0),"")</f>
        <v/>
      </c>
      <c r="X1194" s="14">
        <f>IFERROR(Tabela1[[#This Row],[QIANTIDADE EXPEDIDA]]*Tabela1[[#This Row],[PESO UNI]],"")</f>
        <v>0</v>
      </c>
      <c r="Y1194" s="14">
        <f t="shared" si="280"/>
        <v>-1</v>
      </c>
      <c r="Z1194" s="20">
        <f>Tabela1[[#This Row],[PESO TOTAL]]-Tabela1[[#This Row],[Peso Expedido]]</f>
        <v>19.7</v>
      </c>
      <c r="AA1194" s="17">
        <v>1</v>
      </c>
      <c r="AB1194" s="33"/>
      <c r="AC1194" s="33"/>
      <c r="AD1194" s="33"/>
      <c r="AE1194" s="33"/>
      <c r="AF1194" s="33"/>
      <c r="AG1194" s="33"/>
      <c r="AH1194" s="33"/>
      <c r="AI1194" s="33"/>
      <c r="AJ1194"/>
      <c r="AK1194"/>
      <c r="AL1194"/>
      <c r="AM1194"/>
      <c r="AN1194"/>
      <c r="AO1194"/>
      <c r="AP1194"/>
      <c r="AQ1194" s="22"/>
      <c r="AR1194" s="24"/>
      <c r="AS1194" s="37"/>
      <c r="AT1194" s="37"/>
      <c r="AU1194" s="37"/>
      <c r="AV1194" s="37"/>
      <c r="AW1194" s="37"/>
    </row>
    <row r="1195" spans="1:49" ht="15.75" customHeight="1" x14ac:dyDescent="0.25">
      <c r="A1195" s="1" t="s">
        <v>5670</v>
      </c>
      <c r="B1195" s="21" t="s">
        <v>5671</v>
      </c>
      <c r="C1195" s="1">
        <v>2</v>
      </c>
      <c r="D1195" s="1" t="s">
        <v>5685</v>
      </c>
      <c r="E1195" s="7">
        <v>4876</v>
      </c>
      <c r="F1195" s="7">
        <v>7</v>
      </c>
      <c r="G1195" s="1">
        <v>1.7</v>
      </c>
      <c r="H1195" s="34">
        <f>Tabela1[[#This Row],[PESO UNI]]*Tabela1[[#This Row],[QTE]]</f>
        <v>3.4</v>
      </c>
      <c r="I1195" s="7">
        <v>0</v>
      </c>
      <c r="J1195" s="8" t="s">
        <v>5529</v>
      </c>
      <c r="K1195" s="8" t="s">
        <v>4320</v>
      </c>
      <c r="L1195" s="9" t="s">
        <v>5530</v>
      </c>
      <c r="M1195" s="10">
        <v>46275</v>
      </c>
      <c r="N1195" s="8" t="s">
        <v>5105</v>
      </c>
      <c r="O1195" s="12"/>
      <c r="P1195" s="13"/>
      <c r="Q1195" s="14">
        <f>Tabela1[[#This Row],[QTDE/ Fabricação]]-Tabela1[[#This Row],[QTE]]</f>
        <v>-2</v>
      </c>
      <c r="R1195" s="18">
        <f t="shared" si="277"/>
        <v>0.85</v>
      </c>
      <c r="S1195" s="18">
        <f t="shared" si="278"/>
        <v>0</v>
      </c>
      <c r="T1195" s="19">
        <f t="shared" si="279"/>
        <v>-3.4</v>
      </c>
      <c r="U1195" s="16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IFERROR(VLOOKUP(Tabela1[[#This Row],[COD.MDE]],'LISTA DE EMBARQUE'!B:M,12,0),"")</f>
        <v/>
      </c>
      <c r="X1195" s="14">
        <f>IFERROR(Tabela1[[#This Row],[QIANTIDADE EXPEDIDA]]*Tabela1[[#This Row],[PESO UNI]],"")</f>
        <v>0</v>
      </c>
      <c r="Y1195" s="14">
        <f t="shared" si="280"/>
        <v>-2</v>
      </c>
      <c r="Z1195" s="20">
        <f>Tabela1[[#This Row],[PESO TOTAL]]-Tabela1[[#This Row],[Peso Expedido]]</f>
        <v>3.4</v>
      </c>
      <c r="AA1195" s="17">
        <v>1</v>
      </c>
      <c r="AB1195" s="33"/>
      <c r="AC1195" s="33"/>
      <c r="AD1195" s="33"/>
      <c r="AE1195" s="33"/>
      <c r="AF1195" s="33"/>
      <c r="AG1195" s="33"/>
      <c r="AH1195" s="33"/>
      <c r="AI1195" s="33"/>
      <c r="AJ1195"/>
      <c r="AK1195"/>
      <c r="AL1195"/>
      <c r="AM1195"/>
      <c r="AN1195"/>
      <c r="AO1195"/>
      <c r="AP1195"/>
      <c r="AQ1195" s="22"/>
      <c r="AR1195" s="24"/>
      <c r="AS1195" s="37"/>
      <c r="AT1195" s="37"/>
      <c r="AU1195" s="37"/>
      <c r="AV1195" s="37"/>
      <c r="AW1195" s="37"/>
    </row>
    <row r="1196" spans="1:49" ht="15.75" customHeight="1" x14ac:dyDescent="0.25">
      <c r="A1196" s="1" t="s">
        <v>5670</v>
      </c>
      <c r="B1196" s="21" t="s">
        <v>5671</v>
      </c>
      <c r="C1196" s="1">
        <v>2</v>
      </c>
      <c r="D1196" s="1" t="s">
        <v>5686</v>
      </c>
      <c r="E1196" s="7">
        <v>4877</v>
      </c>
      <c r="F1196" s="7">
        <v>7</v>
      </c>
      <c r="G1196" s="1">
        <v>6.6</v>
      </c>
      <c r="H1196" s="34">
        <f>Tabela1[[#This Row],[PESO UNI]]*Tabela1[[#This Row],[QTE]]</f>
        <v>13.2</v>
      </c>
      <c r="I1196" s="7">
        <v>0</v>
      </c>
      <c r="J1196" s="8" t="s">
        <v>5529</v>
      </c>
      <c r="K1196" s="8" t="s">
        <v>4320</v>
      </c>
      <c r="L1196" s="9" t="s">
        <v>5530</v>
      </c>
      <c r="M1196" s="10">
        <v>46275</v>
      </c>
      <c r="N1196" s="8" t="s">
        <v>5105</v>
      </c>
      <c r="O1196" s="12"/>
      <c r="P1196" s="13"/>
      <c r="Q1196" s="14">
        <f>Tabela1[[#This Row],[QTDE/ Fabricação]]-Tabela1[[#This Row],[QTE]]</f>
        <v>-2</v>
      </c>
      <c r="R1196" s="18">
        <f t="shared" si="277"/>
        <v>3.3</v>
      </c>
      <c r="S1196" s="18">
        <f t="shared" si="278"/>
        <v>0</v>
      </c>
      <c r="T1196" s="19">
        <f t="shared" si="279"/>
        <v>-13.2</v>
      </c>
      <c r="U1196" s="16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IFERROR(VLOOKUP(Tabela1[[#This Row],[COD.MDE]],'LISTA DE EMBARQUE'!B:M,12,0),"")</f>
        <v/>
      </c>
      <c r="X1196" s="14">
        <f>IFERROR(Tabela1[[#This Row],[QIANTIDADE EXPEDIDA]]*Tabela1[[#This Row],[PESO UNI]],"")</f>
        <v>0</v>
      </c>
      <c r="Y1196" s="14">
        <f t="shared" si="280"/>
        <v>-2</v>
      </c>
      <c r="Z1196" s="20">
        <f>Tabela1[[#This Row],[PESO TOTAL]]-Tabela1[[#This Row],[Peso Expedido]]</f>
        <v>13.2</v>
      </c>
      <c r="AA1196" s="17">
        <v>1</v>
      </c>
      <c r="AB1196" s="33"/>
      <c r="AC1196" s="33"/>
      <c r="AD1196" s="33"/>
      <c r="AE1196" s="33"/>
      <c r="AF1196" s="33"/>
      <c r="AG1196" s="33"/>
      <c r="AH1196" s="33"/>
      <c r="AI1196" s="33"/>
      <c r="AJ1196"/>
      <c r="AK1196"/>
      <c r="AL1196"/>
      <c r="AM1196"/>
      <c r="AN1196"/>
      <c r="AO1196"/>
      <c r="AP1196"/>
      <c r="AQ1196" s="22"/>
      <c r="AR1196" s="24"/>
      <c r="AS1196" s="37"/>
      <c r="AT1196" s="37"/>
      <c r="AU1196" s="37"/>
      <c r="AV1196" s="37"/>
      <c r="AW1196" s="37"/>
    </row>
    <row r="1197" spans="1:49" ht="15.75" customHeight="1" x14ac:dyDescent="0.25">
      <c r="A1197" s="1" t="s">
        <v>5670</v>
      </c>
      <c r="B1197" s="21" t="s">
        <v>5671</v>
      </c>
      <c r="C1197" s="1">
        <v>2</v>
      </c>
      <c r="D1197" s="1" t="s">
        <v>5687</v>
      </c>
      <c r="E1197" s="7">
        <v>4878</v>
      </c>
      <c r="F1197" s="7">
        <v>7</v>
      </c>
      <c r="G1197" s="1">
        <v>15</v>
      </c>
      <c r="H1197" s="34">
        <f>Tabela1[[#This Row],[PESO UNI]]*Tabela1[[#This Row],[QTE]]</f>
        <v>30</v>
      </c>
      <c r="I1197" s="7">
        <v>0</v>
      </c>
      <c r="J1197" s="8" t="s">
        <v>5529</v>
      </c>
      <c r="K1197" s="8" t="s">
        <v>4320</v>
      </c>
      <c r="L1197" s="9" t="s">
        <v>5530</v>
      </c>
      <c r="M1197" s="10">
        <v>46275</v>
      </c>
      <c r="N1197" s="8" t="s">
        <v>5105</v>
      </c>
      <c r="O1197" s="12"/>
      <c r="P1197" s="13"/>
      <c r="Q1197" s="14">
        <f>Tabela1[[#This Row],[QTDE/ Fabricação]]-Tabela1[[#This Row],[QTE]]</f>
        <v>-2</v>
      </c>
      <c r="R1197" s="18">
        <f t="shared" si="277"/>
        <v>7.5</v>
      </c>
      <c r="S1197" s="18">
        <f t="shared" si="278"/>
        <v>0</v>
      </c>
      <c r="T1197" s="19">
        <f t="shared" si="279"/>
        <v>-30</v>
      </c>
      <c r="U1197" s="16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IFERROR(VLOOKUP(Tabela1[[#This Row],[COD.MDE]],'LISTA DE EMBARQUE'!B:M,12,0),"")</f>
        <v/>
      </c>
      <c r="X1197" s="14">
        <f>IFERROR(Tabela1[[#This Row],[QIANTIDADE EXPEDIDA]]*Tabela1[[#This Row],[PESO UNI]],"")</f>
        <v>0</v>
      </c>
      <c r="Y1197" s="14">
        <f t="shared" si="280"/>
        <v>-2</v>
      </c>
      <c r="Z1197" s="20">
        <f>Tabela1[[#This Row],[PESO TOTAL]]-Tabela1[[#This Row],[Peso Expedido]]</f>
        <v>30</v>
      </c>
      <c r="AA1197" s="17">
        <v>1</v>
      </c>
      <c r="AB1197" s="33"/>
      <c r="AC1197" s="33"/>
      <c r="AD1197" s="33"/>
      <c r="AE1197" s="33"/>
      <c r="AF1197" s="33"/>
      <c r="AG1197" s="33"/>
      <c r="AH1197" s="33"/>
      <c r="AI1197" s="33"/>
      <c r="AJ1197"/>
      <c r="AK1197"/>
      <c r="AL1197"/>
      <c r="AM1197"/>
      <c r="AN1197"/>
      <c r="AO1197"/>
      <c r="AP1197"/>
      <c r="AQ1197" s="22"/>
      <c r="AR1197" s="24"/>
      <c r="AS1197" s="37"/>
      <c r="AT1197" s="37"/>
      <c r="AU1197" s="37"/>
      <c r="AV1197" s="37"/>
      <c r="AW1197" s="37"/>
    </row>
    <row r="1198" spans="1:49" ht="15.75" customHeight="1" x14ac:dyDescent="0.25">
      <c r="A1198" s="1" t="s">
        <v>5670</v>
      </c>
      <c r="B1198" s="21" t="s">
        <v>5671</v>
      </c>
      <c r="C1198" s="1">
        <v>1</v>
      </c>
      <c r="D1198" s="1" t="s">
        <v>5688</v>
      </c>
      <c r="E1198" s="7">
        <v>4879</v>
      </c>
      <c r="F1198" s="7">
        <v>7</v>
      </c>
      <c r="G1198" s="1">
        <v>113.6</v>
      </c>
      <c r="H1198" s="34">
        <f>Tabela1[[#This Row],[PESO UNI]]*Tabela1[[#This Row],[QTE]]</f>
        <v>113.6</v>
      </c>
      <c r="I1198" s="7">
        <v>0</v>
      </c>
      <c r="J1198" s="8" t="s">
        <v>5529</v>
      </c>
      <c r="K1198" s="8" t="s">
        <v>4320</v>
      </c>
      <c r="L1198" s="9" t="s">
        <v>5530</v>
      </c>
      <c r="M1198" s="10">
        <v>46275</v>
      </c>
      <c r="N1198" s="8" t="s">
        <v>5105</v>
      </c>
      <c r="O1198" s="12"/>
      <c r="P1198" s="13"/>
      <c r="Q1198" s="14">
        <f>Tabela1[[#This Row],[QTDE/ Fabricação]]-Tabela1[[#This Row],[QTE]]</f>
        <v>-1</v>
      </c>
      <c r="R1198" s="18">
        <f t="shared" si="277"/>
        <v>28.4</v>
      </c>
      <c r="S1198" s="18">
        <f t="shared" si="278"/>
        <v>0</v>
      </c>
      <c r="T1198" s="19">
        <f t="shared" si="279"/>
        <v>-113.6</v>
      </c>
      <c r="U1198" s="16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IFERROR(VLOOKUP(Tabela1[[#This Row],[COD.MDE]],'LISTA DE EMBARQUE'!B:M,12,0),"")</f>
        <v/>
      </c>
      <c r="X1198" s="14">
        <f>IFERROR(Tabela1[[#This Row],[QIANTIDADE EXPEDIDA]]*Tabela1[[#This Row],[PESO UNI]],"")</f>
        <v>0</v>
      </c>
      <c r="Y1198" s="14">
        <f t="shared" si="280"/>
        <v>-1</v>
      </c>
      <c r="Z1198" s="20">
        <f>Tabela1[[#This Row],[PESO TOTAL]]-Tabela1[[#This Row],[Peso Expedido]]</f>
        <v>113.6</v>
      </c>
      <c r="AA1198" s="17">
        <v>1</v>
      </c>
      <c r="AB1198" s="33"/>
      <c r="AC1198" s="33"/>
      <c r="AD1198" s="33"/>
      <c r="AE1198" s="33"/>
      <c r="AF1198" s="33"/>
      <c r="AG1198" s="33"/>
      <c r="AH1198" s="33"/>
      <c r="AI1198" s="33"/>
      <c r="AJ1198"/>
      <c r="AK1198"/>
      <c r="AL1198"/>
      <c r="AM1198"/>
      <c r="AN1198"/>
      <c r="AO1198"/>
      <c r="AP1198"/>
      <c r="AQ1198" s="22"/>
      <c r="AR1198" s="24"/>
      <c r="AS1198" s="37"/>
      <c r="AT1198" s="37"/>
      <c r="AU1198" s="37"/>
      <c r="AV1198" s="37"/>
      <c r="AW1198" s="37"/>
    </row>
    <row r="1199" spans="1:49" ht="15.75" customHeight="1" x14ac:dyDescent="0.25">
      <c r="A1199" s="1" t="s">
        <v>5689</v>
      </c>
      <c r="B1199" s="21" t="s">
        <v>5671</v>
      </c>
      <c r="C1199" s="1">
        <v>4</v>
      </c>
      <c r="D1199" s="1" t="s">
        <v>5690</v>
      </c>
      <c r="E1199" s="7">
        <v>4880</v>
      </c>
      <c r="F1199" s="7">
        <v>8</v>
      </c>
      <c r="G1199" s="1">
        <v>21.2</v>
      </c>
      <c r="H1199" s="34">
        <f>Tabela1[[#This Row],[PESO UNI]]*Tabela1[[#This Row],[QTE]]</f>
        <v>84.8</v>
      </c>
      <c r="I1199" s="7">
        <v>0</v>
      </c>
      <c r="J1199" s="8" t="s">
        <v>5529</v>
      </c>
      <c r="K1199" s="8" t="s">
        <v>4320</v>
      </c>
      <c r="L1199" s="9" t="s">
        <v>5530</v>
      </c>
      <c r="M1199" s="10">
        <v>46275</v>
      </c>
      <c r="N1199" s="8" t="s">
        <v>5105</v>
      </c>
      <c r="O1199" s="12"/>
      <c r="P1199" s="13"/>
      <c r="Q1199" s="14">
        <f>Tabela1[[#This Row],[QTDE/ Fabricação]]-Tabela1[[#This Row],[QTE]]</f>
        <v>-4</v>
      </c>
      <c r="R1199" s="18">
        <f t="shared" si="277"/>
        <v>21.2</v>
      </c>
      <c r="S1199" s="18">
        <f t="shared" si="278"/>
        <v>0</v>
      </c>
      <c r="T1199" s="19">
        <f t="shared" si="279"/>
        <v>-84.8</v>
      </c>
      <c r="U1199" s="16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IFERROR(VLOOKUP(Tabela1[[#This Row],[COD.MDE]],'LISTA DE EMBARQUE'!B:M,12,0),"")</f>
        <v/>
      </c>
      <c r="X1199" s="14">
        <f>IFERROR(Tabela1[[#This Row],[QIANTIDADE EXPEDIDA]]*Tabela1[[#This Row],[PESO UNI]],"")</f>
        <v>0</v>
      </c>
      <c r="Y1199" s="14">
        <f t="shared" si="280"/>
        <v>-4</v>
      </c>
      <c r="Z1199" s="20">
        <f>Tabela1[[#This Row],[PESO TOTAL]]-Tabela1[[#This Row],[Peso Expedido]]</f>
        <v>84.8</v>
      </c>
      <c r="AA1199" s="17">
        <v>1</v>
      </c>
      <c r="AB1199" s="33"/>
      <c r="AC1199" s="33"/>
      <c r="AD1199" s="33"/>
      <c r="AE1199" s="33"/>
      <c r="AF1199" s="33"/>
      <c r="AG1199" s="33"/>
      <c r="AH1199" s="33"/>
      <c r="AI1199" s="33"/>
      <c r="AJ1199"/>
      <c r="AK1199"/>
      <c r="AL1199"/>
      <c r="AM1199"/>
      <c r="AN1199"/>
      <c r="AO1199"/>
      <c r="AP1199"/>
      <c r="AQ1199" s="22"/>
      <c r="AR1199" s="24"/>
      <c r="AS1199" s="37"/>
      <c r="AT1199" s="37"/>
      <c r="AU1199" s="37"/>
      <c r="AV1199" s="37"/>
      <c r="AW1199" s="37"/>
    </row>
    <row r="1200" spans="1:49" ht="15.75" customHeight="1" x14ac:dyDescent="0.25">
      <c r="A1200" s="1" t="s">
        <v>5689</v>
      </c>
      <c r="B1200" s="21" t="s">
        <v>5671</v>
      </c>
      <c r="C1200" s="1">
        <v>4</v>
      </c>
      <c r="D1200" s="1" t="s">
        <v>5691</v>
      </c>
      <c r="E1200" s="7">
        <v>4881</v>
      </c>
      <c r="F1200" s="7">
        <v>8</v>
      </c>
      <c r="G1200" s="1">
        <v>7.6</v>
      </c>
      <c r="H1200" s="34">
        <f>Tabela1[[#This Row],[PESO UNI]]*Tabela1[[#This Row],[QTE]]</f>
        <v>30.4</v>
      </c>
      <c r="I1200" s="7">
        <v>0</v>
      </c>
      <c r="J1200" s="8" t="s">
        <v>5529</v>
      </c>
      <c r="K1200" s="8" t="s">
        <v>4320</v>
      </c>
      <c r="L1200" s="9" t="s">
        <v>5530</v>
      </c>
      <c r="M1200" s="10">
        <v>46275</v>
      </c>
      <c r="N1200" s="8" t="s">
        <v>5105</v>
      </c>
      <c r="O1200" s="12"/>
      <c r="P1200" s="13"/>
      <c r="Q1200" s="14">
        <f>Tabela1[[#This Row],[QTDE/ Fabricação]]-Tabela1[[#This Row],[QTE]]</f>
        <v>-4</v>
      </c>
      <c r="R1200" s="18">
        <f t="shared" ref="R1200:R1204" si="281">IFERROR(H1200*((AA1200*0.25)+(AC1200*0.25)+(AD1200*0.225)+(AE1200*0.225)+(AF1200*0.05)),"")</f>
        <v>7.6</v>
      </c>
      <c r="S1200" s="18">
        <f t="shared" ref="S1200:S1204" si="282">IFERROR(H1200*AG1200,"")</f>
        <v>0</v>
      </c>
      <c r="T1200" s="19">
        <f t="shared" ref="T1200:T1204" si="283">IFERROR(S1200-H1200,"")</f>
        <v>-30.4</v>
      </c>
      <c r="U1200" s="16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IFERROR(VLOOKUP(Tabela1[[#This Row],[COD.MDE]],'LISTA DE EMBARQUE'!B:M,12,0),"")</f>
        <v/>
      </c>
      <c r="X1200" s="14">
        <f>IFERROR(Tabela1[[#This Row],[QIANTIDADE EXPEDIDA]]*Tabela1[[#This Row],[PESO UNI]],"")</f>
        <v>0</v>
      </c>
      <c r="Y1200" s="14">
        <f t="shared" ref="Y1200:Y1204" si="284">U1200-C1200</f>
        <v>-4</v>
      </c>
      <c r="Z1200" s="20">
        <f>Tabela1[[#This Row],[PESO TOTAL]]-Tabela1[[#This Row],[Peso Expedido]]</f>
        <v>30.4</v>
      </c>
      <c r="AA1200" s="17">
        <v>1</v>
      </c>
      <c r="AB1200" s="33"/>
      <c r="AC1200" s="33"/>
      <c r="AD1200" s="33"/>
      <c r="AE1200" s="33"/>
      <c r="AF1200" s="33"/>
      <c r="AG1200" s="33"/>
      <c r="AH1200" s="33"/>
      <c r="AI1200" s="33"/>
      <c r="AJ1200"/>
      <c r="AK1200"/>
      <c r="AL1200"/>
      <c r="AM1200"/>
      <c r="AN1200"/>
      <c r="AO1200"/>
      <c r="AP1200"/>
      <c r="AQ1200" s="22"/>
      <c r="AR1200" s="24"/>
      <c r="AS1200" s="37"/>
      <c r="AT1200" s="37"/>
      <c r="AU1200" s="37"/>
      <c r="AV1200" s="37"/>
      <c r="AW1200" s="37"/>
    </row>
    <row r="1201" spans="1:49" ht="15.75" customHeight="1" x14ac:dyDescent="0.25">
      <c r="A1201" s="1" t="s">
        <v>5692</v>
      </c>
      <c r="B1201" s="21" t="s">
        <v>5692</v>
      </c>
      <c r="C1201" s="1">
        <v>1</v>
      </c>
      <c r="D1201" s="1" t="s">
        <v>5693</v>
      </c>
      <c r="E1201" s="7">
        <v>4882</v>
      </c>
      <c r="F1201" s="7">
        <v>1</v>
      </c>
      <c r="G1201" s="1">
        <v>729.3</v>
      </c>
      <c r="H1201" s="34">
        <f>Tabela1[[#This Row],[PESO UNI]]*Tabela1[[#This Row],[QTE]]</f>
        <v>729.3</v>
      </c>
      <c r="I1201" s="7">
        <v>1</v>
      </c>
      <c r="J1201" s="8" t="s">
        <v>5694</v>
      </c>
      <c r="K1201" s="8" t="s">
        <v>22</v>
      </c>
      <c r="L1201" s="9" t="s">
        <v>5934</v>
      </c>
      <c r="M1201" s="10">
        <v>46276</v>
      </c>
      <c r="N1201" s="8" t="s">
        <v>38</v>
      </c>
      <c r="O1201" s="12"/>
      <c r="P1201" s="13"/>
      <c r="Q1201" s="14">
        <f>Tabela1[[#This Row],[QTDE/ Fabricação]]-Tabela1[[#This Row],[QTE]]</f>
        <v>-1</v>
      </c>
      <c r="R1201" s="18">
        <f t="shared" si="281"/>
        <v>182.32499999999999</v>
      </c>
      <c r="S1201" s="18">
        <f t="shared" si="282"/>
        <v>0</v>
      </c>
      <c r="T1201" s="19">
        <f t="shared" si="283"/>
        <v>-729.3</v>
      </c>
      <c r="U1201" s="16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IFERROR(VLOOKUP(Tabela1[[#This Row],[COD.MDE]],'LISTA DE EMBARQUE'!B:M,12,0),"")</f>
        <v/>
      </c>
      <c r="X1201" s="14">
        <f>IFERROR(Tabela1[[#This Row],[QIANTIDADE EXPEDIDA]]*Tabela1[[#This Row],[PESO UNI]],"")</f>
        <v>0</v>
      </c>
      <c r="Y1201" s="14">
        <f t="shared" si="284"/>
        <v>-1</v>
      </c>
      <c r="Z1201" s="20">
        <f>Tabela1[[#This Row],[PESO TOTAL]]-Tabela1[[#This Row],[Peso Expedido]]</f>
        <v>729.3</v>
      </c>
      <c r="AA1201" s="17">
        <v>1</v>
      </c>
      <c r="AB1201" s="33"/>
      <c r="AC1201" s="33"/>
      <c r="AD1201" s="33"/>
      <c r="AE1201" s="33"/>
      <c r="AF1201" s="33"/>
      <c r="AG1201" s="33"/>
      <c r="AH1201" s="33"/>
      <c r="AI1201" s="33"/>
      <c r="AJ1201"/>
      <c r="AK1201"/>
      <c r="AL1201"/>
      <c r="AM1201"/>
      <c r="AN1201"/>
      <c r="AO1201"/>
      <c r="AP1201"/>
      <c r="AQ1201" s="22"/>
      <c r="AR1201" s="24"/>
      <c r="AS1201" s="37"/>
      <c r="AT1201" s="37"/>
      <c r="AU1201" s="37"/>
      <c r="AV1201" s="37"/>
      <c r="AW1201" s="37"/>
    </row>
    <row r="1202" spans="1:49" ht="15.75" customHeight="1" x14ac:dyDescent="0.25">
      <c r="A1202" s="1" t="s">
        <v>5697</v>
      </c>
      <c r="B1202" s="21" t="s">
        <v>5697</v>
      </c>
      <c r="C1202" s="1">
        <v>1</v>
      </c>
      <c r="D1202" s="1" t="s">
        <v>5698</v>
      </c>
      <c r="E1202" s="7">
        <v>4883</v>
      </c>
      <c r="F1202" s="7">
        <v>1</v>
      </c>
      <c r="G1202" s="1">
        <v>738.7</v>
      </c>
      <c r="H1202" s="34">
        <f>Tabela1[[#This Row],[PESO UNI]]*Tabela1[[#This Row],[QTE]]</f>
        <v>738.7</v>
      </c>
      <c r="I1202" s="7">
        <v>3</v>
      </c>
      <c r="J1202" s="8" t="s">
        <v>5699</v>
      </c>
      <c r="K1202" s="8" t="s">
        <v>22</v>
      </c>
      <c r="L1202" s="9" t="s">
        <v>5700</v>
      </c>
      <c r="M1202" s="10">
        <v>46276</v>
      </c>
      <c r="N1202" s="8" t="s">
        <v>38</v>
      </c>
      <c r="O1202" s="12"/>
      <c r="P1202" s="13"/>
      <c r="Q1202" s="14">
        <f>Tabela1[[#This Row],[QTDE/ Fabricação]]-Tabela1[[#This Row],[QTE]]</f>
        <v>-1</v>
      </c>
      <c r="R1202" s="18">
        <f t="shared" si="281"/>
        <v>184.67500000000001</v>
      </c>
      <c r="S1202" s="18">
        <f t="shared" si="282"/>
        <v>0</v>
      </c>
      <c r="T1202" s="19">
        <f t="shared" si="283"/>
        <v>-738.7</v>
      </c>
      <c r="U1202" s="16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IFERROR(VLOOKUP(Tabela1[[#This Row],[COD.MDE]],'LISTA DE EMBARQUE'!B:M,12,0),"")</f>
        <v/>
      </c>
      <c r="X1202" s="14">
        <f>IFERROR(Tabela1[[#This Row],[QIANTIDADE EXPEDIDA]]*Tabela1[[#This Row],[PESO UNI]],"")</f>
        <v>0</v>
      </c>
      <c r="Y1202" s="14">
        <f t="shared" si="284"/>
        <v>-1</v>
      </c>
      <c r="Z1202" s="20">
        <f>Tabela1[[#This Row],[PESO TOTAL]]-Tabela1[[#This Row],[Peso Expedido]]</f>
        <v>738.7</v>
      </c>
      <c r="AA1202" s="17">
        <v>1</v>
      </c>
      <c r="AB1202" s="33"/>
      <c r="AC1202" s="33"/>
      <c r="AD1202" s="33"/>
      <c r="AE1202" s="33"/>
      <c r="AF1202" s="33"/>
      <c r="AG1202" s="33"/>
      <c r="AH1202" s="33"/>
      <c r="AI1202" s="33"/>
      <c r="AJ1202"/>
      <c r="AK1202"/>
      <c r="AL1202"/>
      <c r="AM1202"/>
      <c r="AN1202"/>
      <c r="AO1202"/>
      <c r="AP1202"/>
      <c r="AQ1202" s="22"/>
      <c r="AR1202" s="24"/>
      <c r="AS1202" s="37"/>
      <c r="AT1202" s="37"/>
      <c r="AU1202" s="37"/>
      <c r="AV1202" s="37"/>
      <c r="AW1202" s="37"/>
    </row>
    <row r="1203" spans="1:49" ht="15.75" customHeight="1" x14ac:dyDescent="0.25">
      <c r="A1203" s="1" t="s">
        <v>5701</v>
      </c>
      <c r="B1203" s="21" t="s">
        <v>5701</v>
      </c>
      <c r="C1203" s="1">
        <v>1</v>
      </c>
      <c r="D1203" s="1" t="s">
        <v>5702</v>
      </c>
      <c r="E1203" s="7">
        <v>4884</v>
      </c>
      <c r="F1203" s="7">
        <v>1</v>
      </c>
      <c r="G1203" s="1">
        <v>1128.2</v>
      </c>
      <c r="H1203" s="34">
        <f>Tabela1[[#This Row],[PESO UNI]]*Tabela1[[#This Row],[QTE]]</f>
        <v>1128.2</v>
      </c>
      <c r="I1203" s="7">
        <v>3</v>
      </c>
      <c r="J1203" s="8" t="s">
        <v>5703</v>
      </c>
      <c r="K1203" s="8" t="s">
        <v>22</v>
      </c>
      <c r="L1203" s="9" t="s">
        <v>5704</v>
      </c>
      <c r="M1203" s="10">
        <v>46276</v>
      </c>
      <c r="N1203" s="8" t="s">
        <v>38</v>
      </c>
      <c r="O1203" s="12"/>
      <c r="P1203" s="13"/>
      <c r="Q1203" s="14">
        <f>Tabela1[[#This Row],[QTDE/ Fabricação]]-Tabela1[[#This Row],[QTE]]</f>
        <v>-1</v>
      </c>
      <c r="R1203" s="18">
        <f t="shared" si="281"/>
        <v>282.05</v>
      </c>
      <c r="S1203" s="18">
        <f t="shared" si="282"/>
        <v>0</v>
      </c>
      <c r="T1203" s="19">
        <f t="shared" si="283"/>
        <v>-1128.2</v>
      </c>
      <c r="U1203" s="16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IFERROR(VLOOKUP(Tabela1[[#This Row],[COD.MDE]],'LISTA DE EMBARQUE'!B:M,12,0),"")</f>
        <v/>
      </c>
      <c r="X1203" s="14">
        <f>IFERROR(Tabela1[[#This Row],[QIANTIDADE EXPEDIDA]]*Tabela1[[#This Row],[PESO UNI]],"")</f>
        <v>0</v>
      </c>
      <c r="Y1203" s="14">
        <f t="shared" si="284"/>
        <v>-1</v>
      </c>
      <c r="Z1203" s="20">
        <f>Tabela1[[#This Row],[PESO TOTAL]]-Tabela1[[#This Row],[Peso Expedido]]</f>
        <v>1128.2</v>
      </c>
      <c r="AA1203" s="17">
        <v>1</v>
      </c>
      <c r="AB1203" s="33"/>
      <c r="AC1203" s="33"/>
      <c r="AD1203" s="33"/>
      <c r="AE1203" s="33"/>
      <c r="AF1203" s="33"/>
      <c r="AG1203" s="33"/>
      <c r="AH1203" s="33"/>
      <c r="AI1203" s="33"/>
      <c r="AJ1203"/>
      <c r="AK1203"/>
      <c r="AL1203"/>
      <c r="AM1203"/>
      <c r="AN1203"/>
      <c r="AO1203"/>
      <c r="AP1203"/>
      <c r="AQ1203" s="22"/>
      <c r="AR1203" s="24"/>
      <c r="AS1203" s="37"/>
      <c r="AT1203" s="37"/>
      <c r="AU1203" s="37"/>
      <c r="AV1203" s="37"/>
      <c r="AW1203" s="37"/>
    </row>
    <row r="1204" spans="1:49" ht="15.75" customHeight="1" x14ac:dyDescent="0.25">
      <c r="A1204" s="1" t="s">
        <v>5705</v>
      </c>
      <c r="B1204" s="21" t="s">
        <v>5705</v>
      </c>
      <c r="C1204" s="1">
        <v>1</v>
      </c>
      <c r="D1204" s="1" t="s">
        <v>5706</v>
      </c>
      <c r="E1204" s="7">
        <v>4885</v>
      </c>
      <c r="F1204" s="7">
        <v>1</v>
      </c>
      <c r="G1204" s="1">
        <v>619.29999999999995</v>
      </c>
      <c r="H1204" s="34">
        <f>Tabela1[[#This Row],[PESO UNI]]*Tabela1[[#This Row],[QTE]]</f>
        <v>619.29999999999995</v>
      </c>
      <c r="I1204" s="7">
        <v>3</v>
      </c>
      <c r="J1204" s="8" t="s">
        <v>5707</v>
      </c>
      <c r="K1204" s="8" t="s">
        <v>22</v>
      </c>
      <c r="L1204" s="9" t="s">
        <v>5708</v>
      </c>
      <c r="M1204" s="10">
        <v>46276</v>
      </c>
      <c r="N1204" s="8" t="s">
        <v>38</v>
      </c>
      <c r="O1204" s="12"/>
      <c r="P1204" s="13"/>
      <c r="Q1204" s="14">
        <f>Tabela1[[#This Row],[QTDE/ Fabricação]]-Tabela1[[#This Row],[QTE]]</f>
        <v>-1</v>
      </c>
      <c r="R1204" s="18">
        <f t="shared" si="281"/>
        <v>154.82499999999999</v>
      </c>
      <c r="S1204" s="18">
        <f t="shared" si="282"/>
        <v>0</v>
      </c>
      <c r="T1204" s="19">
        <f t="shared" si="283"/>
        <v>-619.29999999999995</v>
      </c>
      <c r="U1204" s="16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IFERROR(VLOOKUP(Tabela1[[#This Row],[COD.MDE]],'LISTA DE EMBARQUE'!B:M,12,0),"")</f>
        <v/>
      </c>
      <c r="X1204" s="14">
        <f>IFERROR(Tabela1[[#This Row],[QIANTIDADE EXPEDIDA]]*Tabela1[[#This Row],[PESO UNI]],"")</f>
        <v>0</v>
      </c>
      <c r="Y1204" s="14">
        <f t="shared" si="284"/>
        <v>-1</v>
      </c>
      <c r="Z1204" s="20">
        <f>Tabela1[[#This Row],[PESO TOTAL]]-Tabela1[[#This Row],[Peso Expedido]]</f>
        <v>619.29999999999995</v>
      </c>
      <c r="AA1204" s="17">
        <v>1</v>
      </c>
      <c r="AB1204" s="33"/>
      <c r="AC1204" s="33"/>
      <c r="AD1204" s="33"/>
      <c r="AE1204" s="33"/>
      <c r="AF1204" s="33"/>
      <c r="AG1204" s="33"/>
      <c r="AH1204" s="33"/>
      <c r="AI1204" s="33"/>
      <c r="AJ1204"/>
      <c r="AK1204"/>
      <c r="AL1204"/>
      <c r="AM1204"/>
      <c r="AN1204"/>
      <c r="AO1204"/>
      <c r="AP1204"/>
      <c r="AQ1204" s="22"/>
      <c r="AR1204" s="24"/>
      <c r="AS1204" s="37"/>
      <c r="AT1204" s="37"/>
      <c r="AU1204" s="37"/>
      <c r="AV1204" s="37"/>
      <c r="AW1204" s="37"/>
    </row>
    <row r="1205" spans="1:49" ht="15.75" customHeight="1" x14ac:dyDescent="0.25">
      <c r="A1205" s="1" t="s">
        <v>5709</v>
      </c>
      <c r="B1205" s="21" t="s">
        <v>5709</v>
      </c>
      <c r="C1205" s="1">
        <v>1</v>
      </c>
      <c r="D1205" s="1" t="s">
        <v>5710</v>
      </c>
      <c r="E1205" s="7">
        <v>4886</v>
      </c>
      <c r="F1205" s="7">
        <v>1</v>
      </c>
      <c r="G1205" s="1">
        <v>439.1</v>
      </c>
      <c r="H1205" s="34">
        <f>Tabela1[[#This Row],[PESO UNI]]*Tabela1[[#This Row],[QTE]]</f>
        <v>439.1</v>
      </c>
      <c r="I1205" s="7">
        <v>1</v>
      </c>
      <c r="J1205" s="8" t="s">
        <v>5711</v>
      </c>
      <c r="K1205" s="8" t="s">
        <v>22</v>
      </c>
      <c r="L1205" s="9" t="s">
        <v>5712</v>
      </c>
      <c r="M1205" s="10">
        <v>46276</v>
      </c>
      <c r="N1205" s="8" t="s">
        <v>38</v>
      </c>
      <c r="O1205" s="12"/>
      <c r="P1205" s="13"/>
      <c r="Q1205" s="14">
        <f>Tabela1[[#This Row],[QTDE/ Fabricação]]-Tabela1[[#This Row],[QTE]]</f>
        <v>-1</v>
      </c>
      <c r="R1205" s="18">
        <f t="shared" ref="R1205:R1221" si="285">IFERROR(H1205*((AA1205*0.25)+(AC1205*0.25)+(AD1205*0.225)+(AE1205*0.225)+(AF1205*0.05)),"")</f>
        <v>109.77500000000001</v>
      </c>
      <c r="S1205" s="18">
        <f t="shared" ref="S1205:S1221" si="286">IFERROR(H1205*AG1205,"")</f>
        <v>0</v>
      </c>
      <c r="T1205" s="19">
        <f t="shared" ref="T1205:T1221" si="287">IFERROR(S1205-H1205,"")</f>
        <v>-439.1</v>
      </c>
      <c r="U1205" s="16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IFERROR(VLOOKUP(Tabela1[[#This Row],[COD.MDE]],'LISTA DE EMBARQUE'!B:M,12,0),"")</f>
        <v/>
      </c>
      <c r="X1205" s="14">
        <f>IFERROR(Tabela1[[#This Row],[QIANTIDADE EXPEDIDA]]*Tabela1[[#This Row],[PESO UNI]],"")</f>
        <v>0</v>
      </c>
      <c r="Y1205" s="14">
        <f t="shared" ref="Y1205:Y1221" si="288">U1205-C1205</f>
        <v>-1</v>
      </c>
      <c r="Z1205" s="20">
        <f>Tabela1[[#This Row],[PESO TOTAL]]-Tabela1[[#This Row],[Peso Expedido]]</f>
        <v>439.1</v>
      </c>
      <c r="AA1205" s="17">
        <v>1</v>
      </c>
      <c r="AB1205" s="33"/>
      <c r="AC1205" s="33"/>
      <c r="AD1205" s="33"/>
      <c r="AE1205" s="33"/>
      <c r="AF1205" s="33"/>
      <c r="AG1205" s="33"/>
      <c r="AH1205" s="33"/>
      <c r="AI1205" s="33"/>
      <c r="AJ1205"/>
      <c r="AK1205"/>
      <c r="AL1205"/>
      <c r="AM1205"/>
      <c r="AN1205"/>
      <c r="AO1205"/>
      <c r="AP1205"/>
      <c r="AQ1205" s="22"/>
      <c r="AR1205" s="24"/>
      <c r="AS1205" s="37"/>
      <c r="AT1205" s="37"/>
      <c r="AU1205" s="37"/>
      <c r="AV1205" s="37"/>
      <c r="AW1205" s="37"/>
    </row>
    <row r="1206" spans="1:49" ht="15.75" customHeight="1" x14ac:dyDescent="0.25">
      <c r="A1206" s="1" t="s">
        <v>5718</v>
      </c>
      <c r="B1206" s="21" t="s">
        <v>5719</v>
      </c>
      <c r="C1206" s="1">
        <v>4</v>
      </c>
      <c r="D1206" s="1" t="s">
        <v>5720</v>
      </c>
      <c r="E1206" s="7">
        <v>4887</v>
      </c>
      <c r="F1206" s="7">
        <v>74</v>
      </c>
      <c r="G1206" s="1">
        <v>283.5</v>
      </c>
      <c r="H1206" s="34">
        <f>Tabela1[[#This Row],[PESO UNI]]*Tabela1[[#This Row],[QTE]]</f>
        <v>1134</v>
      </c>
      <c r="I1206" s="7">
        <v>0</v>
      </c>
      <c r="J1206" s="8" t="s">
        <v>3045</v>
      </c>
      <c r="K1206" s="8" t="s">
        <v>4320</v>
      </c>
      <c r="L1206" s="9" t="s">
        <v>2984</v>
      </c>
      <c r="M1206" s="10">
        <v>46279</v>
      </c>
      <c r="N1206" s="8" t="s">
        <v>5105</v>
      </c>
      <c r="O1206" s="12"/>
      <c r="P1206" s="13"/>
      <c r="Q1206" s="14">
        <f>Tabela1[[#This Row],[QTDE/ Fabricação]]-Tabela1[[#This Row],[QTE]]</f>
        <v>-4</v>
      </c>
      <c r="R1206" s="18">
        <f t="shared" si="285"/>
        <v>283.5</v>
      </c>
      <c r="S1206" s="18">
        <f t="shared" si="286"/>
        <v>0</v>
      </c>
      <c r="T1206" s="19">
        <f t="shared" si="287"/>
        <v>-1134</v>
      </c>
      <c r="U1206" s="16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IFERROR(VLOOKUP(Tabela1[[#This Row],[COD.MDE]],'LISTA DE EMBARQUE'!B:M,12,0),"")</f>
        <v/>
      </c>
      <c r="X1206" s="14">
        <f>IFERROR(Tabela1[[#This Row],[QIANTIDADE EXPEDIDA]]*Tabela1[[#This Row],[PESO UNI]],"")</f>
        <v>0</v>
      </c>
      <c r="Y1206" s="14">
        <f t="shared" si="288"/>
        <v>-4</v>
      </c>
      <c r="Z1206" s="20">
        <f>Tabela1[[#This Row],[PESO TOTAL]]-Tabela1[[#This Row],[Peso Expedido]]</f>
        <v>1134</v>
      </c>
      <c r="AA1206" s="17">
        <v>1</v>
      </c>
      <c r="AB1206" s="33"/>
      <c r="AC1206" s="33"/>
      <c r="AD1206" s="33"/>
      <c r="AE1206" s="33"/>
      <c r="AF1206" s="33"/>
      <c r="AG1206" s="33"/>
      <c r="AH1206" s="33"/>
      <c r="AI1206" s="33"/>
      <c r="AJ1206"/>
      <c r="AK1206"/>
      <c r="AL1206"/>
      <c r="AM1206"/>
      <c r="AN1206"/>
      <c r="AO1206"/>
      <c r="AP1206"/>
      <c r="AQ1206" s="22"/>
      <c r="AR1206" s="24"/>
      <c r="AS1206" s="37"/>
      <c r="AT1206" s="37"/>
      <c r="AU1206" s="37"/>
      <c r="AV1206" s="37"/>
      <c r="AW1206" s="37"/>
    </row>
    <row r="1207" spans="1:49" ht="15.75" customHeight="1" x14ac:dyDescent="0.25">
      <c r="A1207" s="1" t="s">
        <v>5718</v>
      </c>
      <c r="B1207" s="21" t="s">
        <v>5719</v>
      </c>
      <c r="C1207" s="1">
        <v>2</v>
      </c>
      <c r="D1207" s="1" t="s">
        <v>5721</v>
      </c>
      <c r="E1207" s="7">
        <v>4888</v>
      </c>
      <c r="F1207" s="7">
        <v>74</v>
      </c>
      <c r="G1207" s="1">
        <v>274.7</v>
      </c>
      <c r="H1207" s="34">
        <f>Tabela1[[#This Row],[PESO UNI]]*Tabela1[[#This Row],[QTE]]</f>
        <v>549.4</v>
      </c>
      <c r="I1207" s="7">
        <v>0</v>
      </c>
      <c r="J1207" s="8" t="s">
        <v>3045</v>
      </c>
      <c r="K1207" s="8" t="s">
        <v>4320</v>
      </c>
      <c r="L1207" s="9" t="s">
        <v>2984</v>
      </c>
      <c r="M1207" s="10">
        <v>46279</v>
      </c>
      <c r="N1207" s="8" t="s">
        <v>5105</v>
      </c>
      <c r="O1207" s="12"/>
      <c r="P1207" s="13"/>
      <c r="Q1207" s="14">
        <f>Tabela1[[#This Row],[QTDE/ Fabricação]]-Tabela1[[#This Row],[QTE]]</f>
        <v>-2</v>
      </c>
      <c r="R1207" s="18">
        <f t="shared" si="285"/>
        <v>137.35</v>
      </c>
      <c r="S1207" s="18">
        <f t="shared" si="286"/>
        <v>0</v>
      </c>
      <c r="T1207" s="19">
        <f t="shared" si="287"/>
        <v>-549.4</v>
      </c>
      <c r="U1207" s="16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IFERROR(VLOOKUP(Tabela1[[#This Row],[COD.MDE]],'LISTA DE EMBARQUE'!B:M,12,0),"")</f>
        <v/>
      </c>
      <c r="X1207" s="14">
        <f>IFERROR(Tabela1[[#This Row],[QIANTIDADE EXPEDIDA]]*Tabela1[[#This Row],[PESO UNI]],"")</f>
        <v>0</v>
      </c>
      <c r="Y1207" s="14">
        <f t="shared" si="288"/>
        <v>-2</v>
      </c>
      <c r="Z1207" s="20">
        <f>Tabela1[[#This Row],[PESO TOTAL]]-Tabela1[[#This Row],[Peso Expedido]]</f>
        <v>549.4</v>
      </c>
      <c r="AA1207" s="17">
        <v>1</v>
      </c>
      <c r="AB1207" s="33"/>
      <c r="AC1207" s="33"/>
      <c r="AD1207" s="33"/>
      <c r="AE1207" s="33"/>
      <c r="AF1207" s="33"/>
      <c r="AG1207" s="33"/>
      <c r="AH1207" s="33"/>
      <c r="AI1207" s="33"/>
      <c r="AJ1207"/>
      <c r="AK1207"/>
      <c r="AL1207"/>
      <c r="AM1207"/>
      <c r="AN1207"/>
      <c r="AO1207"/>
      <c r="AP1207"/>
      <c r="AQ1207" s="22"/>
      <c r="AR1207" s="24"/>
      <c r="AS1207" s="37"/>
      <c r="AT1207" s="37"/>
      <c r="AU1207" s="37"/>
      <c r="AV1207" s="37"/>
      <c r="AW1207" s="37"/>
    </row>
    <row r="1208" spans="1:49" ht="15.75" customHeight="1" x14ac:dyDescent="0.25">
      <c r="A1208" s="1" t="s">
        <v>5718</v>
      </c>
      <c r="B1208" s="21" t="s">
        <v>5719</v>
      </c>
      <c r="C1208" s="1">
        <v>2</v>
      </c>
      <c r="D1208" s="1" t="s">
        <v>5722</v>
      </c>
      <c r="E1208" s="7">
        <v>4889</v>
      </c>
      <c r="F1208" s="7">
        <v>74</v>
      </c>
      <c r="G1208" s="1">
        <v>89.4</v>
      </c>
      <c r="H1208" s="34">
        <f>Tabela1[[#This Row],[PESO UNI]]*Tabela1[[#This Row],[QTE]]</f>
        <v>178.8</v>
      </c>
      <c r="I1208" s="7">
        <v>0</v>
      </c>
      <c r="J1208" s="8" t="s">
        <v>3045</v>
      </c>
      <c r="K1208" s="8" t="s">
        <v>4320</v>
      </c>
      <c r="L1208" s="9" t="s">
        <v>2984</v>
      </c>
      <c r="M1208" s="10">
        <v>46279</v>
      </c>
      <c r="N1208" s="8" t="s">
        <v>5105</v>
      </c>
      <c r="O1208" s="12"/>
      <c r="P1208" s="13"/>
      <c r="Q1208" s="14">
        <f>Tabela1[[#This Row],[QTDE/ Fabricação]]-Tabela1[[#This Row],[QTE]]</f>
        <v>-2</v>
      </c>
      <c r="R1208" s="18">
        <f t="shared" si="285"/>
        <v>44.7</v>
      </c>
      <c r="S1208" s="18">
        <f t="shared" si="286"/>
        <v>0</v>
      </c>
      <c r="T1208" s="19">
        <f t="shared" si="287"/>
        <v>-178.8</v>
      </c>
      <c r="U1208" s="16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IFERROR(VLOOKUP(Tabela1[[#This Row],[COD.MDE]],'LISTA DE EMBARQUE'!B:M,12,0),"")</f>
        <v/>
      </c>
      <c r="X1208" s="14">
        <f>IFERROR(Tabela1[[#This Row],[QIANTIDADE EXPEDIDA]]*Tabela1[[#This Row],[PESO UNI]],"")</f>
        <v>0</v>
      </c>
      <c r="Y1208" s="14">
        <f t="shared" si="288"/>
        <v>-2</v>
      </c>
      <c r="Z1208" s="20">
        <f>Tabela1[[#This Row],[PESO TOTAL]]-Tabela1[[#This Row],[Peso Expedido]]</f>
        <v>178.8</v>
      </c>
      <c r="AA1208" s="17">
        <v>1</v>
      </c>
      <c r="AB1208" s="33"/>
      <c r="AC1208" s="33"/>
      <c r="AD1208" s="33"/>
      <c r="AE1208" s="33"/>
      <c r="AF1208" s="33"/>
      <c r="AG1208" s="33"/>
      <c r="AH1208" s="33"/>
      <c r="AI1208" s="33"/>
      <c r="AJ1208"/>
      <c r="AK1208"/>
      <c r="AL1208"/>
      <c r="AM1208"/>
      <c r="AN1208"/>
      <c r="AO1208"/>
      <c r="AP1208"/>
      <c r="AQ1208" s="22"/>
      <c r="AR1208" s="24"/>
      <c r="AS1208" s="37"/>
      <c r="AT1208" s="37"/>
      <c r="AU1208" s="37"/>
      <c r="AV1208" s="37"/>
      <c r="AW1208" s="37"/>
    </row>
    <row r="1209" spans="1:49" ht="15.75" customHeight="1" x14ac:dyDescent="0.25">
      <c r="A1209" s="1" t="s">
        <v>5718</v>
      </c>
      <c r="B1209" s="21" t="s">
        <v>5719</v>
      </c>
      <c r="C1209" s="1">
        <v>1</v>
      </c>
      <c r="D1209" s="1" t="s">
        <v>5723</v>
      </c>
      <c r="E1209" s="7">
        <v>4890</v>
      </c>
      <c r="F1209" s="7">
        <v>74</v>
      </c>
      <c r="G1209" s="1">
        <v>72.900000000000006</v>
      </c>
      <c r="H1209" s="34">
        <f>Tabela1[[#This Row],[PESO UNI]]*Tabela1[[#This Row],[QTE]]</f>
        <v>72.900000000000006</v>
      </c>
      <c r="I1209" s="7">
        <v>0</v>
      </c>
      <c r="J1209" s="8" t="s">
        <v>3045</v>
      </c>
      <c r="K1209" s="8" t="s">
        <v>4320</v>
      </c>
      <c r="L1209" s="9" t="s">
        <v>2984</v>
      </c>
      <c r="M1209" s="10">
        <v>46279</v>
      </c>
      <c r="N1209" s="8" t="s">
        <v>5105</v>
      </c>
      <c r="O1209" s="12"/>
      <c r="P1209" s="13"/>
      <c r="Q1209" s="14">
        <f>Tabela1[[#This Row],[QTDE/ Fabricação]]-Tabela1[[#This Row],[QTE]]</f>
        <v>-1</v>
      </c>
      <c r="R1209" s="18">
        <f t="shared" si="285"/>
        <v>18.225000000000001</v>
      </c>
      <c r="S1209" s="18">
        <f t="shared" si="286"/>
        <v>0</v>
      </c>
      <c r="T1209" s="19">
        <f t="shared" si="287"/>
        <v>-72.900000000000006</v>
      </c>
      <c r="U1209" s="16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IFERROR(VLOOKUP(Tabela1[[#This Row],[COD.MDE]],'LISTA DE EMBARQUE'!B:M,12,0),"")</f>
        <v/>
      </c>
      <c r="X1209" s="14">
        <f>IFERROR(Tabela1[[#This Row],[QIANTIDADE EXPEDIDA]]*Tabela1[[#This Row],[PESO UNI]],"")</f>
        <v>0</v>
      </c>
      <c r="Y1209" s="14">
        <f t="shared" si="288"/>
        <v>-1</v>
      </c>
      <c r="Z1209" s="20">
        <f>Tabela1[[#This Row],[PESO TOTAL]]-Tabela1[[#This Row],[Peso Expedido]]</f>
        <v>72.900000000000006</v>
      </c>
      <c r="AA1209" s="17">
        <v>1</v>
      </c>
      <c r="AB1209" s="33"/>
      <c r="AC1209" s="33"/>
      <c r="AD1209" s="33"/>
      <c r="AE1209" s="33"/>
      <c r="AF1209" s="33"/>
      <c r="AG1209" s="33"/>
      <c r="AH1209" s="33"/>
      <c r="AI1209" s="33"/>
      <c r="AJ1209"/>
      <c r="AK1209"/>
      <c r="AL1209"/>
      <c r="AM1209"/>
      <c r="AN1209"/>
      <c r="AO1209"/>
      <c r="AP1209"/>
      <c r="AQ1209" s="22"/>
      <c r="AR1209" s="24"/>
      <c r="AS1209" s="37"/>
      <c r="AT1209" s="37"/>
      <c r="AU1209" s="37"/>
      <c r="AV1209" s="37"/>
      <c r="AW1209" s="37"/>
    </row>
    <row r="1210" spans="1:49" ht="15.75" customHeight="1" x14ac:dyDescent="0.25">
      <c r="A1210" s="1" t="s">
        <v>5718</v>
      </c>
      <c r="B1210" s="21" t="s">
        <v>5719</v>
      </c>
      <c r="C1210" s="1">
        <v>1</v>
      </c>
      <c r="D1210" s="1" t="s">
        <v>5724</v>
      </c>
      <c r="E1210" s="7">
        <v>4891</v>
      </c>
      <c r="F1210" s="7">
        <v>74</v>
      </c>
      <c r="G1210" s="1">
        <v>70.900000000000006</v>
      </c>
      <c r="H1210" s="34">
        <f>Tabela1[[#This Row],[PESO UNI]]*Tabela1[[#This Row],[QTE]]</f>
        <v>70.900000000000006</v>
      </c>
      <c r="I1210" s="7">
        <v>0</v>
      </c>
      <c r="J1210" s="8" t="s">
        <v>3045</v>
      </c>
      <c r="K1210" s="8" t="s">
        <v>4320</v>
      </c>
      <c r="L1210" s="9" t="s">
        <v>2984</v>
      </c>
      <c r="M1210" s="10">
        <v>46279</v>
      </c>
      <c r="N1210" s="8" t="s">
        <v>5105</v>
      </c>
      <c r="O1210" s="12"/>
      <c r="P1210" s="13"/>
      <c r="Q1210" s="14">
        <f>Tabela1[[#This Row],[QTDE/ Fabricação]]-Tabela1[[#This Row],[QTE]]</f>
        <v>-1</v>
      </c>
      <c r="R1210" s="18">
        <f t="shared" si="285"/>
        <v>17.725000000000001</v>
      </c>
      <c r="S1210" s="18">
        <f t="shared" si="286"/>
        <v>0</v>
      </c>
      <c r="T1210" s="19">
        <f t="shared" si="287"/>
        <v>-70.900000000000006</v>
      </c>
      <c r="U1210" s="16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IFERROR(VLOOKUP(Tabela1[[#This Row],[COD.MDE]],'LISTA DE EMBARQUE'!B:M,12,0),"")</f>
        <v/>
      </c>
      <c r="X1210" s="14">
        <f>IFERROR(Tabela1[[#This Row],[QIANTIDADE EXPEDIDA]]*Tabela1[[#This Row],[PESO UNI]],"")</f>
        <v>0</v>
      </c>
      <c r="Y1210" s="14">
        <f t="shared" si="288"/>
        <v>-1</v>
      </c>
      <c r="Z1210" s="20">
        <f>Tabela1[[#This Row],[PESO TOTAL]]-Tabela1[[#This Row],[Peso Expedido]]</f>
        <v>70.900000000000006</v>
      </c>
      <c r="AA1210" s="17">
        <v>1</v>
      </c>
      <c r="AB1210" s="33"/>
      <c r="AC1210" s="33"/>
      <c r="AD1210" s="33"/>
      <c r="AE1210" s="33"/>
      <c r="AF1210" s="33"/>
      <c r="AG1210" s="33"/>
      <c r="AH1210" s="33"/>
      <c r="AI1210" s="33"/>
      <c r="AJ1210"/>
      <c r="AK1210"/>
      <c r="AL1210"/>
      <c r="AM1210"/>
      <c r="AN1210"/>
      <c r="AO1210"/>
      <c r="AP1210"/>
      <c r="AQ1210" s="22"/>
      <c r="AR1210" s="24"/>
      <c r="AS1210" s="37"/>
      <c r="AT1210" s="37"/>
      <c r="AU1210" s="37"/>
      <c r="AV1210" s="37"/>
      <c r="AW1210" s="37"/>
    </row>
    <row r="1211" spans="1:49" ht="15.75" customHeight="1" x14ac:dyDescent="0.25">
      <c r="A1211" s="1" t="s">
        <v>5718</v>
      </c>
      <c r="B1211" s="21" t="s">
        <v>5719</v>
      </c>
      <c r="C1211" s="1">
        <v>1</v>
      </c>
      <c r="D1211" s="1" t="s">
        <v>5725</v>
      </c>
      <c r="E1211" s="7">
        <v>4892</v>
      </c>
      <c r="F1211" s="7">
        <v>74</v>
      </c>
      <c r="G1211" s="1">
        <v>72.099999999999994</v>
      </c>
      <c r="H1211" s="34">
        <f>Tabela1[[#This Row],[PESO UNI]]*Tabela1[[#This Row],[QTE]]</f>
        <v>72.099999999999994</v>
      </c>
      <c r="I1211" s="7">
        <v>0</v>
      </c>
      <c r="J1211" s="8" t="s">
        <v>3045</v>
      </c>
      <c r="K1211" s="8" t="s">
        <v>4320</v>
      </c>
      <c r="L1211" s="9" t="s">
        <v>2984</v>
      </c>
      <c r="M1211" s="10">
        <v>46279</v>
      </c>
      <c r="N1211" s="8" t="s">
        <v>5105</v>
      </c>
      <c r="O1211" s="12"/>
      <c r="P1211" s="13"/>
      <c r="Q1211" s="14">
        <f>Tabela1[[#This Row],[QTDE/ Fabricação]]-Tabela1[[#This Row],[QTE]]</f>
        <v>-1</v>
      </c>
      <c r="R1211" s="18">
        <f t="shared" si="285"/>
        <v>18.024999999999999</v>
      </c>
      <c r="S1211" s="18">
        <f t="shared" si="286"/>
        <v>0</v>
      </c>
      <c r="T1211" s="19">
        <f t="shared" si="287"/>
        <v>-72.099999999999994</v>
      </c>
      <c r="U1211" s="16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IFERROR(VLOOKUP(Tabela1[[#This Row],[COD.MDE]],'LISTA DE EMBARQUE'!B:M,12,0),"")</f>
        <v/>
      </c>
      <c r="X1211" s="14">
        <f>IFERROR(Tabela1[[#This Row],[QIANTIDADE EXPEDIDA]]*Tabela1[[#This Row],[PESO UNI]],"")</f>
        <v>0</v>
      </c>
      <c r="Y1211" s="14">
        <f t="shared" si="288"/>
        <v>-1</v>
      </c>
      <c r="Z1211" s="20">
        <f>Tabela1[[#This Row],[PESO TOTAL]]-Tabela1[[#This Row],[Peso Expedido]]</f>
        <v>72.099999999999994</v>
      </c>
      <c r="AA1211" s="17">
        <v>1</v>
      </c>
      <c r="AB1211" s="33"/>
      <c r="AC1211" s="33"/>
      <c r="AD1211" s="33"/>
      <c r="AE1211" s="33"/>
      <c r="AF1211" s="33"/>
      <c r="AG1211" s="33"/>
      <c r="AH1211" s="33"/>
      <c r="AI1211" s="33"/>
      <c r="AJ1211"/>
      <c r="AK1211"/>
      <c r="AL1211"/>
      <c r="AM1211"/>
      <c r="AN1211"/>
      <c r="AO1211"/>
      <c r="AP1211"/>
      <c r="AQ1211" s="22"/>
      <c r="AR1211" s="24"/>
      <c r="AS1211" s="37"/>
      <c r="AT1211" s="37"/>
      <c r="AU1211" s="37"/>
      <c r="AV1211" s="37"/>
      <c r="AW1211" s="37"/>
    </row>
    <row r="1212" spans="1:49" ht="15.75" customHeight="1" x14ac:dyDescent="0.25">
      <c r="A1212" s="1" t="s">
        <v>5718</v>
      </c>
      <c r="B1212" s="21" t="s">
        <v>5719</v>
      </c>
      <c r="C1212" s="1">
        <v>1</v>
      </c>
      <c r="D1212" s="1" t="s">
        <v>5726</v>
      </c>
      <c r="E1212" s="7">
        <v>4893</v>
      </c>
      <c r="F1212" s="7">
        <v>74</v>
      </c>
      <c r="G1212" s="1">
        <v>74.099999999999994</v>
      </c>
      <c r="H1212" s="34">
        <f>Tabela1[[#This Row],[PESO UNI]]*Tabela1[[#This Row],[QTE]]</f>
        <v>74.099999999999994</v>
      </c>
      <c r="I1212" s="7">
        <v>0</v>
      </c>
      <c r="J1212" s="8" t="s">
        <v>3045</v>
      </c>
      <c r="K1212" s="8" t="s">
        <v>4320</v>
      </c>
      <c r="L1212" s="9" t="s">
        <v>2984</v>
      </c>
      <c r="M1212" s="10">
        <v>46279</v>
      </c>
      <c r="N1212" s="8" t="s">
        <v>5105</v>
      </c>
      <c r="O1212" s="12"/>
      <c r="P1212" s="13"/>
      <c r="Q1212" s="14">
        <f>Tabela1[[#This Row],[QTDE/ Fabricação]]-Tabela1[[#This Row],[QTE]]</f>
        <v>-1</v>
      </c>
      <c r="R1212" s="18">
        <f t="shared" si="285"/>
        <v>18.524999999999999</v>
      </c>
      <c r="S1212" s="18">
        <f t="shared" si="286"/>
        <v>0</v>
      </c>
      <c r="T1212" s="19">
        <f t="shared" si="287"/>
        <v>-74.099999999999994</v>
      </c>
      <c r="U1212" s="16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IFERROR(VLOOKUP(Tabela1[[#This Row],[COD.MDE]],'LISTA DE EMBARQUE'!B:M,12,0),"")</f>
        <v/>
      </c>
      <c r="X1212" s="14">
        <f>IFERROR(Tabela1[[#This Row],[QIANTIDADE EXPEDIDA]]*Tabela1[[#This Row],[PESO UNI]],"")</f>
        <v>0</v>
      </c>
      <c r="Y1212" s="14">
        <f t="shared" si="288"/>
        <v>-1</v>
      </c>
      <c r="Z1212" s="20">
        <f>Tabela1[[#This Row],[PESO TOTAL]]-Tabela1[[#This Row],[Peso Expedido]]</f>
        <v>74.099999999999994</v>
      </c>
      <c r="AA1212" s="17">
        <v>1</v>
      </c>
      <c r="AB1212" s="33"/>
      <c r="AC1212" s="33"/>
      <c r="AD1212" s="33"/>
      <c r="AE1212" s="33"/>
      <c r="AF1212" s="33"/>
      <c r="AG1212" s="33"/>
      <c r="AH1212" s="33"/>
      <c r="AI1212" s="33"/>
      <c r="AJ1212"/>
      <c r="AK1212"/>
      <c r="AL1212"/>
      <c r="AM1212"/>
      <c r="AN1212"/>
      <c r="AO1212"/>
      <c r="AP1212"/>
      <c r="AQ1212" s="22"/>
      <c r="AR1212" s="24"/>
      <c r="AS1212" s="37"/>
      <c r="AT1212" s="37"/>
      <c r="AU1212" s="37"/>
      <c r="AV1212" s="37"/>
      <c r="AW1212" s="37"/>
    </row>
    <row r="1213" spans="1:49" ht="15.75" customHeight="1" x14ac:dyDescent="0.25">
      <c r="A1213" s="1" t="s">
        <v>5718</v>
      </c>
      <c r="B1213" s="21" t="s">
        <v>5719</v>
      </c>
      <c r="C1213" s="1">
        <v>4</v>
      </c>
      <c r="D1213" s="1" t="s">
        <v>5727</v>
      </c>
      <c r="E1213" s="7">
        <v>4894</v>
      </c>
      <c r="F1213" s="7">
        <v>74</v>
      </c>
      <c r="G1213" s="1">
        <v>14.9</v>
      </c>
      <c r="H1213" s="34">
        <f>Tabela1[[#This Row],[PESO UNI]]*Tabela1[[#This Row],[QTE]]</f>
        <v>59.6</v>
      </c>
      <c r="I1213" s="7">
        <v>0</v>
      </c>
      <c r="J1213" s="8" t="s">
        <v>3045</v>
      </c>
      <c r="K1213" s="8" t="s">
        <v>4320</v>
      </c>
      <c r="L1213" s="9" t="s">
        <v>2984</v>
      </c>
      <c r="M1213" s="10">
        <v>46279</v>
      </c>
      <c r="N1213" s="8" t="s">
        <v>5105</v>
      </c>
      <c r="O1213" s="12"/>
      <c r="P1213" s="13"/>
      <c r="Q1213" s="14">
        <f>Tabela1[[#This Row],[QTDE/ Fabricação]]-Tabela1[[#This Row],[QTE]]</f>
        <v>-4</v>
      </c>
      <c r="R1213" s="18">
        <f t="shared" si="285"/>
        <v>14.9</v>
      </c>
      <c r="S1213" s="18">
        <f t="shared" si="286"/>
        <v>0</v>
      </c>
      <c r="T1213" s="19">
        <f t="shared" si="287"/>
        <v>-59.6</v>
      </c>
      <c r="U1213" s="16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IFERROR(VLOOKUP(Tabela1[[#This Row],[COD.MDE]],'LISTA DE EMBARQUE'!B:M,12,0),"")</f>
        <v/>
      </c>
      <c r="X1213" s="14">
        <f>IFERROR(Tabela1[[#This Row],[QIANTIDADE EXPEDIDA]]*Tabela1[[#This Row],[PESO UNI]],"")</f>
        <v>0</v>
      </c>
      <c r="Y1213" s="14">
        <f t="shared" si="288"/>
        <v>-4</v>
      </c>
      <c r="Z1213" s="20">
        <f>Tabela1[[#This Row],[PESO TOTAL]]-Tabela1[[#This Row],[Peso Expedido]]</f>
        <v>59.6</v>
      </c>
      <c r="AA1213" s="17">
        <v>1</v>
      </c>
      <c r="AB1213" s="33"/>
      <c r="AC1213" s="33"/>
      <c r="AD1213" s="33"/>
      <c r="AE1213" s="33"/>
      <c r="AF1213" s="33"/>
      <c r="AG1213" s="33"/>
      <c r="AH1213" s="33"/>
      <c r="AI1213" s="33"/>
      <c r="AJ1213"/>
      <c r="AK1213"/>
      <c r="AL1213"/>
      <c r="AM1213"/>
      <c r="AN1213"/>
      <c r="AO1213"/>
      <c r="AP1213"/>
      <c r="AQ1213" s="22"/>
      <c r="AR1213" s="24"/>
      <c r="AS1213" s="37"/>
      <c r="AT1213" s="37"/>
      <c r="AU1213" s="37"/>
      <c r="AV1213" s="37"/>
      <c r="AW1213" s="37"/>
    </row>
    <row r="1214" spans="1:49" ht="15.75" customHeight="1" x14ac:dyDescent="0.25">
      <c r="A1214" s="1" t="s">
        <v>5718</v>
      </c>
      <c r="B1214" s="21" t="s">
        <v>5719</v>
      </c>
      <c r="C1214" s="1">
        <v>2</v>
      </c>
      <c r="D1214" s="1" t="s">
        <v>5728</v>
      </c>
      <c r="E1214" s="7">
        <v>4895</v>
      </c>
      <c r="F1214" s="7">
        <v>74</v>
      </c>
      <c r="G1214" s="1">
        <v>12</v>
      </c>
      <c r="H1214" s="34">
        <f>Tabela1[[#This Row],[PESO UNI]]*Tabela1[[#This Row],[QTE]]</f>
        <v>24</v>
      </c>
      <c r="I1214" s="7">
        <v>0</v>
      </c>
      <c r="J1214" s="8" t="s">
        <v>3045</v>
      </c>
      <c r="K1214" s="8" t="s">
        <v>4320</v>
      </c>
      <c r="L1214" s="9" t="s">
        <v>2984</v>
      </c>
      <c r="M1214" s="10">
        <v>46279</v>
      </c>
      <c r="N1214" s="8" t="s">
        <v>5105</v>
      </c>
      <c r="O1214" s="12"/>
      <c r="P1214" s="13"/>
      <c r="Q1214" s="14">
        <f>Tabela1[[#This Row],[QTDE/ Fabricação]]-Tabela1[[#This Row],[QTE]]</f>
        <v>-2</v>
      </c>
      <c r="R1214" s="18">
        <f t="shared" si="285"/>
        <v>6</v>
      </c>
      <c r="S1214" s="18">
        <f t="shared" si="286"/>
        <v>0</v>
      </c>
      <c r="T1214" s="19">
        <f t="shared" si="287"/>
        <v>-24</v>
      </c>
      <c r="U1214" s="16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IFERROR(VLOOKUP(Tabela1[[#This Row],[COD.MDE]],'LISTA DE EMBARQUE'!B:M,12,0),"")</f>
        <v/>
      </c>
      <c r="X1214" s="14">
        <f>IFERROR(Tabela1[[#This Row],[QIANTIDADE EXPEDIDA]]*Tabela1[[#This Row],[PESO UNI]],"")</f>
        <v>0</v>
      </c>
      <c r="Y1214" s="14">
        <f t="shared" si="288"/>
        <v>-2</v>
      </c>
      <c r="Z1214" s="20">
        <f>Tabela1[[#This Row],[PESO TOTAL]]-Tabela1[[#This Row],[Peso Expedido]]</f>
        <v>24</v>
      </c>
      <c r="AA1214" s="17">
        <v>1</v>
      </c>
      <c r="AB1214" s="33"/>
      <c r="AC1214" s="33"/>
      <c r="AD1214" s="33"/>
      <c r="AE1214" s="33"/>
      <c r="AF1214" s="33"/>
      <c r="AG1214" s="33"/>
      <c r="AH1214" s="33"/>
      <c r="AI1214" s="33"/>
      <c r="AJ1214"/>
      <c r="AK1214"/>
      <c r="AL1214"/>
      <c r="AM1214"/>
      <c r="AN1214"/>
      <c r="AO1214"/>
      <c r="AP1214"/>
      <c r="AQ1214" s="22"/>
      <c r="AR1214" s="24"/>
      <c r="AS1214" s="37"/>
      <c r="AT1214" s="37"/>
      <c r="AU1214" s="37"/>
      <c r="AV1214" s="37"/>
      <c r="AW1214" s="37"/>
    </row>
    <row r="1215" spans="1:49" ht="15.75" customHeight="1" x14ac:dyDescent="0.25">
      <c r="A1215" s="1" t="s">
        <v>5718</v>
      </c>
      <c r="B1215" s="21" t="s">
        <v>5719</v>
      </c>
      <c r="C1215" s="1">
        <v>2</v>
      </c>
      <c r="D1215" s="1" t="s">
        <v>5729</v>
      </c>
      <c r="E1215" s="7">
        <v>4896</v>
      </c>
      <c r="F1215" s="7">
        <v>74</v>
      </c>
      <c r="G1215" s="1">
        <v>17.2</v>
      </c>
      <c r="H1215" s="34">
        <f>Tabela1[[#This Row],[PESO UNI]]*Tabela1[[#This Row],[QTE]]</f>
        <v>34.4</v>
      </c>
      <c r="I1215" s="7">
        <v>0</v>
      </c>
      <c r="J1215" s="8" t="s">
        <v>3045</v>
      </c>
      <c r="K1215" s="8" t="s">
        <v>4320</v>
      </c>
      <c r="L1215" s="9" t="s">
        <v>2984</v>
      </c>
      <c r="M1215" s="10">
        <v>46279</v>
      </c>
      <c r="N1215" s="8" t="s">
        <v>5105</v>
      </c>
      <c r="O1215" s="12"/>
      <c r="P1215" s="13"/>
      <c r="Q1215" s="14">
        <f>Tabela1[[#This Row],[QTDE/ Fabricação]]-Tabela1[[#This Row],[QTE]]</f>
        <v>-2</v>
      </c>
      <c r="R1215" s="18">
        <f t="shared" si="285"/>
        <v>8.6</v>
      </c>
      <c r="S1215" s="18">
        <f t="shared" si="286"/>
        <v>0</v>
      </c>
      <c r="T1215" s="19">
        <f t="shared" si="287"/>
        <v>-34.4</v>
      </c>
      <c r="U1215" s="16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IFERROR(VLOOKUP(Tabela1[[#This Row],[COD.MDE]],'LISTA DE EMBARQUE'!B:M,12,0),"")</f>
        <v/>
      </c>
      <c r="X1215" s="14">
        <f>IFERROR(Tabela1[[#This Row],[QIANTIDADE EXPEDIDA]]*Tabela1[[#This Row],[PESO UNI]],"")</f>
        <v>0</v>
      </c>
      <c r="Y1215" s="14">
        <f t="shared" si="288"/>
        <v>-2</v>
      </c>
      <c r="Z1215" s="20">
        <f>Tabela1[[#This Row],[PESO TOTAL]]-Tabela1[[#This Row],[Peso Expedido]]</f>
        <v>34.4</v>
      </c>
      <c r="AA1215" s="17">
        <v>1</v>
      </c>
      <c r="AB1215" s="33"/>
      <c r="AC1215" s="33"/>
      <c r="AD1215" s="33"/>
      <c r="AE1215" s="33"/>
      <c r="AF1215" s="33"/>
      <c r="AG1215" s="33"/>
      <c r="AH1215" s="33"/>
      <c r="AI1215" s="33"/>
      <c r="AJ1215"/>
      <c r="AK1215"/>
      <c r="AL1215"/>
      <c r="AM1215"/>
      <c r="AN1215"/>
      <c r="AO1215"/>
      <c r="AP1215"/>
      <c r="AQ1215" s="22"/>
      <c r="AR1215" s="24"/>
      <c r="AS1215" s="37"/>
      <c r="AT1215" s="37"/>
      <c r="AU1215" s="37"/>
      <c r="AV1215" s="37"/>
      <c r="AW1215" s="37"/>
    </row>
    <row r="1216" spans="1:49" ht="15.75" customHeight="1" x14ac:dyDescent="0.25">
      <c r="A1216" s="1" t="s">
        <v>5718</v>
      </c>
      <c r="B1216" s="21" t="s">
        <v>5719</v>
      </c>
      <c r="C1216" s="1">
        <v>2</v>
      </c>
      <c r="D1216" s="1" t="s">
        <v>5730</v>
      </c>
      <c r="E1216" s="7">
        <v>4897</v>
      </c>
      <c r="F1216" s="7">
        <v>74</v>
      </c>
      <c r="G1216" s="1">
        <v>448.3</v>
      </c>
      <c r="H1216" s="34">
        <f>Tabela1[[#This Row],[PESO UNI]]*Tabela1[[#This Row],[QTE]]</f>
        <v>896.6</v>
      </c>
      <c r="I1216" s="7">
        <v>0</v>
      </c>
      <c r="J1216" s="8" t="s">
        <v>3045</v>
      </c>
      <c r="K1216" s="8" t="s">
        <v>4320</v>
      </c>
      <c r="L1216" s="9" t="s">
        <v>2984</v>
      </c>
      <c r="M1216" s="10">
        <v>46279</v>
      </c>
      <c r="N1216" s="8" t="s">
        <v>5105</v>
      </c>
      <c r="O1216" s="12"/>
      <c r="P1216" s="13"/>
      <c r="Q1216" s="14">
        <f>Tabela1[[#This Row],[QTDE/ Fabricação]]-Tabela1[[#This Row],[QTE]]</f>
        <v>-2</v>
      </c>
      <c r="R1216" s="18">
        <f t="shared" si="285"/>
        <v>224.15</v>
      </c>
      <c r="S1216" s="18">
        <f t="shared" si="286"/>
        <v>0</v>
      </c>
      <c r="T1216" s="19">
        <f t="shared" si="287"/>
        <v>-896.6</v>
      </c>
      <c r="U1216" s="16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IFERROR(VLOOKUP(Tabela1[[#This Row],[COD.MDE]],'LISTA DE EMBARQUE'!B:M,12,0),"")</f>
        <v/>
      </c>
      <c r="X1216" s="14">
        <f>IFERROR(Tabela1[[#This Row],[QIANTIDADE EXPEDIDA]]*Tabela1[[#This Row],[PESO UNI]],"")</f>
        <v>0</v>
      </c>
      <c r="Y1216" s="14">
        <f t="shared" si="288"/>
        <v>-2</v>
      </c>
      <c r="Z1216" s="20">
        <f>Tabela1[[#This Row],[PESO TOTAL]]-Tabela1[[#This Row],[Peso Expedido]]</f>
        <v>896.6</v>
      </c>
      <c r="AA1216" s="17">
        <v>1</v>
      </c>
      <c r="AB1216" s="33"/>
      <c r="AC1216" s="33"/>
      <c r="AD1216" s="33"/>
      <c r="AE1216" s="33"/>
      <c r="AF1216" s="33"/>
      <c r="AG1216" s="33"/>
      <c r="AH1216" s="33"/>
      <c r="AI1216" s="33"/>
      <c r="AJ1216"/>
      <c r="AK1216"/>
      <c r="AL1216"/>
      <c r="AM1216"/>
      <c r="AN1216"/>
      <c r="AO1216"/>
      <c r="AP1216"/>
      <c r="AQ1216" s="22"/>
      <c r="AR1216" s="24"/>
      <c r="AS1216" s="37"/>
      <c r="AT1216" s="37"/>
      <c r="AU1216" s="37"/>
      <c r="AV1216" s="37"/>
      <c r="AW1216" s="37"/>
    </row>
    <row r="1217" spans="1:49" ht="15.75" customHeight="1" x14ac:dyDescent="0.25">
      <c r="A1217" s="1" t="s">
        <v>5718</v>
      </c>
      <c r="B1217" s="21" t="s">
        <v>5719</v>
      </c>
      <c r="C1217" s="1">
        <v>2</v>
      </c>
      <c r="D1217" s="1" t="s">
        <v>5731</v>
      </c>
      <c r="E1217" s="7">
        <v>4898</v>
      </c>
      <c r="F1217" s="7">
        <v>74</v>
      </c>
      <c r="G1217" s="1">
        <v>87</v>
      </c>
      <c r="H1217" s="34">
        <f>Tabela1[[#This Row],[PESO UNI]]*Tabela1[[#This Row],[QTE]]</f>
        <v>174</v>
      </c>
      <c r="I1217" s="7">
        <v>0</v>
      </c>
      <c r="J1217" s="8" t="s">
        <v>3045</v>
      </c>
      <c r="K1217" s="8" t="s">
        <v>4320</v>
      </c>
      <c r="L1217" s="9" t="s">
        <v>2984</v>
      </c>
      <c r="M1217" s="10">
        <v>46279</v>
      </c>
      <c r="N1217" s="8" t="s">
        <v>5105</v>
      </c>
      <c r="O1217" s="12"/>
      <c r="P1217" s="13"/>
      <c r="Q1217" s="14">
        <f>Tabela1[[#This Row],[QTDE/ Fabricação]]-Tabela1[[#This Row],[QTE]]</f>
        <v>-2</v>
      </c>
      <c r="R1217" s="18">
        <f t="shared" si="285"/>
        <v>43.5</v>
      </c>
      <c r="S1217" s="18">
        <f t="shared" si="286"/>
        <v>0</v>
      </c>
      <c r="T1217" s="19">
        <f t="shared" si="287"/>
        <v>-174</v>
      </c>
      <c r="U1217" s="16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IFERROR(VLOOKUP(Tabela1[[#This Row],[COD.MDE]],'LISTA DE EMBARQUE'!B:M,12,0),"")</f>
        <v/>
      </c>
      <c r="X1217" s="14">
        <f>IFERROR(Tabela1[[#This Row],[QIANTIDADE EXPEDIDA]]*Tabela1[[#This Row],[PESO UNI]],"")</f>
        <v>0</v>
      </c>
      <c r="Y1217" s="14">
        <f t="shared" si="288"/>
        <v>-2</v>
      </c>
      <c r="Z1217" s="20">
        <f>Tabela1[[#This Row],[PESO TOTAL]]-Tabela1[[#This Row],[Peso Expedido]]</f>
        <v>174</v>
      </c>
      <c r="AA1217" s="17">
        <v>1</v>
      </c>
      <c r="AB1217" s="33"/>
      <c r="AC1217" s="33"/>
      <c r="AD1217" s="33"/>
      <c r="AE1217" s="33"/>
      <c r="AF1217" s="33"/>
      <c r="AG1217" s="33"/>
      <c r="AH1217" s="33"/>
      <c r="AI1217" s="33"/>
      <c r="AJ1217"/>
      <c r="AK1217"/>
      <c r="AL1217"/>
      <c r="AM1217"/>
      <c r="AN1217"/>
      <c r="AO1217"/>
      <c r="AP1217"/>
      <c r="AQ1217" s="22"/>
      <c r="AR1217" s="24"/>
      <c r="AS1217" s="37"/>
      <c r="AT1217" s="37"/>
      <c r="AU1217" s="37"/>
      <c r="AV1217" s="37"/>
      <c r="AW1217" s="37"/>
    </row>
    <row r="1218" spans="1:49" ht="15.75" customHeight="1" x14ac:dyDescent="0.25">
      <c r="A1218" s="1" t="s">
        <v>5718</v>
      </c>
      <c r="B1218" s="21" t="s">
        <v>5719</v>
      </c>
      <c r="C1218" s="1">
        <v>2</v>
      </c>
      <c r="D1218" s="1" t="s">
        <v>5732</v>
      </c>
      <c r="E1218" s="7">
        <v>4899</v>
      </c>
      <c r="F1218" s="7">
        <v>74</v>
      </c>
      <c r="G1218" s="1">
        <v>75</v>
      </c>
      <c r="H1218" s="34">
        <f>Tabela1[[#This Row],[PESO UNI]]*Tabela1[[#This Row],[QTE]]</f>
        <v>150</v>
      </c>
      <c r="I1218" s="7">
        <v>0</v>
      </c>
      <c r="J1218" s="8" t="s">
        <v>3045</v>
      </c>
      <c r="K1218" s="8" t="s">
        <v>4320</v>
      </c>
      <c r="L1218" s="9" t="s">
        <v>2984</v>
      </c>
      <c r="M1218" s="10">
        <v>46279</v>
      </c>
      <c r="N1218" s="8" t="s">
        <v>5105</v>
      </c>
      <c r="O1218" s="12"/>
      <c r="P1218" s="13"/>
      <c r="Q1218" s="14">
        <f>Tabela1[[#This Row],[QTDE/ Fabricação]]-Tabela1[[#This Row],[QTE]]</f>
        <v>-2</v>
      </c>
      <c r="R1218" s="18">
        <f t="shared" si="285"/>
        <v>37.5</v>
      </c>
      <c r="S1218" s="18">
        <f t="shared" si="286"/>
        <v>0</v>
      </c>
      <c r="T1218" s="19">
        <f t="shared" si="287"/>
        <v>-150</v>
      </c>
      <c r="U1218" s="16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IFERROR(VLOOKUP(Tabela1[[#This Row],[COD.MDE]],'LISTA DE EMBARQUE'!B:M,12,0),"")</f>
        <v/>
      </c>
      <c r="X1218" s="14">
        <f>IFERROR(Tabela1[[#This Row],[QIANTIDADE EXPEDIDA]]*Tabela1[[#This Row],[PESO UNI]],"")</f>
        <v>0</v>
      </c>
      <c r="Y1218" s="14">
        <f t="shared" si="288"/>
        <v>-2</v>
      </c>
      <c r="Z1218" s="20">
        <f>Tabela1[[#This Row],[PESO TOTAL]]-Tabela1[[#This Row],[Peso Expedido]]</f>
        <v>150</v>
      </c>
      <c r="AA1218" s="17">
        <v>1</v>
      </c>
      <c r="AB1218" s="33"/>
      <c r="AC1218" s="33"/>
      <c r="AD1218" s="33"/>
      <c r="AE1218" s="33"/>
      <c r="AF1218" s="33"/>
      <c r="AG1218" s="33"/>
      <c r="AH1218" s="33"/>
      <c r="AI1218" s="33"/>
      <c r="AJ1218"/>
      <c r="AK1218"/>
      <c r="AL1218"/>
      <c r="AM1218"/>
      <c r="AN1218"/>
      <c r="AO1218"/>
      <c r="AP1218"/>
      <c r="AQ1218" s="22"/>
      <c r="AR1218" s="24"/>
      <c r="AS1218" s="37"/>
      <c r="AT1218" s="37"/>
      <c r="AU1218" s="37"/>
      <c r="AV1218" s="37"/>
      <c r="AW1218" s="37"/>
    </row>
    <row r="1219" spans="1:49" ht="15.75" customHeight="1" x14ac:dyDescent="0.25">
      <c r="A1219" s="1" t="s">
        <v>5718</v>
      </c>
      <c r="B1219" s="21" t="s">
        <v>5719</v>
      </c>
      <c r="C1219" s="1">
        <v>32</v>
      </c>
      <c r="D1219" s="1" t="s">
        <v>5733</v>
      </c>
      <c r="E1219" s="7">
        <v>4900</v>
      </c>
      <c r="F1219" s="7">
        <v>74</v>
      </c>
      <c r="G1219" s="1">
        <v>3.5</v>
      </c>
      <c r="H1219" s="34">
        <f>Tabela1[[#This Row],[PESO UNI]]*Tabela1[[#This Row],[QTE]]</f>
        <v>112</v>
      </c>
      <c r="I1219" s="7">
        <v>0</v>
      </c>
      <c r="J1219" s="8" t="s">
        <v>3045</v>
      </c>
      <c r="K1219" s="8" t="s">
        <v>4320</v>
      </c>
      <c r="L1219" s="9" t="s">
        <v>2984</v>
      </c>
      <c r="M1219" s="10">
        <v>46279</v>
      </c>
      <c r="N1219" s="8" t="s">
        <v>5105</v>
      </c>
      <c r="O1219" s="12"/>
      <c r="P1219" s="13"/>
      <c r="Q1219" s="14">
        <f>Tabela1[[#This Row],[QTDE/ Fabricação]]-Tabela1[[#This Row],[QTE]]</f>
        <v>-32</v>
      </c>
      <c r="R1219" s="18">
        <f t="shared" si="285"/>
        <v>28</v>
      </c>
      <c r="S1219" s="18">
        <f t="shared" si="286"/>
        <v>0</v>
      </c>
      <c r="T1219" s="19">
        <f t="shared" si="287"/>
        <v>-112</v>
      </c>
      <c r="U1219" s="16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IFERROR(VLOOKUP(Tabela1[[#This Row],[COD.MDE]],'LISTA DE EMBARQUE'!B:M,12,0),"")</f>
        <v/>
      </c>
      <c r="X1219" s="14">
        <f>IFERROR(Tabela1[[#This Row],[QIANTIDADE EXPEDIDA]]*Tabela1[[#This Row],[PESO UNI]],"")</f>
        <v>0</v>
      </c>
      <c r="Y1219" s="14">
        <f t="shared" si="288"/>
        <v>-32</v>
      </c>
      <c r="Z1219" s="20">
        <f>Tabela1[[#This Row],[PESO TOTAL]]-Tabela1[[#This Row],[Peso Expedido]]</f>
        <v>112</v>
      </c>
      <c r="AA1219" s="17">
        <v>1</v>
      </c>
      <c r="AB1219" s="33"/>
      <c r="AC1219" s="33"/>
      <c r="AD1219" s="33"/>
      <c r="AE1219" s="33"/>
      <c r="AF1219" s="33"/>
      <c r="AG1219" s="33"/>
      <c r="AH1219" s="33"/>
      <c r="AI1219" s="33"/>
      <c r="AJ1219"/>
      <c r="AK1219"/>
      <c r="AL1219"/>
      <c r="AM1219"/>
      <c r="AN1219"/>
      <c r="AO1219"/>
      <c r="AP1219"/>
      <c r="AQ1219" s="22"/>
      <c r="AR1219" s="24"/>
      <c r="AS1219" s="37"/>
      <c r="AT1219" s="37"/>
      <c r="AU1219" s="37"/>
      <c r="AV1219" s="37"/>
      <c r="AW1219" s="37"/>
    </row>
    <row r="1220" spans="1:49" ht="15.75" customHeight="1" x14ac:dyDescent="0.25">
      <c r="A1220" s="1" t="s">
        <v>5718</v>
      </c>
      <c r="B1220" s="21" t="s">
        <v>5719</v>
      </c>
      <c r="C1220" s="1">
        <v>64</v>
      </c>
      <c r="D1220" s="1" t="s">
        <v>5734</v>
      </c>
      <c r="E1220" s="7">
        <v>4901</v>
      </c>
      <c r="F1220" s="7">
        <v>74</v>
      </c>
      <c r="G1220" s="1">
        <v>1.5</v>
      </c>
      <c r="H1220" s="34">
        <f>Tabela1[[#This Row],[PESO UNI]]*Tabela1[[#This Row],[QTE]]</f>
        <v>96</v>
      </c>
      <c r="I1220" s="7">
        <v>0</v>
      </c>
      <c r="J1220" s="8" t="s">
        <v>3045</v>
      </c>
      <c r="K1220" s="8" t="s">
        <v>4320</v>
      </c>
      <c r="L1220" s="9" t="s">
        <v>2984</v>
      </c>
      <c r="M1220" s="10">
        <v>46279</v>
      </c>
      <c r="N1220" s="8" t="s">
        <v>5105</v>
      </c>
      <c r="O1220" s="12"/>
      <c r="P1220" s="13"/>
      <c r="Q1220" s="14">
        <f>Tabela1[[#This Row],[QTDE/ Fabricação]]-Tabela1[[#This Row],[QTE]]</f>
        <v>-64</v>
      </c>
      <c r="R1220" s="18">
        <f t="shared" si="285"/>
        <v>24</v>
      </c>
      <c r="S1220" s="18">
        <f t="shared" si="286"/>
        <v>0</v>
      </c>
      <c r="T1220" s="19">
        <f t="shared" si="287"/>
        <v>-96</v>
      </c>
      <c r="U1220" s="16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IFERROR(VLOOKUP(Tabela1[[#This Row],[COD.MDE]],'LISTA DE EMBARQUE'!B:M,12,0),"")</f>
        <v/>
      </c>
      <c r="X1220" s="14">
        <f>IFERROR(Tabela1[[#This Row],[QIANTIDADE EXPEDIDA]]*Tabela1[[#This Row],[PESO UNI]],"")</f>
        <v>0</v>
      </c>
      <c r="Y1220" s="14">
        <f t="shared" si="288"/>
        <v>-64</v>
      </c>
      <c r="Z1220" s="20">
        <f>Tabela1[[#This Row],[PESO TOTAL]]-Tabela1[[#This Row],[Peso Expedido]]</f>
        <v>96</v>
      </c>
      <c r="AA1220" s="17">
        <v>1</v>
      </c>
      <c r="AB1220" s="33"/>
      <c r="AC1220" s="33"/>
      <c r="AD1220" s="33"/>
      <c r="AE1220" s="33"/>
      <c r="AF1220" s="33"/>
      <c r="AG1220" s="33"/>
      <c r="AH1220" s="33"/>
      <c r="AI1220" s="33"/>
      <c r="AJ1220"/>
      <c r="AK1220"/>
      <c r="AL1220"/>
      <c r="AM1220"/>
      <c r="AN1220"/>
      <c r="AO1220"/>
      <c r="AP1220"/>
      <c r="AQ1220" s="22"/>
      <c r="AR1220" s="24"/>
      <c r="AS1220" s="37"/>
      <c r="AT1220" s="37"/>
      <c r="AU1220" s="37"/>
      <c r="AV1220" s="37"/>
      <c r="AW1220" s="37"/>
    </row>
    <row r="1221" spans="1:49" ht="15.75" customHeight="1" x14ac:dyDescent="0.25">
      <c r="A1221" s="1" t="s">
        <v>5718</v>
      </c>
      <c r="B1221" s="21" t="s">
        <v>5719</v>
      </c>
      <c r="C1221" s="1">
        <v>32</v>
      </c>
      <c r="D1221" s="1" t="s">
        <v>5735</v>
      </c>
      <c r="E1221" s="7">
        <v>4902</v>
      </c>
      <c r="F1221" s="7">
        <v>74</v>
      </c>
      <c r="G1221" s="1">
        <v>2.8</v>
      </c>
      <c r="H1221" s="34">
        <f>Tabela1[[#This Row],[PESO UNI]]*Tabela1[[#This Row],[QTE]]</f>
        <v>89.6</v>
      </c>
      <c r="I1221" s="7">
        <v>0</v>
      </c>
      <c r="J1221" s="8" t="s">
        <v>3045</v>
      </c>
      <c r="K1221" s="8" t="s">
        <v>4320</v>
      </c>
      <c r="L1221" s="9" t="s">
        <v>2984</v>
      </c>
      <c r="M1221" s="10">
        <v>46279</v>
      </c>
      <c r="N1221" s="8" t="s">
        <v>5105</v>
      </c>
      <c r="O1221" s="12"/>
      <c r="P1221" s="13"/>
      <c r="Q1221" s="14">
        <f>Tabela1[[#This Row],[QTDE/ Fabricação]]-Tabela1[[#This Row],[QTE]]</f>
        <v>-32</v>
      </c>
      <c r="R1221" s="18">
        <f t="shared" si="285"/>
        <v>22.4</v>
      </c>
      <c r="S1221" s="18">
        <f t="shared" si="286"/>
        <v>0</v>
      </c>
      <c r="T1221" s="19">
        <f t="shared" si="287"/>
        <v>-89.6</v>
      </c>
      <c r="U1221" s="16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IFERROR(VLOOKUP(Tabela1[[#This Row],[COD.MDE]],'LISTA DE EMBARQUE'!B:M,12,0),"")</f>
        <v/>
      </c>
      <c r="X1221" s="14">
        <f>IFERROR(Tabela1[[#This Row],[QIANTIDADE EXPEDIDA]]*Tabela1[[#This Row],[PESO UNI]],"")</f>
        <v>0</v>
      </c>
      <c r="Y1221" s="14">
        <f t="shared" si="288"/>
        <v>-32</v>
      </c>
      <c r="Z1221" s="20">
        <f>Tabela1[[#This Row],[PESO TOTAL]]-Tabela1[[#This Row],[Peso Expedido]]</f>
        <v>89.6</v>
      </c>
      <c r="AA1221" s="17">
        <v>1</v>
      </c>
      <c r="AB1221" s="33"/>
      <c r="AC1221" s="33"/>
      <c r="AD1221" s="33"/>
      <c r="AE1221" s="33"/>
      <c r="AF1221" s="33"/>
      <c r="AG1221" s="33"/>
      <c r="AH1221" s="33"/>
      <c r="AI1221" s="33"/>
      <c r="AJ1221"/>
      <c r="AK1221"/>
      <c r="AL1221"/>
      <c r="AM1221"/>
      <c r="AN1221"/>
      <c r="AO1221"/>
      <c r="AP1221"/>
      <c r="AQ1221" s="22"/>
      <c r="AR1221" s="24"/>
      <c r="AS1221" s="37"/>
      <c r="AT1221" s="37"/>
      <c r="AU1221" s="37"/>
      <c r="AV1221" s="37"/>
      <c r="AW1221" s="37"/>
    </row>
    <row r="1222" spans="1:49" ht="15.75" customHeight="1" x14ac:dyDescent="0.25">
      <c r="A1222" s="1" t="s">
        <v>5736</v>
      </c>
      <c r="B1222" s="21" t="s">
        <v>5737</v>
      </c>
      <c r="C1222" s="1">
        <v>2</v>
      </c>
      <c r="D1222" s="1" t="s">
        <v>5738</v>
      </c>
      <c r="E1222" s="7">
        <v>4903</v>
      </c>
      <c r="F1222" s="7">
        <v>74</v>
      </c>
      <c r="G1222" s="1">
        <v>92.9</v>
      </c>
      <c r="H1222" s="34">
        <f>Tabela1[[#This Row],[PESO UNI]]*Tabela1[[#This Row],[QTE]]</f>
        <v>185.8</v>
      </c>
      <c r="I1222" s="7">
        <v>0</v>
      </c>
      <c r="J1222" s="8" t="s">
        <v>3045</v>
      </c>
      <c r="K1222" s="8" t="s">
        <v>4320</v>
      </c>
      <c r="L1222" s="9" t="s">
        <v>2984</v>
      </c>
      <c r="M1222" s="10">
        <v>46279</v>
      </c>
      <c r="N1222" s="8" t="s">
        <v>5105</v>
      </c>
      <c r="O1222" s="12"/>
      <c r="P1222" s="13"/>
      <c r="Q1222" s="14">
        <f>Tabela1[[#This Row],[QTDE/ Fabricação]]-Tabela1[[#This Row],[QTE]]</f>
        <v>-2</v>
      </c>
      <c r="R1222" s="18">
        <f t="shared" ref="R1222:R1232" si="289">IFERROR(H1222*((AA1222*0.25)+(AC1222*0.25)+(AD1222*0.225)+(AE1222*0.225)+(AF1222*0.05)),"")</f>
        <v>46.45</v>
      </c>
      <c r="S1222" s="18">
        <f t="shared" ref="S1222:S1232" si="290">IFERROR(H1222*AG1222,"")</f>
        <v>0</v>
      </c>
      <c r="T1222" s="19">
        <f t="shared" ref="T1222:T1232" si="291">IFERROR(S1222-H1222,"")</f>
        <v>-185.8</v>
      </c>
      <c r="U1222" s="16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IFERROR(VLOOKUP(Tabela1[[#This Row],[COD.MDE]],'LISTA DE EMBARQUE'!B:M,12,0),"")</f>
        <v/>
      </c>
      <c r="X1222" s="14">
        <f>IFERROR(Tabela1[[#This Row],[QIANTIDADE EXPEDIDA]]*Tabela1[[#This Row],[PESO UNI]],"")</f>
        <v>0</v>
      </c>
      <c r="Y1222" s="14">
        <f t="shared" ref="Y1222:Y1232" si="292">U1222-C1222</f>
        <v>-2</v>
      </c>
      <c r="Z1222" s="20">
        <f>Tabela1[[#This Row],[PESO TOTAL]]-Tabela1[[#This Row],[Peso Expedido]]</f>
        <v>185.8</v>
      </c>
      <c r="AA1222" s="17">
        <v>1</v>
      </c>
      <c r="AB1222" s="33"/>
      <c r="AC1222" s="33"/>
      <c r="AD1222" s="33"/>
      <c r="AE1222" s="33"/>
      <c r="AF1222" s="33"/>
      <c r="AG1222" s="33"/>
      <c r="AH1222" s="33"/>
      <c r="AI1222" s="33"/>
      <c r="AJ1222"/>
      <c r="AK1222"/>
      <c r="AL1222"/>
      <c r="AM1222"/>
      <c r="AN1222"/>
      <c r="AO1222"/>
      <c r="AP1222"/>
      <c r="AQ1222" s="22"/>
      <c r="AR1222" s="24"/>
      <c r="AS1222" s="37"/>
      <c r="AT1222" s="37"/>
      <c r="AU1222" s="37"/>
      <c r="AV1222" s="37"/>
      <c r="AW1222" s="37"/>
    </row>
    <row r="1223" spans="1:49" ht="15.75" customHeight="1" x14ac:dyDescent="0.25">
      <c r="A1223" s="208" t="s">
        <v>5739</v>
      </c>
      <c r="B1223" s="21" t="s">
        <v>5740</v>
      </c>
      <c r="C1223" s="206">
        <v>2</v>
      </c>
      <c r="D1223" s="206" t="s">
        <v>5741</v>
      </c>
      <c r="E1223" s="242">
        <v>4904</v>
      </c>
      <c r="F1223" s="192">
        <v>75</v>
      </c>
      <c r="G1223" s="1">
        <v>145.5</v>
      </c>
      <c r="H1223" s="34">
        <f>Tabela1[[#This Row],[PESO UNI]]*Tabela1[[#This Row],[QTE]]</f>
        <v>291</v>
      </c>
      <c r="I1223" s="7">
        <v>0</v>
      </c>
      <c r="J1223" s="8" t="s">
        <v>3140</v>
      </c>
      <c r="K1223" s="8" t="s">
        <v>4320</v>
      </c>
      <c r="L1223" s="9" t="s">
        <v>2984</v>
      </c>
      <c r="M1223" s="10">
        <v>46280</v>
      </c>
      <c r="N1223" s="8" t="s">
        <v>38</v>
      </c>
      <c r="O1223" s="12"/>
      <c r="P1223" s="13"/>
      <c r="Q1223" s="14">
        <f>Tabela1[[#This Row],[QTDE/ Fabricação]]-Tabela1[[#This Row],[QTE]]</f>
        <v>-2</v>
      </c>
      <c r="R1223" s="18">
        <f t="shared" si="289"/>
        <v>72.75</v>
      </c>
      <c r="S1223" s="18">
        <f t="shared" si="290"/>
        <v>0</v>
      </c>
      <c r="T1223" s="19">
        <f t="shared" si="291"/>
        <v>-291</v>
      </c>
      <c r="U1223" s="16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IFERROR(VLOOKUP(Tabela1[[#This Row],[COD.MDE]],'LISTA DE EMBARQUE'!B:M,12,0),"")</f>
        <v/>
      </c>
      <c r="X1223" s="14">
        <f>IFERROR(Tabela1[[#This Row],[QIANTIDADE EXPEDIDA]]*Tabela1[[#This Row],[PESO UNI]],"")</f>
        <v>0</v>
      </c>
      <c r="Y1223" s="14">
        <f t="shared" si="292"/>
        <v>-2</v>
      </c>
      <c r="Z1223" s="20">
        <f>Tabela1[[#This Row],[PESO TOTAL]]-Tabela1[[#This Row],[Peso Expedido]]</f>
        <v>291</v>
      </c>
      <c r="AA1223" s="17">
        <v>1</v>
      </c>
      <c r="AB1223" s="33"/>
      <c r="AC1223" s="33"/>
      <c r="AD1223" s="33"/>
      <c r="AE1223" s="33"/>
      <c r="AF1223" s="33"/>
      <c r="AG1223" s="33"/>
      <c r="AH1223" s="33"/>
      <c r="AI1223" s="33"/>
      <c r="AJ1223"/>
      <c r="AK1223"/>
      <c r="AL1223"/>
      <c r="AM1223"/>
      <c r="AN1223"/>
      <c r="AO1223"/>
      <c r="AP1223"/>
      <c r="AQ1223" s="22"/>
      <c r="AR1223" s="24"/>
      <c r="AS1223" s="37"/>
      <c r="AT1223" s="37"/>
      <c r="AU1223" s="37"/>
      <c r="AV1223" s="37"/>
      <c r="AW1223" s="37"/>
    </row>
    <row r="1224" spans="1:49" ht="15.75" customHeight="1" x14ac:dyDescent="0.25">
      <c r="A1224" s="208" t="s">
        <v>5739</v>
      </c>
      <c r="B1224" s="21" t="s">
        <v>5740</v>
      </c>
      <c r="C1224" s="206">
        <v>1</v>
      </c>
      <c r="D1224" s="206" t="s">
        <v>5742</v>
      </c>
      <c r="E1224" s="242">
        <v>4905</v>
      </c>
      <c r="F1224" s="192">
        <v>75</v>
      </c>
      <c r="G1224" s="1">
        <v>18.5</v>
      </c>
      <c r="H1224" s="34">
        <f>Tabela1[[#This Row],[PESO UNI]]*Tabela1[[#This Row],[QTE]]</f>
        <v>18.5</v>
      </c>
      <c r="I1224" s="7">
        <v>0</v>
      </c>
      <c r="J1224" s="8" t="s">
        <v>3140</v>
      </c>
      <c r="K1224" s="8" t="s">
        <v>4320</v>
      </c>
      <c r="L1224" s="9" t="s">
        <v>2984</v>
      </c>
      <c r="M1224" s="10">
        <v>46280</v>
      </c>
      <c r="N1224" s="8" t="s">
        <v>38</v>
      </c>
      <c r="O1224" s="12"/>
      <c r="P1224" s="13"/>
      <c r="Q1224" s="14">
        <f>Tabela1[[#This Row],[QTDE/ Fabricação]]-Tabela1[[#This Row],[QTE]]</f>
        <v>-1</v>
      </c>
      <c r="R1224" s="18">
        <f t="shared" si="289"/>
        <v>4.625</v>
      </c>
      <c r="S1224" s="18">
        <f t="shared" si="290"/>
        <v>0</v>
      </c>
      <c r="T1224" s="19">
        <f t="shared" si="291"/>
        <v>-18.5</v>
      </c>
      <c r="U1224" s="16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IFERROR(VLOOKUP(Tabela1[[#This Row],[COD.MDE]],'LISTA DE EMBARQUE'!B:M,12,0),"")</f>
        <v/>
      </c>
      <c r="X1224" s="14">
        <f>IFERROR(Tabela1[[#This Row],[QIANTIDADE EXPEDIDA]]*Tabela1[[#This Row],[PESO UNI]],"")</f>
        <v>0</v>
      </c>
      <c r="Y1224" s="14">
        <f t="shared" si="292"/>
        <v>-1</v>
      </c>
      <c r="Z1224" s="20">
        <f>Tabela1[[#This Row],[PESO TOTAL]]-Tabela1[[#This Row],[Peso Expedido]]</f>
        <v>18.5</v>
      </c>
      <c r="AA1224" s="17">
        <v>1</v>
      </c>
      <c r="AB1224" s="33"/>
      <c r="AC1224" s="33"/>
      <c r="AD1224" s="33"/>
      <c r="AE1224" s="33"/>
      <c r="AF1224" s="33"/>
      <c r="AG1224" s="33"/>
      <c r="AH1224" s="33"/>
      <c r="AI1224" s="33"/>
      <c r="AJ1224"/>
      <c r="AK1224"/>
      <c r="AL1224"/>
      <c r="AM1224"/>
      <c r="AN1224"/>
      <c r="AO1224"/>
      <c r="AP1224"/>
      <c r="AQ1224" s="22"/>
      <c r="AR1224" s="24"/>
      <c r="AS1224" s="37"/>
      <c r="AT1224" s="37"/>
      <c r="AU1224" s="37"/>
      <c r="AV1224" s="37"/>
      <c r="AW1224" s="37"/>
    </row>
    <row r="1225" spans="1:49" ht="15.75" customHeight="1" x14ac:dyDescent="0.25">
      <c r="A1225" s="208" t="s">
        <v>5739</v>
      </c>
      <c r="B1225" s="21" t="s">
        <v>5740</v>
      </c>
      <c r="C1225" s="206">
        <v>1</v>
      </c>
      <c r="D1225" s="206" t="s">
        <v>5743</v>
      </c>
      <c r="E1225" s="242">
        <v>4906</v>
      </c>
      <c r="F1225" s="192">
        <v>75</v>
      </c>
      <c r="G1225" s="1">
        <v>18.5</v>
      </c>
      <c r="H1225" s="34">
        <f>Tabela1[[#This Row],[PESO UNI]]*Tabela1[[#This Row],[QTE]]</f>
        <v>18.5</v>
      </c>
      <c r="I1225" s="7">
        <v>0</v>
      </c>
      <c r="J1225" s="8" t="s">
        <v>3140</v>
      </c>
      <c r="K1225" s="8" t="s">
        <v>4320</v>
      </c>
      <c r="L1225" s="9" t="s">
        <v>2984</v>
      </c>
      <c r="M1225" s="10">
        <v>46280</v>
      </c>
      <c r="N1225" s="8" t="s">
        <v>38</v>
      </c>
      <c r="O1225" s="12"/>
      <c r="P1225" s="13"/>
      <c r="Q1225" s="14">
        <f>Tabela1[[#This Row],[QTDE/ Fabricação]]-Tabela1[[#This Row],[QTE]]</f>
        <v>-1</v>
      </c>
      <c r="R1225" s="18">
        <f t="shared" si="289"/>
        <v>4.625</v>
      </c>
      <c r="S1225" s="18">
        <f t="shared" si="290"/>
        <v>0</v>
      </c>
      <c r="T1225" s="19">
        <f t="shared" si="291"/>
        <v>-18.5</v>
      </c>
      <c r="U1225" s="16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IFERROR(VLOOKUP(Tabela1[[#This Row],[COD.MDE]],'LISTA DE EMBARQUE'!B:M,12,0),"")</f>
        <v/>
      </c>
      <c r="X1225" s="14">
        <f>IFERROR(Tabela1[[#This Row],[QIANTIDADE EXPEDIDA]]*Tabela1[[#This Row],[PESO UNI]],"")</f>
        <v>0</v>
      </c>
      <c r="Y1225" s="14">
        <f t="shared" si="292"/>
        <v>-1</v>
      </c>
      <c r="Z1225" s="20">
        <f>Tabela1[[#This Row],[PESO TOTAL]]-Tabela1[[#This Row],[Peso Expedido]]</f>
        <v>18.5</v>
      </c>
      <c r="AA1225" s="17">
        <v>1</v>
      </c>
      <c r="AB1225" s="33"/>
      <c r="AC1225" s="33"/>
      <c r="AD1225" s="33"/>
      <c r="AE1225" s="33"/>
      <c r="AF1225" s="33"/>
      <c r="AG1225" s="33"/>
      <c r="AH1225" s="33"/>
      <c r="AI1225" s="33"/>
      <c r="AJ1225"/>
      <c r="AK1225"/>
      <c r="AL1225"/>
      <c r="AM1225"/>
      <c r="AN1225"/>
      <c r="AO1225"/>
      <c r="AP1225"/>
      <c r="AQ1225" s="22"/>
      <c r="AR1225" s="24"/>
      <c r="AS1225" s="37"/>
      <c r="AT1225" s="37"/>
      <c r="AU1225" s="37"/>
      <c r="AV1225" s="37"/>
      <c r="AW1225" s="37"/>
    </row>
    <row r="1226" spans="1:49" ht="15.75" customHeight="1" x14ac:dyDescent="0.25">
      <c r="A1226" s="208" t="s">
        <v>5739</v>
      </c>
      <c r="B1226" s="21" t="s">
        <v>5740</v>
      </c>
      <c r="C1226" s="206">
        <v>2</v>
      </c>
      <c r="D1226" s="206" t="s">
        <v>5744</v>
      </c>
      <c r="E1226" s="242">
        <v>4907</v>
      </c>
      <c r="F1226" s="192">
        <v>75</v>
      </c>
      <c r="G1226" s="1">
        <v>48.5</v>
      </c>
      <c r="H1226" s="34">
        <f>Tabela1[[#This Row],[PESO UNI]]*Tabela1[[#This Row],[QTE]]</f>
        <v>97</v>
      </c>
      <c r="I1226" s="7">
        <v>0</v>
      </c>
      <c r="J1226" s="8" t="s">
        <v>3140</v>
      </c>
      <c r="K1226" s="8" t="s">
        <v>4320</v>
      </c>
      <c r="L1226" s="9" t="s">
        <v>2984</v>
      </c>
      <c r="M1226" s="10">
        <v>46280</v>
      </c>
      <c r="N1226" s="8" t="s">
        <v>38</v>
      </c>
      <c r="O1226" s="12"/>
      <c r="P1226" s="13"/>
      <c r="Q1226" s="14">
        <f>Tabela1[[#This Row],[QTDE/ Fabricação]]-Tabela1[[#This Row],[QTE]]</f>
        <v>-2</v>
      </c>
      <c r="R1226" s="18">
        <f t="shared" si="289"/>
        <v>24.25</v>
      </c>
      <c r="S1226" s="18">
        <f t="shared" si="290"/>
        <v>0</v>
      </c>
      <c r="T1226" s="19">
        <f t="shared" si="291"/>
        <v>-97</v>
      </c>
      <c r="U1226" s="16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IFERROR(VLOOKUP(Tabela1[[#This Row],[COD.MDE]],'LISTA DE EMBARQUE'!B:M,12,0),"")</f>
        <v/>
      </c>
      <c r="X1226" s="14">
        <f>IFERROR(Tabela1[[#This Row],[QIANTIDADE EXPEDIDA]]*Tabela1[[#This Row],[PESO UNI]],"")</f>
        <v>0</v>
      </c>
      <c r="Y1226" s="14">
        <f t="shared" si="292"/>
        <v>-2</v>
      </c>
      <c r="Z1226" s="20">
        <f>Tabela1[[#This Row],[PESO TOTAL]]-Tabela1[[#This Row],[Peso Expedido]]</f>
        <v>97</v>
      </c>
      <c r="AA1226" s="17">
        <v>1</v>
      </c>
      <c r="AB1226" s="33"/>
      <c r="AC1226" s="33"/>
      <c r="AD1226" s="33"/>
      <c r="AE1226" s="33"/>
      <c r="AF1226" s="33"/>
      <c r="AG1226" s="33"/>
      <c r="AH1226" s="33"/>
      <c r="AI1226" s="33"/>
      <c r="AJ1226"/>
      <c r="AK1226"/>
      <c r="AL1226"/>
      <c r="AM1226"/>
      <c r="AN1226"/>
      <c r="AO1226"/>
      <c r="AP1226"/>
      <c r="AQ1226" s="22"/>
      <c r="AR1226" s="24"/>
      <c r="AS1226" s="37"/>
      <c r="AT1226" s="37"/>
      <c r="AU1226" s="37"/>
      <c r="AV1226" s="37"/>
      <c r="AW1226" s="37"/>
    </row>
    <row r="1227" spans="1:49" ht="15.75" customHeight="1" x14ac:dyDescent="0.25">
      <c r="A1227" s="208" t="s">
        <v>5739</v>
      </c>
      <c r="B1227" s="21" t="s">
        <v>5740</v>
      </c>
      <c r="C1227" s="206">
        <v>2</v>
      </c>
      <c r="D1227" s="206" t="s">
        <v>5745</v>
      </c>
      <c r="E1227" s="242">
        <v>4908</v>
      </c>
      <c r="F1227" s="192">
        <v>75</v>
      </c>
      <c r="G1227" s="1">
        <v>0.4</v>
      </c>
      <c r="H1227" s="34">
        <f>Tabela1[[#This Row],[PESO UNI]]*Tabela1[[#This Row],[QTE]]</f>
        <v>0.8</v>
      </c>
      <c r="I1227" s="7">
        <v>0</v>
      </c>
      <c r="J1227" s="8" t="s">
        <v>3140</v>
      </c>
      <c r="K1227" s="8" t="s">
        <v>4320</v>
      </c>
      <c r="L1227" s="9" t="s">
        <v>2984</v>
      </c>
      <c r="M1227" s="10">
        <v>46280</v>
      </c>
      <c r="N1227" s="8" t="s">
        <v>38</v>
      </c>
      <c r="O1227" s="12"/>
      <c r="P1227" s="13"/>
      <c r="Q1227" s="14">
        <f>Tabela1[[#This Row],[QTDE/ Fabricação]]-Tabela1[[#This Row],[QTE]]</f>
        <v>-2</v>
      </c>
      <c r="R1227" s="18">
        <f t="shared" si="289"/>
        <v>0.2</v>
      </c>
      <c r="S1227" s="18">
        <f t="shared" si="290"/>
        <v>0</v>
      </c>
      <c r="T1227" s="19">
        <f t="shared" si="291"/>
        <v>-0.8</v>
      </c>
      <c r="U1227" s="16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IFERROR(VLOOKUP(Tabela1[[#This Row],[COD.MDE]],'LISTA DE EMBARQUE'!B:M,12,0),"")</f>
        <v/>
      </c>
      <c r="X1227" s="14">
        <f>IFERROR(Tabela1[[#This Row],[QIANTIDADE EXPEDIDA]]*Tabela1[[#This Row],[PESO UNI]],"")</f>
        <v>0</v>
      </c>
      <c r="Y1227" s="14">
        <f t="shared" si="292"/>
        <v>-2</v>
      </c>
      <c r="Z1227" s="20">
        <f>Tabela1[[#This Row],[PESO TOTAL]]-Tabela1[[#This Row],[Peso Expedido]]</f>
        <v>0.8</v>
      </c>
      <c r="AA1227" s="17">
        <v>1</v>
      </c>
      <c r="AB1227" s="33"/>
      <c r="AC1227" s="33"/>
      <c r="AD1227" s="33"/>
      <c r="AE1227" s="33"/>
      <c r="AF1227" s="33"/>
      <c r="AG1227" s="33"/>
      <c r="AH1227" s="33"/>
      <c r="AI1227" s="33"/>
      <c r="AJ1227"/>
      <c r="AK1227"/>
      <c r="AL1227"/>
      <c r="AM1227"/>
      <c r="AN1227"/>
      <c r="AO1227"/>
      <c r="AP1227"/>
      <c r="AQ1227" s="22"/>
      <c r="AR1227" s="24"/>
      <c r="AS1227" s="37"/>
      <c r="AT1227" s="37"/>
      <c r="AU1227" s="37"/>
      <c r="AV1227" s="37"/>
      <c r="AW1227" s="37"/>
    </row>
    <row r="1228" spans="1:49" ht="15.75" customHeight="1" x14ac:dyDescent="0.25">
      <c r="A1228" s="208" t="s">
        <v>5739</v>
      </c>
      <c r="B1228" s="21" t="s">
        <v>5740</v>
      </c>
      <c r="C1228" s="206">
        <v>2</v>
      </c>
      <c r="D1228" s="206" t="s">
        <v>5746</v>
      </c>
      <c r="E1228" s="242">
        <v>4909</v>
      </c>
      <c r="F1228" s="192">
        <v>75</v>
      </c>
      <c r="G1228" s="1">
        <v>0.8</v>
      </c>
      <c r="H1228" s="34">
        <f>Tabela1[[#This Row],[PESO UNI]]*Tabela1[[#This Row],[QTE]]</f>
        <v>1.6</v>
      </c>
      <c r="I1228" s="7">
        <v>0</v>
      </c>
      <c r="J1228" s="8" t="s">
        <v>3140</v>
      </c>
      <c r="K1228" s="8" t="s">
        <v>4320</v>
      </c>
      <c r="L1228" s="9" t="s">
        <v>2984</v>
      </c>
      <c r="M1228" s="10">
        <v>46280</v>
      </c>
      <c r="N1228" s="8" t="s">
        <v>38</v>
      </c>
      <c r="O1228" s="12"/>
      <c r="P1228" s="13"/>
      <c r="Q1228" s="14">
        <f>Tabela1[[#This Row],[QTDE/ Fabricação]]-Tabela1[[#This Row],[QTE]]</f>
        <v>-2</v>
      </c>
      <c r="R1228" s="18">
        <f t="shared" si="289"/>
        <v>0.4</v>
      </c>
      <c r="S1228" s="18">
        <f t="shared" si="290"/>
        <v>0</v>
      </c>
      <c r="T1228" s="19">
        <f t="shared" si="291"/>
        <v>-1.6</v>
      </c>
      <c r="U1228" s="16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IFERROR(VLOOKUP(Tabela1[[#This Row],[COD.MDE]],'LISTA DE EMBARQUE'!B:M,12,0),"")</f>
        <v/>
      </c>
      <c r="X1228" s="14">
        <f>IFERROR(Tabela1[[#This Row],[QIANTIDADE EXPEDIDA]]*Tabela1[[#This Row],[PESO UNI]],"")</f>
        <v>0</v>
      </c>
      <c r="Y1228" s="14">
        <f t="shared" si="292"/>
        <v>-2</v>
      </c>
      <c r="Z1228" s="20">
        <f>Tabela1[[#This Row],[PESO TOTAL]]-Tabela1[[#This Row],[Peso Expedido]]</f>
        <v>1.6</v>
      </c>
      <c r="AA1228" s="17">
        <v>1</v>
      </c>
      <c r="AB1228" s="33"/>
      <c r="AC1228" s="33"/>
      <c r="AD1228" s="33"/>
      <c r="AE1228" s="33"/>
      <c r="AF1228" s="33"/>
      <c r="AG1228" s="33"/>
      <c r="AH1228" s="33"/>
      <c r="AI1228" s="33"/>
      <c r="AJ1228"/>
      <c r="AK1228"/>
      <c r="AL1228"/>
      <c r="AM1228"/>
      <c r="AN1228"/>
      <c r="AO1228"/>
      <c r="AP1228"/>
      <c r="AQ1228" s="22"/>
      <c r="AR1228" s="24"/>
      <c r="AS1228" s="37"/>
      <c r="AT1228" s="37"/>
      <c r="AU1228" s="37"/>
      <c r="AV1228" s="37"/>
      <c r="AW1228" s="37"/>
    </row>
    <row r="1229" spans="1:49" ht="15.75" customHeight="1" x14ac:dyDescent="0.25">
      <c r="A1229" s="208" t="s">
        <v>5739</v>
      </c>
      <c r="B1229" s="21" t="s">
        <v>5740</v>
      </c>
      <c r="C1229" s="206">
        <v>2</v>
      </c>
      <c r="D1229" s="206" t="s">
        <v>5747</v>
      </c>
      <c r="E1229" s="242">
        <v>4910</v>
      </c>
      <c r="F1229" s="192">
        <v>75</v>
      </c>
      <c r="G1229" s="1">
        <v>77.3</v>
      </c>
      <c r="H1229" s="34">
        <f>Tabela1[[#This Row],[PESO UNI]]*Tabela1[[#This Row],[QTE]]</f>
        <v>154.6</v>
      </c>
      <c r="I1229" s="7">
        <v>0</v>
      </c>
      <c r="J1229" s="8" t="s">
        <v>3140</v>
      </c>
      <c r="K1229" s="8" t="s">
        <v>4320</v>
      </c>
      <c r="L1229" s="9" t="s">
        <v>2984</v>
      </c>
      <c r="M1229" s="10">
        <v>46280</v>
      </c>
      <c r="N1229" s="8" t="s">
        <v>38</v>
      </c>
      <c r="O1229" s="12"/>
      <c r="P1229" s="13"/>
      <c r="Q1229" s="14">
        <f>Tabela1[[#This Row],[QTDE/ Fabricação]]-Tabela1[[#This Row],[QTE]]</f>
        <v>-2</v>
      </c>
      <c r="R1229" s="18">
        <f t="shared" si="289"/>
        <v>38.65</v>
      </c>
      <c r="S1229" s="18">
        <f t="shared" si="290"/>
        <v>0</v>
      </c>
      <c r="T1229" s="19">
        <f t="shared" si="291"/>
        <v>-154.6</v>
      </c>
      <c r="U1229" s="16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IFERROR(VLOOKUP(Tabela1[[#This Row],[COD.MDE]],'LISTA DE EMBARQUE'!B:M,12,0),"")</f>
        <v/>
      </c>
      <c r="X1229" s="14">
        <f>IFERROR(Tabela1[[#This Row],[QIANTIDADE EXPEDIDA]]*Tabela1[[#This Row],[PESO UNI]],"")</f>
        <v>0</v>
      </c>
      <c r="Y1229" s="14">
        <f t="shared" si="292"/>
        <v>-2</v>
      </c>
      <c r="Z1229" s="20">
        <f>Tabela1[[#This Row],[PESO TOTAL]]-Tabela1[[#This Row],[Peso Expedido]]</f>
        <v>154.6</v>
      </c>
      <c r="AA1229" s="17">
        <v>1</v>
      </c>
      <c r="AB1229" s="33"/>
      <c r="AC1229" s="33"/>
      <c r="AD1229" s="33"/>
      <c r="AE1229" s="33"/>
      <c r="AF1229" s="33"/>
      <c r="AG1229" s="33"/>
      <c r="AH1229" s="33"/>
      <c r="AI1229" s="33"/>
      <c r="AJ1229"/>
      <c r="AK1229"/>
      <c r="AL1229"/>
      <c r="AM1229"/>
      <c r="AN1229"/>
      <c r="AO1229"/>
      <c r="AP1229"/>
      <c r="AQ1229" s="22"/>
      <c r="AR1229" s="24"/>
      <c r="AS1229" s="37"/>
      <c r="AT1229" s="37"/>
      <c r="AU1229" s="37"/>
      <c r="AV1229" s="37"/>
      <c r="AW1229" s="37"/>
    </row>
    <row r="1230" spans="1:49" ht="15.75" customHeight="1" x14ac:dyDescent="0.25">
      <c r="A1230" s="208" t="s">
        <v>5739</v>
      </c>
      <c r="B1230" s="21" t="s">
        <v>5740</v>
      </c>
      <c r="C1230" s="206">
        <v>2</v>
      </c>
      <c r="D1230" s="206" t="s">
        <v>5748</v>
      </c>
      <c r="E1230" s="242">
        <v>4911</v>
      </c>
      <c r="F1230" s="192">
        <v>75</v>
      </c>
      <c r="G1230" s="1">
        <v>0.9</v>
      </c>
      <c r="H1230" s="34">
        <f>Tabela1[[#This Row],[PESO UNI]]*Tabela1[[#This Row],[QTE]]</f>
        <v>1.8</v>
      </c>
      <c r="I1230" s="7">
        <v>0</v>
      </c>
      <c r="J1230" s="8" t="s">
        <v>3140</v>
      </c>
      <c r="K1230" s="8" t="s">
        <v>4320</v>
      </c>
      <c r="L1230" s="9" t="s">
        <v>2984</v>
      </c>
      <c r="M1230" s="10">
        <v>46280</v>
      </c>
      <c r="N1230" s="8" t="s">
        <v>38</v>
      </c>
      <c r="O1230" s="12"/>
      <c r="P1230" s="13"/>
      <c r="Q1230" s="14">
        <f>Tabela1[[#This Row],[QTDE/ Fabricação]]-Tabela1[[#This Row],[QTE]]</f>
        <v>-2</v>
      </c>
      <c r="R1230" s="18">
        <f t="shared" si="289"/>
        <v>0.45</v>
      </c>
      <c r="S1230" s="18">
        <f t="shared" si="290"/>
        <v>0</v>
      </c>
      <c r="T1230" s="19">
        <f t="shared" si="291"/>
        <v>-1.8</v>
      </c>
      <c r="U1230" s="16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IFERROR(VLOOKUP(Tabela1[[#This Row],[COD.MDE]],'LISTA DE EMBARQUE'!B:M,12,0),"")</f>
        <v/>
      </c>
      <c r="X1230" s="14">
        <f>IFERROR(Tabela1[[#This Row],[QIANTIDADE EXPEDIDA]]*Tabela1[[#This Row],[PESO UNI]],"")</f>
        <v>0</v>
      </c>
      <c r="Y1230" s="14">
        <f t="shared" si="292"/>
        <v>-2</v>
      </c>
      <c r="Z1230" s="20">
        <f>Tabela1[[#This Row],[PESO TOTAL]]-Tabela1[[#This Row],[Peso Expedido]]</f>
        <v>1.8</v>
      </c>
      <c r="AA1230" s="17">
        <v>1</v>
      </c>
      <c r="AB1230" s="33"/>
      <c r="AC1230" s="33"/>
      <c r="AD1230" s="33"/>
      <c r="AE1230" s="33"/>
      <c r="AF1230" s="33"/>
      <c r="AG1230" s="33"/>
      <c r="AH1230" s="33"/>
      <c r="AI1230" s="33"/>
      <c r="AJ1230"/>
      <c r="AK1230"/>
      <c r="AL1230"/>
      <c r="AM1230"/>
      <c r="AN1230"/>
      <c r="AO1230"/>
      <c r="AP1230"/>
      <c r="AQ1230" s="22"/>
      <c r="AR1230" s="24"/>
      <c r="AS1230" s="37"/>
      <c r="AT1230" s="37"/>
      <c r="AU1230" s="37"/>
      <c r="AV1230" s="37"/>
      <c r="AW1230" s="37"/>
    </row>
    <row r="1231" spans="1:49" ht="15.75" customHeight="1" x14ac:dyDescent="0.25">
      <c r="A1231" s="208" t="s">
        <v>5739</v>
      </c>
      <c r="B1231" s="21" t="s">
        <v>5740</v>
      </c>
      <c r="C1231" s="206">
        <v>4</v>
      </c>
      <c r="D1231" s="206" t="s">
        <v>5749</v>
      </c>
      <c r="E1231" s="242">
        <v>4912</v>
      </c>
      <c r="F1231" s="192">
        <v>75</v>
      </c>
      <c r="G1231" s="1">
        <v>4.7</v>
      </c>
      <c r="H1231" s="34">
        <f>Tabela1[[#This Row],[PESO UNI]]*Tabela1[[#This Row],[QTE]]</f>
        <v>18.8</v>
      </c>
      <c r="I1231" s="7">
        <v>0</v>
      </c>
      <c r="J1231" s="8" t="s">
        <v>3140</v>
      </c>
      <c r="K1231" s="8" t="s">
        <v>4320</v>
      </c>
      <c r="L1231" s="9" t="s">
        <v>2984</v>
      </c>
      <c r="M1231" s="10">
        <v>46280</v>
      </c>
      <c r="N1231" s="8" t="s">
        <v>38</v>
      </c>
      <c r="O1231" s="12"/>
      <c r="P1231" s="13"/>
      <c r="Q1231" s="14">
        <f>Tabela1[[#This Row],[QTDE/ Fabricação]]-Tabela1[[#This Row],[QTE]]</f>
        <v>-4</v>
      </c>
      <c r="R1231" s="18">
        <f t="shared" si="289"/>
        <v>4.7</v>
      </c>
      <c r="S1231" s="18">
        <f t="shared" si="290"/>
        <v>0</v>
      </c>
      <c r="T1231" s="19">
        <f t="shared" si="291"/>
        <v>-18.8</v>
      </c>
      <c r="U1231" s="16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IFERROR(VLOOKUP(Tabela1[[#This Row],[COD.MDE]],'LISTA DE EMBARQUE'!B:M,12,0),"")</f>
        <v/>
      </c>
      <c r="X1231" s="14">
        <f>IFERROR(Tabela1[[#This Row],[QIANTIDADE EXPEDIDA]]*Tabela1[[#This Row],[PESO UNI]],"")</f>
        <v>0</v>
      </c>
      <c r="Y1231" s="14">
        <f t="shared" si="292"/>
        <v>-4</v>
      </c>
      <c r="Z1231" s="20">
        <f>Tabela1[[#This Row],[PESO TOTAL]]-Tabela1[[#This Row],[Peso Expedido]]</f>
        <v>18.8</v>
      </c>
      <c r="AA1231" s="17">
        <v>1</v>
      </c>
      <c r="AB1231" s="33"/>
      <c r="AC1231" s="33"/>
      <c r="AD1231" s="33"/>
      <c r="AE1231" s="33"/>
      <c r="AF1231" s="33"/>
      <c r="AG1231" s="33"/>
      <c r="AH1231" s="33"/>
      <c r="AI1231" s="33"/>
      <c r="AJ1231"/>
      <c r="AK1231"/>
      <c r="AL1231"/>
      <c r="AM1231"/>
      <c r="AN1231"/>
      <c r="AO1231"/>
      <c r="AP1231"/>
      <c r="AQ1231" s="22"/>
      <c r="AR1231" s="24"/>
      <c r="AS1231" s="37"/>
      <c r="AT1231" s="37"/>
      <c r="AU1231" s="37"/>
      <c r="AV1231" s="37"/>
      <c r="AW1231" s="37"/>
    </row>
    <row r="1232" spans="1:49" ht="15.75" customHeight="1" x14ac:dyDescent="0.25">
      <c r="A1232" s="208" t="s">
        <v>5739</v>
      </c>
      <c r="B1232" s="21" t="s">
        <v>5740</v>
      </c>
      <c r="C1232" s="206">
        <v>2</v>
      </c>
      <c r="D1232" s="206" t="s">
        <v>5750</v>
      </c>
      <c r="E1232" s="242">
        <v>4913</v>
      </c>
      <c r="F1232" s="192">
        <v>75</v>
      </c>
      <c r="G1232" s="1">
        <v>2.2999999999999998</v>
      </c>
      <c r="H1232" s="34">
        <f>Tabela1[[#This Row],[PESO UNI]]*Tabela1[[#This Row],[QTE]]</f>
        <v>4.5999999999999996</v>
      </c>
      <c r="I1232" s="7">
        <v>0</v>
      </c>
      <c r="J1232" s="8" t="s">
        <v>3140</v>
      </c>
      <c r="K1232" s="8" t="s">
        <v>4320</v>
      </c>
      <c r="L1232" s="9" t="s">
        <v>2984</v>
      </c>
      <c r="M1232" s="10">
        <v>46280</v>
      </c>
      <c r="N1232" s="8" t="s">
        <v>38</v>
      </c>
      <c r="O1232" s="12"/>
      <c r="P1232" s="13"/>
      <c r="Q1232" s="14">
        <f>Tabela1[[#This Row],[QTDE/ Fabricação]]-Tabela1[[#This Row],[QTE]]</f>
        <v>-2</v>
      </c>
      <c r="R1232" s="18">
        <f t="shared" si="289"/>
        <v>1.1499999999999999</v>
      </c>
      <c r="S1232" s="18">
        <f t="shared" si="290"/>
        <v>0</v>
      </c>
      <c r="T1232" s="19">
        <f t="shared" si="291"/>
        <v>-4.5999999999999996</v>
      </c>
      <c r="U1232" s="16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IFERROR(VLOOKUP(Tabela1[[#This Row],[COD.MDE]],'LISTA DE EMBARQUE'!B:M,12,0),"")</f>
        <v/>
      </c>
      <c r="X1232" s="14">
        <f>IFERROR(Tabela1[[#This Row],[QIANTIDADE EXPEDIDA]]*Tabela1[[#This Row],[PESO UNI]],"")</f>
        <v>0</v>
      </c>
      <c r="Y1232" s="14">
        <f t="shared" si="292"/>
        <v>-2</v>
      </c>
      <c r="Z1232" s="20">
        <f>Tabela1[[#This Row],[PESO TOTAL]]-Tabela1[[#This Row],[Peso Expedido]]</f>
        <v>4.5999999999999996</v>
      </c>
      <c r="AA1232" s="17">
        <v>1</v>
      </c>
      <c r="AB1232" s="33"/>
      <c r="AC1232" s="33"/>
      <c r="AD1232" s="33"/>
      <c r="AE1232" s="33"/>
      <c r="AF1232" s="33"/>
      <c r="AG1232" s="33"/>
      <c r="AH1232" s="33"/>
      <c r="AI1232" s="33"/>
      <c r="AJ1232"/>
      <c r="AK1232"/>
      <c r="AL1232"/>
      <c r="AM1232"/>
      <c r="AN1232"/>
      <c r="AO1232"/>
      <c r="AP1232"/>
      <c r="AQ1232" s="22"/>
      <c r="AR1232" s="24"/>
      <c r="AS1232" s="37"/>
      <c r="AT1232" s="37"/>
      <c r="AU1232" s="37"/>
      <c r="AV1232" s="37"/>
      <c r="AW1232" s="37"/>
    </row>
  </sheetData>
  <phoneticPr fontId="6" type="noConversion"/>
  <conditionalFormatting sqref="A1077:A1083">
    <cfRule type="expression" dxfId="153" priority="1894">
      <formula>#REF!="OK"</formula>
    </cfRule>
  </conditionalFormatting>
  <conditionalFormatting sqref="A862:X862 E2:E458 AA29:AH120 AI29:AI459 AE121:AH122 AA123:AH140 AD141:AH142 AA143:AH147 AD148:AH149 AA150:AH449 AA452:AD453 AA454:AB458 AD454:AD458 AA486:AH604 E556:E604 L605 J605:J1232 E606:E1039 AA762:AJ762 AC762:AE763 AA763:AI775 AA798:AH804 AA806:AI816 AA817:AH817 AB818:AI819 AA820:AI821 AB822:AI833 AA834:AI836 AB837:AI838 AA839:AI839 AB840:AI841 AA842:AI857 AB858:AI858 AA859:AI873 AA885:AI891 AB892:AI952 AB953:AB954 AH953:AI954 AB955:AI986 AB987:AB988 AH987:AI988 AB989:AI995 AB996:AB997 AH996:AI997 AA1023:AI1098 E1099:E1232 AB1099:AI1232 AA777:AI797 AA776:AB776 AH776:AI776 AA805:AB805 AH805:AI805 AB874:AI884 AB998:AI1022">
    <cfRule type="expression" dxfId="152" priority="2010">
      <formula>$AI2="OK"</formula>
    </cfRule>
  </conditionalFormatting>
  <conditionalFormatting sqref="E1079:F1098 AR1079:XFD1098 B1090:C1098">
    <cfRule type="expression" dxfId="151" priority="1224">
      <formula>#REF!="OK"</formula>
    </cfRule>
  </conditionalFormatting>
  <conditionalFormatting sqref="F564:F1078 B606:B1051">
    <cfRule type="expression" dxfId="150" priority="1452">
      <formula>#REF!="OK"</formula>
    </cfRule>
  </conditionalFormatting>
  <conditionalFormatting sqref="G452:G458">
    <cfRule type="expression" dxfId="149" priority="361">
      <formula>$AI506="OK"</formula>
    </cfRule>
  </conditionalFormatting>
  <conditionalFormatting sqref="H419">
    <cfRule type="expression" dxfId="148" priority="28803">
      <formula>$AI449="OK"</formula>
    </cfRule>
  </conditionalFormatting>
  <conditionalFormatting sqref="H420:H438">
    <cfRule type="expression" dxfId="147" priority="28793">
      <formula>$AI459="OK"</formula>
    </cfRule>
  </conditionalFormatting>
  <conditionalFormatting sqref="H576">
    <cfRule type="expression" dxfId="146" priority="28770">
      <formula>$AI604="OK"</formula>
    </cfRule>
  </conditionalFormatting>
  <conditionalFormatting sqref="H606:I1232 K859:O1232 A1079:C1098 B1099:B1232 F1099:F1232">
    <cfRule type="expression" dxfId="145" priority="1380">
      <formula>#REF!="OK"</formula>
    </cfRule>
  </conditionalFormatting>
  <conditionalFormatting sqref="K153:K438 K445:K451 L448:L449 L762:O763">
    <cfRule type="expression" dxfId="144" priority="2019">
      <formula>#REF!="OK"</formula>
    </cfRule>
  </conditionalFormatting>
  <conditionalFormatting sqref="K762:K763">
    <cfRule type="expression" dxfId="143" priority="29019">
      <formula>$AI1250="OK"</formula>
    </cfRule>
  </conditionalFormatting>
  <conditionalFormatting sqref="K764:O817 K818:M819 O818:O819 K820:O821 K822:M833 O822:O833 K834:O836 K837:M838 O837:O838 K839:O839 K840:M841 O840:O841 K842:O857 K858:M858 O858 A1052:B1078">
    <cfRule type="expression" dxfId="142" priority="1495">
      <formula>#REF!="OK"</formula>
    </cfRule>
  </conditionalFormatting>
  <conditionalFormatting sqref="L2:L27 H415:H417">
    <cfRule type="expression" dxfId="141" priority="28546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140" priority="2016">
      <formula>$AI72="OK"</formula>
    </cfRule>
  </conditionalFormatting>
  <conditionalFormatting sqref="L408">
    <cfRule type="expression" dxfId="139" priority="28795">
      <formula>$AI449="OK"</formula>
    </cfRule>
  </conditionalFormatting>
  <conditionalFormatting sqref="L409:L438">
    <cfRule type="expression" dxfId="138" priority="28648">
      <formula>$AI459="OK"</formula>
    </cfRule>
  </conditionalFormatting>
  <conditionalFormatting sqref="N2:N451">
    <cfRule type="expression" dxfId="137" priority="1900">
      <formula>#REF!="OK"</formula>
    </cfRule>
  </conditionalFormatting>
  <conditionalFormatting sqref="N818:N819">
    <cfRule type="expression" dxfId="136" priority="587">
      <formula>#REF!="OK"</formula>
    </cfRule>
  </conditionalFormatting>
  <conditionalFormatting sqref="N822:N833">
    <cfRule type="expression" dxfId="135" priority="575">
      <formula>#REF!="OK"</formula>
    </cfRule>
  </conditionalFormatting>
  <conditionalFormatting sqref="N837:N838">
    <cfRule type="expression" dxfId="134" priority="573">
      <formula>#REF!="OK"</formula>
    </cfRule>
  </conditionalFormatting>
  <conditionalFormatting sqref="N840:N841">
    <cfRule type="expression" dxfId="133" priority="571">
      <formula>#REF!="OK"</formula>
    </cfRule>
  </conditionalFormatting>
  <conditionalFormatting sqref="N858">
    <cfRule type="expression" dxfId="132" priority="569">
      <formula>#REF!="OK"</formula>
    </cfRule>
  </conditionalFormatting>
  <conditionalFormatting sqref="O450:O458">
    <cfRule type="cellIs" dxfId="131" priority="1966" operator="greaterThanOrEqual">
      <formula>0</formula>
    </cfRule>
  </conditionalFormatting>
  <conditionalFormatting sqref="O450:P453 H449 R449 M450:M451 A450:D453 F450:F453 H450:J458 K452:N458 P457:P458">
    <cfRule type="expression" dxfId="130" priority="28604">
      <formula>$AI503="OK"</formula>
    </cfRule>
  </conditionalFormatting>
  <conditionalFormatting sqref="O2:Z27 A2:D27 F2:F27 H2:K27 M2:M27 H153:H413 H459:H571">
    <cfRule type="expression" dxfId="129" priority="28579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128" priority="28277">
      <formula>$AI73="OK"</formula>
    </cfRule>
  </conditionalFormatting>
  <conditionalFormatting sqref="O108:Z108 A108:D108 F108 H108:K108 M108 L109">
    <cfRule type="expression" dxfId="127" priority="28912">
      <formula>#REF!="OK"</formula>
    </cfRule>
  </conditionalFormatting>
  <conditionalFormatting sqref="O402:Z402 O406:Z406 A402:D402 F402 I402:J402 M402 L403 A406:D406 F406 I406:J406 M406 L407 H414 H418">
    <cfRule type="expression" dxfId="126" priority="28796">
      <formula>#REF!="OK"</formula>
    </cfRule>
  </conditionalFormatting>
  <conditionalFormatting sqref="O403:Z405 L110:L152 L214:L256 L396:L402 A403:D405 F403:F405 I403:J405 M403:M405">
    <cfRule type="expression" dxfId="125" priority="28483">
      <formula>$AI153="OK"</formula>
    </cfRule>
  </conditionalFormatting>
  <conditionalFormatting sqref="O407:Z407 L404:L406 A407:D407 F407 I407:J407 M407">
    <cfRule type="expression" dxfId="124" priority="28805">
      <formula>$AI446="OK"</formula>
    </cfRule>
  </conditionalFormatting>
  <conditionalFormatting sqref="O446:Z446 S449:Z449 O449:Q449 Q450:Q451 O454:P456 O457:O458 A446:D446 F446 J446 M446 H446:H448 R447:R448 A449:D449 F449 J449 M449 L450:L451 U450:U458 A454:D458 F454:F458">
    <cfRule type="expression" dxfId="123" priority="28618">
      <formula>$AI499="OK"</formula>
    </cfRule>
  </conditionalFormatting>
  <conditionalFormatting sqref="O559:Z562 Z560:Z563 B559:B562 F559:F562 I559:I562 M559:M562 H572:H575">
    <cfRule type="expression" dxfId="122" priority="28733">
      <formula>#REF!="OK"</formula>
    </cfRule>
  </conditionalFormatting>
  <conditionalFormatting sqref="O563:Z563 B563 F563 I563 M563">
    <cfRule type="expression" dxfId="121" priority="28647">
      <formula>$AI604="OK"</formula>
    </cfRule>
  </conditionalFormatting>
  <conditionalFormatting sqref="P762:Z834">
    <cfRule type="expression" dxfId="120" priority="28932">
      <formula>$AI1260="OK"</formula>
    </cfRule>
  </conditionalFormatting>
  <conditionalFormatting sqref="P835:Z845">
    <cfRule type="expression" dxfId="119" priority="29008">
      <formula>$AI1331="OK"</formula>
    </cfRule>
  </conditionalFormatting>
  <conditionalFormatting sqref="P837:Z845">
    <cfRule type="expression" dxfId="118" priority="29009">
      <formula>$AI1332="OK"</formula>
    </cfRule>
  </conditionalFormatting>
  <conditionalFormatting sqref="P845:Z845 P847:Z913 A873:X873">
    <cfRule type="expression" dxfId="117" priority="29001">
      <formula>$AI1339="OK"</formula>
    </cfRule>
  </conditionalFormatting>
  <conditionalFormatting sqref="P846:Z846">
    <cfRule type="expression" dxfId="116" priority="710">
      <formula>$AI1340="OK"</formula>
    </cfRule>
    <cfRule type="expression" dxfId="115" priority="711">
      <formula>$AI1342="OK"</formula>
    </cfRule>
    <cfRule type="expression" dxfId="114" priority="712">
      <formula>$AI1341="OK"</formula>
    </cfRule>
  </conditionalFormatting>
  <conditionalFormatting sqref="P847:Z913 A873:X873">
    <cfRule type="expression" dxfId="113" priority="29025">
      <formula>$AI1340="OK"</formula>
    </cfRule>
  </conditionalFormatting>
  <conditionalFormatting sqref="P914:Z927">
    <cfRule type="expression" dxfId="112" priority="589">
      <formula>$AI1408="OK"</formula>
    </cfRule>
    <cfRule type="expression" dxfId="111" priority="590">
      <formula>$AI1407="OK"</formula>
    </cfRule>
  </conditionalFormatting>
  <conditionalFormatting sqref="P928:Z1015">
    <cfRule type="expression" dxfId="110" priority="29013">
      <formula>$AI1396="OK"</formula>
    </cfRule>
  </conditionalFormatting>
  <conditionalFormatting sqref="P928:Z1044 P1048:Z1082">
    <cfRule type="expression" dxfId="109" priority="29011">
      <formula>$AI1395="OK"</formula>
    </cfRule>
  </conditionalFormatting>
  <conditionalFormatting sqref="P1016:Z1044 P1048:Z1083">
    <cfRule type="expression" dxfId="108" priority="28999">
      <formula>$AI1482="OK"</formula>
    </cfRule>
  </conditionalFormatting>
  <conditionalFormatting sqref="P1045:Z1047">
    <cfRule type="expression" dxfId="107" priority="1556">
      <formula>$AI1511="OK"</formula>
    </cfRule>
    <cfRule type="expression" dxfId="106" priority="1557">
      <formula>$AI1512="OK"</formula>
    </cfRule>
  </conditionalFormatting>
  <conditionalFormatting sqref="P1083:Z1083">
    <cfRule type="expression" dxfId="105" priority="16">
      <formula>$AI1550="OK"</formula>
    </cfRule>
  </conditionalFormatting>
  <conditionalFormatting sqref="P1084:Z1107">
    <cfRule type="expression" dxfId="104" priority="29107">
      <formula>$AI1549="OK"</formula>
    </cfRule>
    <cfRule type="expression" dxfId="103" priority="29100">
      <formula>$AI1548="OK"</formula>
    </cfRule>
  </conditionalFormatting>
  <conditionalFormatting sqref="P1108:Z1111">
    <cfRule type="expression" dxfId="102" priority="562">
      <formula>$AI1573="OK"</formula>
    </cfRule>
    <cfRule type="expression" dxfId="101" priority="561">
      <formula>$AI1572="OK"</formula>
    </cfRule>
  </conditionalFormatting>
  <conditionalFormatting sqref="P1112:Z1113">
    <cfRule type="expression" dxfId="100" priority="29035">
      <formula>$AI1569="OK"</formula>
    </cfRule>
  </conditionalFormatting>
  <conditionalFormatting sqref="P1112:Z1200 P1206:Z1226">
    <cfRule type="expression" dxfId="99" priority="29061">
      <formula>$AI1568="OK"</formula>
    </cfRule>
  </conditionalFormatting>
  <conditionalFormatting sqref="P1114:Z1226">
    <cfRule type="expression" dxfId="98" priority="29095">
      <formula>$AI1569="OK"</formula>
    </cfRule>
  </conditionalFormatting>
  <conditionalFormatting sqref="P1200:Z1200">
    <cfRule type="expression" dxfId="97" priority="305">
      <formula>$AI1656="OK"</formula>
    </cfRule>
  </conditionalFormatting>
  <conditionalFormatting sqref="P1201:Z1205">
    <cfRule type="expression" dxfId="96" priority="29094">
      <formula>$AI1655="OK"</formula>
    </cfRule>
  </conditionalFormatting>
  <conditionalFormatting sqref="P1227:Z1232">
    <cfRule type="expression" dxfId="95" priority="17">
      <formula>$AI1683="OK"</formula>
    </cfRule>
    <cfRule type="expression" dxfId="94" priority="18">
      <formula>$AI1682="OK"</formula>
    </cfRule>
  </conditionalFormatting>
  <conditionalFormatting sqref="Q2:Q451 T2:T1232 Y2:Z1232 Q459:Q1232 A873:X873">
    <cfRule type="cellIs" dxfId="93" priority="28246" operator="greaterThanOrEqual">
      <formula>0</formula>
    </cfRule>
  </conditionalFormatting>
  <conditionalFormatting sqref="Q2:Q451">
    <cfRule type="cellIs" dxfId="92" priority="28245" operator="lessThan">
      <formula>0</formula>
    </cfRule>
  </conditionalFormatting>
  <conditionalFormatting sqref="Q452:Q458">
    <cfRule type="expression" dxfId="91" priority="360">
      <formula>$AI506="OK"</formula>
    </cfRule>
  </conditionalFormatting>
  <conditionalFormatting sqref="Q459:Q1232 O450:O458">
    <cfRule type="cellIs" dxfId="90" priority="1965" operator="lessThan">
      <formula>0</formula>
    </cfRule>
  </conditionalFormatting>
  <conditionalFormatting sqref="S211">
    <cfRule type="expression" dxfId="89" priority="2017">
      <formula>#REF!="OK"</formula>
    </cfRule>
  </conditionalFormatting>
  <conditionalFormatting sqref="S393">
    <cfRule type="expression" dxfId="88" priority="2018">
      <formula>#REF!="OK"</formula>
    </cfRule>
  </conditionalFormatting>
  <conditionalFormatting sqref="S447:Z447 O447:Q447 A447:D447 F447 J447 M447">
    <cfRule type="expression" dxfId="87" priority="28603">
      <formula>#REF!="OK"</formula>
    </cfRule>
  </conditionalFormatting>
  <conditionalFormatting sqref="T2:T1232 Y2:Z1232 A873:X873">
    <cfRule type="cellIs" dxfId="86" priority="28247" operator="lessThan">
      <formula>0</formula>
    </cfRule>
  </conditionalFormatting>
  <conditionalFormatting sqref="T212:Z212 O212:R212 A212:D212 F212 I212:J212 M212">
    <cfRule type="expression" dxfId="85" priority="28457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84" priority="28345">
      <formula>$AI257="OK"</formula>
    </cfRule>
  </conditionalFormatting>
  <conditionalFormatting sqref="T394:Z394 O394:R394 A394:D394 F394 I394:J394 M394 L395">
    <cfRule type="expression" dxfId="83" priority="28508">
      <formula>#REF!="OK"</formula>
    </cfRule>
  </conditionalFormatting>
  <conditionalFormatting sqref="T408:Z438 O408:R438 S408:S437 A408:D438 F408:F438 I408:J438 M408:M438 L439:L445">
    <cfRule type="expression" dxfId="82" priority="28889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81" priority="28798">
      <formula>$AI490="OK"</formula>
    </cfRule>
  </conditionalFormatting>
  <conditionalFormatting sqref="T605:Z605 Q605:R605 H605">
    <cfRule type="expression" dxfId="80" priority="28785">
      <formula>$AI669="OK"</formula>
    </cfRule>
  </conditionalFormatting>
  <conditionalFormatting sqref="V450:Y451 R450:T458 V452:Z458">
    <cfRule type="expression" dxfId="79" priority="28703">
      <formula>$AI487="OK"</formula>
    </cfRule>
  </conditionalFormatting>
  <conditionalFormatting sqref="Z450:Z451 O564:Z622 K623:Z761 K556:K622 B564:B603 I564:I603 M564:M603 H577:H603 A604:D605 H604:J605 L604:N622">
    <cfRule type="expression" dxfId="78" priority="28772">
      <formula>#REF!="OK"</formula>
    </cfRule>
  </conditionalFormatting>
  <conditionalFormatting sqref="Z450:Z451">
    <cfRule type="expression" dxfId="77" priority="1949">
      <formula>$AI494="OK"</formula>
    </cfRule>
  </conditionalFormatting>
  <conditionalFormatting sqref="Z564">
    <cfRule type="expression" dxfId="76" priority="28763">
      <formula>$AI604="OK"</formula>
    </cfRule>
  </conditionalFormatting>
  <conditionalFormatting sqref="Z605">
    <cfRule type="expression" dxfId="75" priority="28788">
      <formula>$AI668="OK"</formula>
    </cfRule>
  </conditionalFormatting>
  <conditionalFormatting sqref="AA818:AA819 AA892:AA1022 AA1099:AA1232">
    <cfRule type="cellIs" dxfId="74" priority="840" operator="greaterThanOrEqual">
      <formula>1</formula>
    </cfRule>
    <cfRule type="expression" dxfId="73" priority="841">
      <formula>$AI818="OK"</formula>
    </cfRule>
  </conditionalFormatting>
  <conditionalFormatting sqref="AA822:AA833">
    <cfRule type="cellIs" dxfId="72" priority="816" operator="greaterThanOrEqual">
      <formula>1</formula>
    </cfRule>
    <cfRule type="expression" dxfId="71" priority="817">
      <formula>$AI822="OK"</formula>
    </cfRule>
  </conditionalFormatting>
  <conditionalFormatting sqref="AA837:AA838">
    <cfRule type="cellIs" dxfId="70" priority="812" operator="greaterThanOrEqual">
      <formula>1</formula>
    </cfRule>
    <cfRule type="expression" dxfId="69" priority="813">
      <formula>$AI837="OK"</formula>
    </cfRule>
  </conditionalFormatting>
  <conditionalFormatting sqref="AA840:AA841">
    <cfRule type="expression" dxfId="68" priority="809">
      <formula>$AI840="OK"</formula>
    </cfRule>
    <cfRule type="cellIs" dxfId="67" priority="808" operator="greaterThanOrEqual">
      <formula>1</formula>
    </cfRule>
  </conditionalFormatting>
  <conditionalFormatting sqref="AA858">
    <cfRule type="cellIs" dxfId="66" priority="806" operator="greaterThanOrEqual">
      <formula>1</formula>
    </cfRule>
    <cfRule type="expression" dxfId="65" priority="807">
      <formula>$AI858="OK"</formula>
    </cfRule>
  </conditionalFormatting>
  <conditionalFormatting sqref="AA874:AA884">
    <cfRule type="cellIs" dxfId="64" priority="784" operator="greaterThanOrEqual">
      <formula>1</formula>
    </cfRule>
    <cfRule type="expression" dxfId="63" priority="785">
      <formula>$AI874="OK"</formula>
    </cfRule>
  </conditionalFormatting>
  <conditionalFormatting sqref="AA137:AC141">
    <cfRule type="expression" dxfId="62" priority="747">
      <formula>$AI137="OK"</formula>
    </cfRule>
  </conditionalFormatting>
  <conditionalFormatting sqref="AA142:AC142 AC988:AG988">
    <cfRule type="expression" dxfId="61" priority="749">
      <formula>$AI141="OK"</formula>
    </cfRule>
  </conditionalFormatting>
  <conditionalFormatting sqref="AA143:AC148">
    <cfRule type="expression" dxfId="60" priority="739">
      <formula>$AI143="OK"</formula>
    </cfRule>
  </conditionalFormatting>
  <conditionalFormatting sqref="AA149:AC149">
    <cfRule type="expression" dxfId="59" priority="741">
      <formula>$AI148="OK"</formula>
    </cfRule>
  </conditionalFormatting>
  <conditionalFormatting sqref="AA150:AC150">
    <cfRule type="expression" dxfId="58" priority="738">
      <formula>$AI150="OK"</formula>
    </cfRule>
  </conditionalFormatting>
  <conditionalFormatting sqref="AA608:AC609 AA612:AC616 AA619:AC622 AA820:AC821 AA835:AC836 AA839:AC839 AA855:AC857 AA859:AC861 AA863:AC868 AA1034:AC1034 AA775:AC797 AA805:AC816">
    <cfRule type="expression" dxfId="57" priority="735">
      <formula>$AI608="OK"</formula>
    </cfRule>
  </conditionalFormatting>
  <conditionalFormatting sqref="AA608:AC609 AA612:AC616 AA619:AC622 AA1023:AJ1098">
    <cfRule type="cellIs" dxfId="56" priority="737" operator="greaterThanOrEqual">
      <formula>1</formula>
    </cfRule>
  </conditionalFormatting>
  <conditionalFormatting sqref="AA121:AD127">
    <cfRule type="expression" dxfId="55" priority="844">
      <formula>$AI121="OK"</formula>
    </cfRule>
  </conditionalFormatting>
  <conditionalFormatting sqref="AA604:AH604">
    <cfRule type="cellIs" dxfId="54" priority="852" operator="greaterThanOrEqual">
      <formula>1</formula>
    </cfRule>
  </conditionalFormatting>
  <conditionalFormatting sqref="AA606:AH607">
    <cfRule type="expression" dxfId="53" priority="557">
      <formula>$AI606="OK"</formula>
    </cfRule>
    <cfRule type="cellIs" dxfId="52" priority="558" operator="greaterThanOrEqual">
      <formula>1</formula>
    </cfRule>
  </conditionalFormatting>
  <conditionalFormatting sqref="AA617:AH618">
    <cfRule type="cellIs" dxfId="51" priority="554" operator="greaterThanOrEqual">
      <formula>1</formula>
    </cfRule>
    <cfRule type="expression" dxfId="50" priority="553">
      <formula>$AI617="OK"</formula>
    </cfRule>
  </conditionalFormatting>
  <conditionalFormatting sqref="AA623:AH761">
    <cfRule type="expression" dxfId="49" priority="850">
      <formula>$AI623="OK"</formula>
    </cfRule>
    <cfRule type="cellIs" dxfId="48" priority="851" operator="greaterThanOrEqual">
      <formula>1</formula>
    </cfRule>
  </conditionalFormatting>
  <conditionalFormatting sqref="AA2:AI28 AA450:AE451 AE452:AG453 AF454:AG458 AA459:AH459 A459:G555 I459:N555 AA460:AI603 J556:J603 L556:L603">
    <cfRule type="expression" dxfId="47" priority="28243">
      <formula>$AI2="OK"</formula>
    </cfRule>
  </conditionalFormatting>
  <conditionalFormatting sqref="AA2:AI28 AA29:AH451 AI29:AI459 AJ153:AW153 AA452:AG453 AA454:AB458 AD454:AG458 AA459:AH459 AA762:AJ775 AA798:AH804 AJ798:AJ804 AA806:AJ816 AA817:AH817 AJ817 AB818:AJ819 AA820:AJ821 AB822:AJ833 AA834:AJ836 AB837:AJ838 AA839:AJ839 AB840:AJ841 AB858:AJ858 AA859:AJ873 AA885:AJ891 AA777:AJ797 AA776:AB776 AH776:AJ776 AA805:AB805 AH805:AJ805 AB874:AJ884">
    <cfRule type="cellIs" dxfId="46" priority="28244" operator="greaterThanOrEqual">
      <formula>1</formula>
    </cfRule>
  </conditionalFormatting>
  <conditionalFormatting sqref="AA460:AI605 AI606:AI761 AI798:AI804 AI817">
    <cfRule type="cellIs" dxfId="45" priority="1943" operator="greaterThanOrEqual">
      <formula>1</formula>
    </cfRule>
  </conditionalFormatting>
  <conditionalFormatting sqref="AA605:AI605">
    <cfRule type="expression" dxfId="44" priority="1944">
      <formula>$AI605="OK"</formula>
    </cfRule>
  </conditionalFormatting>
  <conditionalFormatting sqref="AA842:AJ857">
    <cfRule type="cellIs" dxfId="43" priority="709" operator="greaterThanOrEqual">
      <formula>1</formula>
    </cfRule>
  </conditionalFormatting>
  <conditionalFormatting sqref="AB892:AJ1022 AA1047:AA1048">
    <cfRule type="cellIs" dxfId="42" priority="707" operator="greaterThanOrEqual">
      <formula>1</formula>
    </cfRule>
  </conditionalFormatting>
  <conditionalFormatting sqref="AB1099:AJ1232">
    <cfRule type="cellIs" dxfId="41" priority="19" operator="greaterThanOrEqual">
      <formula>1</formula>
    </cfRule>
  </conditionalFormatting>
  <conditionalFormatting sqref="AC454:AC458">
    <cfRule type="expression" dxfId="40" priority="1883">
      <formula>$AI454="OK"</formula>
    </cfRule>
    <cfRule type="cellIs" dxfId="39" priority="1884" operator="greaterThanOrEqual">
      <formula>1</formula>
    </cfRule>
  </conditionalFormatting>
  <conditionalFormatting sqref="AC1047:AC1048">
    <cfRule type="cellIs" dxfId="38" priority="705" operator="greaterThanOrEqual">
      <formula>1</formula>
    </cfRule>
  </conditionalFormatting>
  <conditionalFormatting sqref="AC892:AG898">
    <cfRule type="cellIs" dxfId="37" priority="546" operator="greaterThanOrEqual">
      <formula>1</formula>
    </cfRule>
  </conditionalFormatting>
  <conditionalFormatting sqref="AC928:AG1022">
    <cfRule type="cellIs" dxfId="36" priority="380" operator="greaterThanOrEqual">
      <formula>1</formula>
    </cfRule>
  </conditionalFormatting>
  <conditionalFormatting sqref="AC953:AG987">
    <cfRule type="expression" dxfId="35" priority="450">
      <formula>$AI954="OK"</formula>
    </cfRule>
  </conditionalFormatting>
  <conditionalFormatting sqref="AC987:AG988">
    <cfRule type="expression" dxfId="34" priority="451">
      <formula>$AI987="OK"</formula>
    </cfRule>
  </conditionalFormatting>
  <conditionalFormatting sqref="AC989:AG1022">
    <cfRule type="expression" dxfId="33" priority="381">
      <formula>$AI990="OK"</formula>
    </cfRule>
  </conditionalFormatting>
  <conditionalFormatting sqref="AC996:AG996">
    <cfRule type="expression" dxfId="32" priority="434">
      <formula>$AI998="OK"</formula>
    </cfRule>
  </conditionalFormatting>
  <conditionalFormatting sqref="AC997:AG997">
    <cfRule type="expression" dxfId="31" priority="432">
      <formula>$AI997="OK"</formula>
    </cfRule>
  </conditionalFormatting>
  <conditionalFormatting sqref="AC1099:AG1128">
    <cfRule type="cellIs" dxfId="30" priority="366" operator="greaterThanOrEqual">
      <formula>1</formula>
    </cfRule>
    <cfRule type="expression" dxfId="29" priority="367">
      <formula>$AI1100="OK"</formula>
    </cfRule>
  </conditionalFormatting>
  <conditionalFormatting sqref="AD1047:AD1048">
    <cfRule type="cellIs" dxfId="28" priority="703" operator="greaterThanOrEqual">
      <formula>1</formula>
    </cfRule>
  </conditionalFormatting>
  <conditionalFormatting sqref="AD608:AH609 AA610:AH611 AD612:AH616 AD619:AH622">
    <cfRule type="cellIs" dxfId="27" priority="1933" operator="greaterThanOrEqual">
      <formula>1</formula>
    </cfRule>
    <cfRule type="expression" dxfId="26" priority="1934">
      <formula>$AI608="OK"</formula>
    </cfRule>
  </conditionalFormatting>
  <conditionalFormatting sqref="AE454:AE458">
    <cfRule type="expression" dxfId="25" priority="1882">
      <formula>$AI454="OK"</formula>
    </cfRule>
  </conditionalFormatting>
  <conditionalFormatting sqref="AE1047:AE1048">
    <cfRule type="cellIs" dxfId="24" priority="701" operator="greaterThanOrEqual">
      <formula>1</formula>
    </cfRule>
  </conditionalFormatting>
  <conditionalFormatting sqref="AF454:AF458">
    <cfRule type="expression" dxfId="23" priority="1881">
      <formula>$AI454="OK"</formula>
    </cfRule>
  </conditionalFormatting>
  <conditionalFormatting sqref="AF1047:AF1048">
    <cfRule type="cellIs" dxfId="22" priority="699" operator="greaterThanOrEqual">
      <formula>1</formula>
    </cfRule>
  </conditionalFormatting>
  <conditionalFormatting sqref="AF450:AH451">
    <cfRule type="expression" dxfId="21" priority="1832">
      <formula>$AI450="OK"</formula>
    </cfRule>
  </conditionalFormatting>
  <conditionalFormatting sqref="AG454:AG458">
    <cfRule type="expression" dxfId="20" priority="1880">
      <formula>$AI454="OK"</formula>
    </cfRule>
  </conditionalFormatting>
  <conditionalFormatting sqref="AH452:AH458">
    <cfRule type="expression" dxfId="19" priority="364">
      <formula>$AI452="OK"</formula>
    </cfRule>
    <cfRule type="cellIs" dxfId="18" priority="365" operator="greaterThanOrEqual">
      <formula>1</formula>
    </cfRule>
  </conditionalFormatting>
  <conditionalFormatting sqref="AI486:AI761 N556:N603 AI798:AI804 AI817">
    <cfRule type="expression" dxfId="17" priority="1950">
      <formula>$AI486="OK"</formula>
    </cfRule>
  </conditionalFormatting>
  <conditionalFormatting sqref="AJ1147">
    <cfRule type="cellIs" dxfId="16" priority="641" operator="greaterThanOrEqual">
      <formula>1</formula>
    </cfRule>
  </conditionalFormatting>
  <conditionalFormatting sqref="AJ153:AW153">
    <cfRule type="expression" dxfId="15" priority="2021">
      <formula>$AI153="OK"</formula>
    </cfRule>
  </conditionalFormatting>
  <conditionalFormatting sqref="AC776">
    <cfRule type="cellIs" dxfId="14" priority="13" operator="greaterThanOrEqual">
      <formula>1</formula>
    </cfRule>
  </conditionalFormatting>
  <conditionalFormatting sqref="AD776:AG776">
    <cfRule type="cellIs" dxfId="13" priority="14" operator="greaterThanOrEqual">
      <formula>1</formula>
    </cfRule>
    <cfRule type="expression" dxfId="12" priority="15">
      <formula>$AI776="OK"</formula>
    </cfRule>
  </conditionalFormatting>
  <conditionalFormatting sqref="AC805">
    <cfRule type="cellIs" dxfId="11" priority="10" operator="greaterThanOrEqual">
      <formula>1</formula>
    </cfRule>
  </conditionalFormatting>
  <conditionalFormatting sqref="AD805:AG805">
    <cfRule type="cellIs" dxfId="10" priority="11" operator="greaterThanOrEqual">
      <formula>1</formula>
    </cfRule>
    <cfRule type="expression" dxfId="9" priority="12">
      <formula>$AI805="OK"</formula>
    </cfRule>
  </conditionalFormatting>
  <conditionalFormatting sqref="AD1000:AG1000">
    <cfRule type="cellIs" dxfId="8" priority="9" operator="greaterThanOrEqual">
      <formula>1</formula>
    </cfRule>
  </conditionalFormatting>
  <conditionalFormatting sqref="AD1002:AG1002">
    <cfRule type="cellIs" dxfId="7" priority="8" operator="greaterThanOrEqual">
      <formula>1</formula>
    </cfRule>
  </conditionalFormatting>
  <conditionalFormatting sqref="AD1003:AG1003">
    <cfRule type="cellIs" dxfId="6" priority="7" operator="greaterThanOrEqual">
      <formula>1</formula>
    </cfRule>
  </conditionalFormatting>
  <conditionalFormatting sqref="AD1004:AG1004">
    <cfRule type="cellIs" dxfId="5" priority="6" operator="greaterThanOrEqual">
      <formula>1</formula>
    </cfRule>
  </conditionalFormatting>
  <conditionalFormatting sqref="AD1005:AG1005">
    <cfRule type="cellIs" dxfId="4" priority="5" operator="greaterThanOrEqual">
      <formula>1</formula>
    </cfRule>
  </conditionalFormatting>
  <conditionalFormatting sqref="AD1006:AG1006">
    <cfRule type="cellIs" dxfId="3" priority="4" operator="greaterThanOrEqual">
      <formula>1</formula>
    </cfRule>
  </conditionalFormatting>
  <conditionalFormatting sqref="AD1013:AG1013">
    <cfRule type="cellIs" dxfId="2" priority="3" operator="greaterThanOrEqual">
      <formula>1</formula>
    </cfRule>
  </conditionalFormatting>
  <conditionalFormatting sqref="AD1014:AG1014">
    <cfRule type="cellIs" dxfId="1" priority="2" operator="greaterThanOrEqual">
      <formula>1</formula>
    </cfRule>
  </conditionalFormatting>
  <conditionalFormatting sqref="AD1015:AG1015">
    <cfRule type="cellIs" dxfId="0" priority="1" operator="greaterThanOrEqual">
      <formula>1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33"/>
  <sheetViews>
    <sheetView topLeftCell="C23" workbookViewId="0">
      <selection activeCell="B29" sqref="B29:F29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2">
        <v>188</v>
      </c>
      <c r="B2" s="217" t="s">
        <v>2071</v>
      </c>
      <c r="C2" s="233">
        <v>46188</v>
      </c>
      <c r="D2" s="233">
        <v>46261</v>
      </c>
      <c r="E2" s="234" t="s">
        <v>496</v>
      </c>
      <c r="F2" s="217" t="s">
        <v>2070</v>
      </c>
    </row>
    <row r="3" spans="1:6" x14ac:dyDescent="0.25">
      <c r="A3" s="232">
        <v>190</v>
      </c>
      <c r="B3" s="217" t="s">
        <v>2986</v>
      </c>
      <c r="C3" s="233">
        <v>46205</v>
      </c>
      <c r="D3" s="233"/>
      <c r="E3" s="234" t="s">
        <v>496</v>
      </c>
      <c r="F3" s="217" t="s">
        <v>2987</v>
      </c>
    </row>
    <row r="4" spans="1:6" x14ac:dyDescent="0.25">
      <c r="A4" s="231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3">
        <v>200</v>
      </c>
      <c r="B5" s="214" t="s">
        <v>2994</v>
      </c>
      <c r="C5" s="215">
        <v>46219</v>
      </c>
      <c r="D5" s="215"/>
      <c r="E5" s="216" t="s">
        <v>496</v>
      </c>
      <c r="F5" s="217" t="s">
        <v>2993</v>
      </c>
    </row>
    <row r="6" spans="1:6" ht="30" x14ac:dyDescent="0.25">
      <c r="A6" s="213">
        <v>201</v>
      </c>
      <c r="B6" s="214" t="s">
        <v>2992</v>
      </c>
      <c r="C6" s="215">
        <v>46198</v>
      </c>
      <c r="D6" s="215"/>
      <c r="E6" s="216" t="s">
        <v>496</v>
      </c>
      <c r="F6" s="217" t="s">
        <v>2991</v>
      </c>
    </row>
    <row r="7" spans="1:6" ht="75" x14ac:dyDescent="0.25">
      <c r="A7" s="213">
        <v>202</v>
      </c>
      <c r="B7" s="214" t="s">
        <v>3007</v>
      </c>
      <c r="C7" s="218">
        <v>46198</v>
      </c>
      <c r="D7" s="215"/>
      <c r="E7" s="216" t="s">
        <v>496</v>
      </c>
      <c r="F7" s="217" t="s">
        <v>3006</v>
      </c>
    </row>
    <row r="8" spans="1:6" x14ac:dyDescent="0.25">
      <c r="A8" s="213">
        <v>203</v>
      </c>
      <c r="B8" s="219" t="s">
        <v>4976</v>
      </c>
      <c r="C8" s="215">
        <v>46202</v>
      </c>
      <c r="D8" s="215">
        <v>46231</v>
      </c>
      <c r="E8" s="216" t="s">
        <v>496</v>
      </c>
      <c r="F8" s="217" t="s">
        <v>3009</v>
      </c>
    </row>
    <row r="9" spans="1:6" x14ac:dyDescent="0.25">
      <c r="A9" s="213">
        <v>204</v>
      </c>
      <c r="B9" s="219" t="s">
        <v>3164</v>
      </c>
      <c r="C9" s="215">
        <v>46226</v>
      </c>
      <c r="D9" s="215"/>
      <c r="E9" s="216" t="s">
        <v>4860</v>
      </c>
      <c r="F9" s="217" t="s">
        <v>3009</v>
      </c>
    </row>
    <row r="10" spans="1:6" x14ac:dyDescent="0.25">
      <c r="A10" s="213">
        <v>205</v>
      </c>
      <c r="B10" s="219" t="s">
        <v>3166</v>
      </c>
      <c r="C10" s="215">
        <v>46235</v>
      </c>
      <c r="D10" s="215"/>
      <c r="E10" s="220" t="s">
        <v>4861</v>
      </c>
      <c r="F10" s="217" t="s">
        <v>3165</v>
      </c>
    </row>
    <row r="11" spans="1:6" ht="30" x14ac:dyDescent="0.25">
      <c r="A11" s="184">
        <v>207</v>
      </c>
      <c r="B11" s="205" t="s">
        <v>3293</v>
      </c>
      <c r="C11" s="185">
        <v>46336</v>
      </c>
      <c r="D11" s="185"/>
      <c r="E11" s="186" t="s">
        <v>5482</v>
      </c>
      <c r="F11" s="107" t="s">
        <v>3292</v>
      </c>
    </row>
    <row r="12" spans="1:6" ht="30" x14ac:dyDescent="0.25">
      <c r="A12" s="241">
        <v>208</v>
      </c>
      <c r="B12" s="214" t="s">
        <v>4308</v>
      </c>
      <c r="C12" s="215">
        <v>46233</v>
      </c>
      <c r="D12" s="215">
        <v>46265</v>
      </c>
      <c r="E12" s="220" t="s">
        <v>496</v>
      </c>
      <c r="F12" s="219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5665</v>
      </c>
      <c r="F13" s="188" t="s">
        <v>4323</v>
      </c>
    </row>
    <row r="14" spans="1:6" ht="121.15" customHeight="1" x14ac:dyDescent="0.25">
      <c r="A14" s="213">
        <v>898</v>
      </c>
      <c r="B14" s="214" t="s">
        <v>4443</v>
      </c>
      <c r="C14" s="215">
        <v>46270</v>
      </c>
      <c r="D14" s="215"/>
      <c r="E14" s="220" t="s">
        <v>496</v>
      </c>
      <c r="F14" s="219" t="s">
        <v>4442</v>
      </c>
    </row>
    <row r="15" spans="1:6" x14ac:dyDescent="0.25">
      <c r="A15" s="213">
        <v>897</v>
      </c>
      <c r="B15" s="219" t="s">
        <v>4551</v>
      </c>
      <c r="C15" s="215">
        <v>46216</v>
      </c>
      <c r="D15" s="215"/>
      <c r="E15" s="220" t="s">
        <v>496</v>
      </c>
      <c r="F15" s="219" t="s">
        <v>4550</v>
      </c>
    </row>
    <row r="16" spans="1:6" x14ac:dyDescent="0.25">
      <c r="A16" s="211">
        <v>210</v>
      </c>
      <c r="B16" s="191" t="s">
        <v>4855</v>
      </c>
      <c r="C16" s="189">
        <v>46308</v>
      </c>
      <c r="D16" s="189"/>
      <c r="E16" s="190" t="s">
        <v>3167</v>
      </c>
      <c r="F16" s="188" t="s">
        <v>2991</v>
      </c>
    </row>
    <row r="17" spans="1:6" ht="30" x14ac:dyDescent="0.25">
      <c r="A17" s="211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2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5">
        <v>133</v>
      </c>
      <c r="B19" s="219" t="s">
        <v>4971</v>
      </c>
      <c r="C19" s="215">
        <v>46249</v>
      </c>
      <c r="D19" s="215"/>
      <c r="E19" s="220" t="s">
        <v>5487</v>
      </c>
      <c r="F19" s="219" t="s">
        <v>4970</v>
      </c>
    </row>
    <row r="20" spans="1:6" x14ac:dyDescent="0.25">
      <c r="A20" s="235">
        <v>899</v>
      </c>
      <c r="B20" s="219" t="s">
        <v>4971</v>
      </c>
      <c r="C20" s="215">
        <v>46270</v>
      </c>
      <c r="D20" s="215"/>
      <c r="E20" s="220" t="s">
        <v>5487</v>
      </c>
      <c r="F20" s="219" t="s">
        <v>4442</v>
      </c>
    </row>
    <row r="21" spans="1:6" ht="45" x14ac:dyDescent="0.25">
      <c r="A21" s="223">
        <v>214</v>
      </c>
      <c r="B21" s="191" t="s">
        <v>5031</v>
      </c>
      <c r="C21" s="189">
        <v>46268</v>
      </c>
      <c r="D21" s="189"/>
      <c r="E21" s="190" t="s">
        <v>4861</v>
      </c>
      <c r="F21" s="188" t="s">
        <v>5032</v>
      </c>
    </row>
    <row r="22" spans="1:6" x14ac:dyDescent="0.25">
      <c r="A22" s="235">
        <v>900</v>
      </c>
      <c r="B22" s="219" t="s">
        <v>5486</v>
      </c>
      <c r="C22" s="215">
        <v>46277</v>
      </c>
      <c r="D22" s="215"/>
      <c r="E22" s="220" t="s">
        <v>5487</v>
      </c>
      <c r="F22" s="219" t="s">
        <v>4442</v>
      </c>
    </row>
    <row r="23" spans="1:6" ht="240" x14ac:dyDescent="0.25">
      <c r="A23" s="224">
        <v>206</v>
      </c>
      <c r="B23" s="191" t="s">
        <v>5275</v>
      </c>
      <c r="C23" s="189"/>
      <c r="D23" s="189"/>
      <c r="E23" s="225" t="s">
        <v>4968</v>
      </c>
      <c r="F23" s="226" t="s">
        <v>5276</v>
      </c>
    </row>
    <row r="24" spans="1:6" x14ac:dyDescent="0.25">
      <c r="A24" s="231">
        <v>216</v>
      </c>
      <c r="B24" s="107" t="s">
        <v>5484</v>
      </c>
      <c r="C24" s="185">
        <v>46288</v>
      </c>
      <c r="D24" s="185"/>
      <c r="E24" s="186" t="s">
        <v>5663</v>
      </c>
      <c r="F24" s="188" t="s">
        <v>5410</v>
      </c>
    </row>
    <row r="25" spans="1:6" x14ac:dyDescent="0.25">
      <c r="A25" s="230">
        <v>217</v>
      </c>
      <c r="B25" s="188" t="s">
        <v>5485</v>
      </c>
      <c r="C25" s="189">
        <v>46295</v>
      </c>
      <c r="D25" s="189"/>
      <c r="E25" s="186" t="s">
        <v>5664</v>
      </c>
      <c r="F25" s="188" t="s">
        <v>5410</v>
      </c>
    </row>
    <row r="26" spans="1:6" x14ac:dyDescent="0.25">
      <c r="A26" s="230">
        <v>215</v>
      </c>
      <c r="B26" s="188" t="s">
        <v>5554</v>
      </c>
      <c r="C26" s="189">
        <v>46295</v>
      </c>
      <c r="D26" s="189"/>
      <c r="E26" s="190" t="s">
        <v>5666</v>
      </c>
      <c r="F26" s="188" t="s">
        <v>5555</v>
      </c>
    </row>
    <row r="27" spans="1:6" x14ac:dyDescent="0.25">
      <c r="A27" s="236">
        <v>218</v>
      </c>
      <c r="B27" s="188" t="s">
        <v>5624</v>
      </c>
      <c r="C27" s="189">
        <v>46290</v>
      </c>
      <c r="D27" s="189"/>
      <c r="E27" s="190" t="s">
        <v>5661</v>
      </c>
      <c r="F27" s="188" t="s">
        <v>4307</v>
      </c>
    </row>
    <row r="28" spans="1:6" x14ac:dyDescent="0.25">
      <c r="A28" s="236">
        <v>213</v>
      </c>
      <c r="B28" s="188" t="s">
        <v>5657</v>
      </c>
      <c r="C28" s="189">
        <v>46278</v>
      </c>
      <c r="D28" s="189"/>
      <c r="E28" s="190" t="s">
        <v>5662</v>
      </c>
      <c r="F28" s="188" t="s">
        <v>5660</v>
      </c>
    </row>
    <row r="29" spans="1:6" x14ac:dyDescent="0.25">
      <c r="A29" s="236">
        <v>219</v>
      </c>
      <c r="B29" s="188" t="s">
        <v>5695</v>
      </c>
      <c r="C29" s="189">
        <v>46348</v>
      </c>
      <c r="D29" s="189"/>
      <c r="E29" s="190" t="s">
        <v>5696</v>
      </c>
      <c r="F29" s="188" t="s">
        <v>4323</v>
      </c>
    </row>
    <row r="30" spans="1:6" x14ac:dyDescent="0.25">
      <c r="A30" s="236">
        <v>220</v>
      </c>
      <c r="B30" s="188" t="s">
        <v>5695</v>
      </c>
      <c r="C30" s="189">
        <v>46348</v>
      </c>
      <c r="D30" s="189"/>
      <c r="E30" s="190" t="s">
        <v>5696</v>
      </c>
      <c r="F30" s="188" t="s">
        <v>4323</v>
      </c>
    </row>
    <row r="31" spans="1:6" x14ac:dyDescent="0.25">
      <c r="A31" s="236">
        <v>221</v>
      </c>
      <c r="B31" s="188" t="s">
        <v>5695</v>
      </c>
      <c r="C31" s="189">
        <v>46348</v>
      </c>
      <c r="D31" s="189"/>
      <c r="E31" s="190" t="s">
        <v>5696</v>
      </c>
      <c r="F31" s="188" t="s">
        <v>4323</v>
      </c>
    </row>
    <row r="32" spans="1:6" x14ac:dyDescent="0.25">
      <c r="A32" s="236">
        <v>222</v>
      </c>
      <c r="B32" s="188" t="s">
        <v>5713</v>
      </c>
      <c r="C32" s="189">
        <v>46348</v>
      </c>
      <c r="D32" s="189"/>
      <c r="E32" s="190" t="s">
        <v>5696</v>
      </c>
      <c r="F32" s="188" t="s">
        <v>4323</v>
      </c>
    </row>
    <row r="33" spans="1:6" x14ac:dyDescent="0.25">
      <c r="A33" s="236">
        <v>223</v>
      </c>
      <c r="B33" s="188" t="s">
        <v>5713</v>
      </c>
      <c r="C33" s="189">
        <v>46348</v>
      </c>
      <c r="D33" s="189"/>
      <c r="E33" s="190" t="s">
        <v>5696</v>
      </c>
      <c r="F33" s="188" t="s">
        <v>4323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7" t="e" vm="1">
        <v>#VALUE!</v>
      </c>
      <c r="D2" s="298"/>
      <c r="E2" s="301" t="s">
        <v>320</v>
      </c>
      <c r="F2" s="301"/>
      <c r="G2" s="301"/>
      <c r="H2" s="301"/>
      <c r="I2" s="301"/>
      <c r="J2" s="301"/>
      <c r="K2" s="301"/>
      <c r="L2" s="301"/>
      <c r="M2" s="301"/>
      <c r="N2" s="301"/>
      <c r="O2" s="301"/>
      <c r="P2" s="301"/>
      <c r="Q2" s="301"/>
      <c r="R2" s="301"/>
      <c r="S2" s="301"/>
      <c r="T2" s="302"/>
      <c r="U2" s="305" t="s">
        <v>246</v>
      </c>
      <c r="V2" s="295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9"/>
      <c r="D3" s="300"/>
      <c r="E3" s="303"/>
      <c r="F3" s="303"/>
      <c r="G3" s="303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4"/>
      <c r="U3" s="306"/>
      <c r="V3" s="296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60" t="s">
        <v>2070</v>
      </c>
      <c r="D6" s="263" t="s">
        <v>2069</v>
      </c>
      <c r="E6" s="266" t="s">
        <v>2071</v>
      </c>
      <c r="F6" s="269">
        <v>46183</v>
      </c>
      <c r="G6" s="307">
        <v>46220</v>
      </c>
      <c r="H6" s="286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4">
        <f>T9/T6</f>
        <v>0.88949747289203585</v>
      </c>
      <c r="V6" s="25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61"/>
      <c r="D7" s="264"/>
      <c r="E7" s="267"/>
      <c r="F7" s="270"/>
      <c r="G7" s="308"/>
      <c r="H7" s="287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5"/>
      <c r="V7" s="25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61"/>
      <c r="D8" s="264"/>
      <c r="E8" s="267"/>
      <c r="F8" s="270"/>
      <c r="G8" s="308"/>
      <c r="H8" s="287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5"/>
      <c r="V8" s="25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61"/>
      <c r="D9" s="264"/>
      <c r="E9" s="267"/>
      <c r="F9" s="270"/>
      <c r="G9" s="308"/>
      <c r="H9" s="287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5"/>
      <c r="V9" s="25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62"/>
      <c r="D10" s="265"/>
      <c r="E10" s="268"/>
      <c r="F10" s="271"/>
      <c r="G10" s="309"/>
      <c r="H10" s="288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6"/>
      <c r="V10" s="25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60" t="s">
        <v>2987</v>
      </c>
      <c r="D12" s="263" t="s">
        <v>2551</v>
      </c>
      <c r="E12" s="266" t="s">
        <v>2986</v>
      </c>
      <c r="F12" s="269">
        <v>46205</v>
      </c>
      <c r="G12" s="307"/>
      <c r="H12" s="292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4">
        <f>T15/T12</f>
        <v>0.76586952907929418</v>
      </c>
      <c r="V12" s="25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61"/>
      <c r="D13" s="264"/>
      <c r="E13" s="267"/>
      <c r="F13" s="270"/>
      <c r="G13" s="308"/>
      <c r="H13" s="293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5"/>
      <c r="V13" s="25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61"/>
      <c r="D14" s="264"/>
      <c r="E14" s="267"/>
      <c r="F14" s="270"/>
      <c r="G14" s="308"/>
      <c r="H14" s="293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5"/>
      <c r="V14" s="25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61"/>
      <c r="D15" s="264"/>
      <c r="E15" s="267"/>
      <c r="F15" s="270"/>
      <c r="G15" s="308"/>
      <c r="H15" s="293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5"/>
      <c r="V15" s="25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62"/>
      <c r="D16" s="265"/>
      <c r="E16" s="268"/>
      <c r="F16" s="271"/>
      <c r="G16" s="309"/>
      <c r="H16" s="294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6"/>
      <c r="V16" s="25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60" t="s">
        <v>2983</v>
      </c>
      <c r="D18" s="263" t="s">
        <v>2984</v>
      </c>
      <c r="E18" s="266" t="s">
        <v>2985</v>
      </c>
      <c r="F18" s="269">
        <v>46289</v>
      </c>
      <c r="G18" s="307"/>
      <c r="H18" s="27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54">
        <f>T21/T18</f>
        <v>0.78706563360593562</v>
      </c>
      <c r="V18" s="25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61"/>
      <c r="D19" s="264"/>
      <c r="E19" s="267"/>
      <c r="F19" s="270"/>
      <c r="G19" s="308"/>
      <c r="H19" s="276"/>
      <c r="I19" s="129" t="s">
        <v>3028</v>
      </c>
      <c r="J19" s="130">
        <f t="shared" ref="J19" si="17">J18-J20</f>
        <v>7.8932999999999982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10.5792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33.263999999999996</v>
      </c>
      <c r="U19" s="255"/>
      <c r="V19" s="25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61"/>
      <c r="D20" s="264"/>
      <c r="E20" s="267"/>
      <c r="F20" s="270"/>
      <c r="G20" s="308"/>
      <c r="H20" s="276"/>
      <c r="I20" s="129" t="s">
        <v>3030</v>
      </c>
      <c r="J20" s="131">
        <f>SUMIF(PERFORMANCE!$N:$N,W18,PERFORMANCE!$Q:$Q)/1000</f>
        <v>0.21580000000000005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0.21580000000000005</v>
      </c>
      <c r="U20" s="255"/>
      <c r="V20" s="25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61"/>
      <c r="D21" s="264"/>
      <c r="E21" s="267"/>
      <c r="F21" s="270"/>
      <c r="G21" s="308"/>
      <c r="H21" s="276"/>
      <c r="I21" s="132" t="s">
        <v>315</v>
      </c>
      <c r="J21" s="131">
        <f>SUMIF(PERFORMANCE!$N:$N,MACRO!W18,PERFORMANCE!$R:$R)/1000</f>
        <v>6.4901999999999997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10.5792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26.3508</v>
      </c>
      <c r="U21" s="255"/>
      <c r="V21" s="25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62"/>
      <c r="D22" s="265"/>
      <c r="E22" s="268"/>
      <c r="F22" s="271"/>
      <c r="G22" s="309"/>
      <c r="H22" s="277"/>
      <c r="I22" s="133" t="s">
        <v>3029</v>
      </c>
      <c r="J22" s="134">
        <f t="shared" ref="J22:R22" si="28">J18-J21</f>
        <v>1.6188999999999982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7.1289999999999978</v>
      </c>
      <c r="U22" s="256"/>
      <c r="V22" s="25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60" t="s">
        <v>3292</v>
      </c>
      <c r="D24" s="263" t="s">
        <v>3291</v>
      </c>
      <c r="E24" s="266" t="s">
        <v>3293</v>
      </c>
      <c r="F24" s="269">
        <v>46336</v>
      </c>
      <c r="G24" s="272"/>
      <c r="H24" s="27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4">
        <v>0</v>
      </c>
      <c r="V24" s="25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61"/>
      <c r="D25" s="264"/>
      <c r="E25" s="267"/>
      <c r="F25" s="270"/>
      <c r="G25" s="273"/>
      <c r="H25" s="27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5"/>
      <c r="V25" s="25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61"/>
      <c r="D26" s="264"/>
      <c r="E26" s="267"/>
      <c r="F26" s="270"/>
      <c r="G26" s="273"/>
      <c r="H26" s="27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5"/>
      <c r="V26" s="25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61"/>
      <c r="D27" s="264"/>
      <c r="E27" s="267"/>
      <c r="F27" s="270"/>
      <c r="G27" s="273"/>
      <c r="H27" s="27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5"/>
      <c r="V27" s="25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62"/>
      <c r="D28" s="265"/>
      <c r="E28" s="268"/>
      <c r="F28" s="271"/>
      <c r="G28" s="274"/>
      <c r="H28" s="27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6"/>
      <c r="V28" s="25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60" t="s">
        <v>2993</v>
      </c>
      <c r="D30" s="263" t="s">
        <v>2989</v>
      </c>
      <c r="E30" s="266" t="s">
        <v>2994</v>
      </c>
      <c r="F30" s="269">
        <v>46219</v>
      </c>
      <c r="G30" s="272"/>
      <c r="H30" s="286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4">
        <v>0</v>
      </c>
      <c r="V30" s="25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61"/>
      <c r="D31" s="264"/>
      <c r="E31" s="267"/>
      <c r="F31" s="270"/>
      <c r="G31" s="273"/>
      <c r="H31" s="287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5"/>
      <c r="V31" s="25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61"/>
      <c r="D32" s="264"/>
      <c r="E32" s="267"/>
      <c r="F32" s="270"/>
      <c r="G32" s="273"/>
      <c r="H32" s="287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5"/>
      <c r="V32" s="25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61"/>
      <c r="D33" s="264"/>
      <c r="E33" s="267"/>
      <c r="F33" s="270"/>
      <c r="G33" s="273"/>
      <c r="H33" s="287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5"/>
      <c r="V33" s="25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62"/>
      <c r="D34" s="265"/>
      <c r="E34" s="268"/>
      <c r="F34" s="271"/>
      <c r="G34" s="274"/>
      <c r="H34" s="288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6"/>
      <c r="V34" s="25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60" t="s">
        <v>2995</v>
      </c>
      <c r="D36" s="263" t="s">
        <v>2990</v>
      </c>
      <c r="E36" s="266" t="s">
        <v>2992</v>
      </c>
      <c r="F36" s="269">
        <v>46198</v>
      </c>
      <c r="G36" s="289"/>
      <c r="H36" s="292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4">
        <v>0</v>
      </c>
      <c r="V36" s="25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61"/>
      <c r="D37" s="264"/>
      <c r="E37" s="267"/>
      <c r="F37" s="270"/>
      <c r="G37" s="290"/>
      <c r="H37" s="293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5"/>
      <c r="V37" s="25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61"/>
      <c r="D38" s="264"/>
      <c r="E38" s="267"/>
      <c r="F38" s="270"/>
      <c r="G38" s="290"/>
      <c r="H38" s="293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5"/>
      <c r="V38" s="25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61"/>
      <c r="D39" s="264"/>
      <c r="E39" s="267"/>
      <c r="F39" s="270"/>
      <c r="G39" s="290"/>
      <c r="H39" s="293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5"/>
      <c r="V39" s="25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62"/>
      <c r="D40" s="265"/>
      <c r="E40" s="268"/>
      <c r="F40" s="271"/>
      <c r="G40" s="291"/>
      <c r="H40" s="294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6"/>
      <c r="V40" s="25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60" t="s">
        <v>3006</v>
      </c>
      <c r="D42" s="263" t="s">
        <v>3004</v>
      </c>
      <c r="E42" s="266" t="s">
        <v>3007</v>
      </c>
      <c r="F42" s="269">
        <v>46188</v>
      </c>
      <c r="G42" s="289">
        <v>46220</v>
      </c>
      <c r="H42" s="286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4">
        <v>0</v>
      </c>
      <c r="V42" s="25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61"/>
      <c r="D43" s="264"/>
      <c r="E43" s="267"/>
      <c r="F43" s="270"/>
      <c r="G43" s="290"/>
      <c r="H43" s="287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5"/>
      <c r="V43" s="25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61"/>
      <c r="D44" s="264"/>
      <c r="E44" s="267"/>
      <c r="F44" s="270"/>
      <c r="G44" s="290"/>
      <c r="H44" s="287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5"/>
      <c r="V44" s="25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61"/>
      <c r="D45" s="264"/>
      <c r="E45" s="267"/>
      <c r="F45" s="270"/>
      <c r="G45" s="290"/>
      <c r="H45" s="287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5"/>
      <c r="V45" s="25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62"/>
      <c r="D46" s="265"/>
      <c r="E46" s="268"/>
      <c r="F46" s="271"/>
      <c r="G46" s="291"/>
      <c r="H46" s="288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6"/>
      <c r="V46" s="25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60" t="s">
        <v>3009</v>
      </c>
      <c r="D48" s="263" t="s">
        <v>3005</v>
      </c>
      <c r="E48" s="266" t="s">
        <v>3008</v>
      </c>
      <c r="F48" s="269">
        <v>46202</v>
      </c>
      <c r="G48" s="289">
        <v>46233</v>
      </c>
      <c r="H48" s="286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4">
        <v>0</v>
      </c>
      <c r="V48" s="25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61"/>
      <c r="D49" s="264"/>
      <c r="E49" s="267"/>
      <c r="F49" s="270"/>
      <c r="G49" s="290"/>
      <c r="H49" s="287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55"/>
      <c r="V49" s="25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61"/>
      <c r="D50" s="264"/>
      <c r="E50" s="267"/>
      <c r="F50" s="270"/>
      <c r="G50" s="290"/>
      <c r="H50" s="287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55"/>
      <c r="V50" s="25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61"/>
      <c r="D51" s="264"/>
      <c r="E51" s="267"/>
      <c r="F51" s="270"/>
      <c r="G51" s="290"/>
      <c r="H51" s="287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55"/>
      <c r="V51" s="25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62"/>
      <c r="D52" s="265"/>
      <c r="E52" s="268"/>
      <c r="F52" s="271"/>
      <c r="G52" s="291"/>
      <c r="H52" s="288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56"/>
      <c r="V52" s="25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60" t="s">
        <v>3009</v>
      </c>
      <c r="D54" s="263" t="s">
        <v>3111</v>
      </c>
      <c r="E54" s="266" t="s">
        <v>3164</v>
      </c>
      <c r="F54" s="269">
        <v>46226</v>
      </c>
      <c r="G54" s="272"/>
      <c r="H54" s="286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4">
        <v>0</v>
      </c>
      <c r="V54" s="25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61"/>
      <c r="D55" s="264"/>
      <c r="E55" s="267"/>
      <c r="F55" s="270"/>
      <c r="G55" s="273"/>
      <c r="H55" s="287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55"/>
      <c r="V55" s="25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61"/>
      <c r="D56" s="264"/>
      <c r="E56" s="267"/>
      <c r="F56" s="270"/>
      <c r="G56" s="273"/>
      <c r="H56" s="287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55"/>
      <c r="V56" s="25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61"/>
      <c r="D57" s="264"/>
      <c r="E57" s="267"/>
      <c r="F57" s="270"/>
      <c r="G57" s="273"/>
      <c r="H57" s="287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55"/>
      <c r="V57" s="25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62"/>
      <c r="D58" s="265"/>
      <c r="E58" s="268"/>
      <c r="F58" s="271"/>
      <c r="G58" s="274"/>
      <c r="H58" s="288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56"/>
      <c r="V58" s="25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60" t="s">
        <v>3165</v>
      </c>
      <c r="D60" s="263" t="s">
        <v>3163</v>
      </c>
      <c r="E60" s="266" t="s">
        <v>3166</v>
      </c>
      <c r="F60" s="269">
        <v>46235</v>
      </c>
      <c r="G60" s="272"/>
      <c r="H60" s="27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4">
        <v>0</v>
      </c>
      <c r="V60" s="25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61"/>
      <c r="D61" s="264"/>
      <c r="E61" s="267"/>
      <c r="F61" s="270"/>
      <c r="G61" s="273"/>
      <c r="H61" s="27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9.7199999999999995E-2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9.7199999999999995E-2</v>
      </c>
      <c r="U61" s="255"/>
      <c r="V61" s="25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61"/>
      <c r="D62" s="264"/>
      <c r="E62" s="267"/>
      <c r="F62" s="270"/>
      <c r="G62" s="273"/>
      <c r="H62" s="27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0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0</v>
      </c>
      <c r="U62" s="255"/>
      <c r="V62" s="25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61"/>
      <c r="D63" s="264"/>
      <c r="E63" s="267"/>
      <c r="F63" s="270"/>
      <c r="G63" s="273"/>
      <c r="H63" s="27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9.7199999999999995E-2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9.7199999999999995E-2</v>
      </c>
      <c r="U63" s="255"/>
      <c r="V63" s="25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62"/>
      <c r="D64" s="265"/>
      <c r="E64" s="268"/>
      <c r="F64" s="271"/>
      <c r="G64" s="274"/>
      <c r="H64" s="27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0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0</v>
      </c>
      <c r="U64" s="256"/>
      <c r="V64" s="25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60" t="s">
        <v>4307</v>
      </c>
      <c r="D66" s="263" t="s">
        <v>4299</v>
      </c>
      <c r="E66" s="266" t="s">
        <v>4308</v>
      </c>
      <c r="F66" s="269">
        <v>46233</v>
      </c>
      <c r="G66" s="272"/>
      <c r="H66" s="27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4">
        <v>0</v>
      </c>
      <c r="V66" s="25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61"/>
      <c r="D67" s="264"/>
      <c r="E67" s="267"/>
      <c r="F67" s="270"/>
      <c r="G67" s="273"/>
      <c r="H67" s="27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0.13500000000000001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0.13500000000000001</v>
      </c>
      <c r="U67" s="255"/>
      <c r="V67" s="25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61"/>
      <c r="D68" s="264"/>
      <c r="E68" s="267"/>
      <c r="F68" s="270"/>
      <c r="G68" s="273"/>
      <c r="H68" s="27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0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0</v>
      </c>
      <c r="U68" s="255"/>
      <c r="V68" s="25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61"/>
      <c r="D69" s="264"/>
      <c r="E69" s="267"/>
      <c r="F69" s="270"/>
      <c r="G69" s="273"/>
      <c r="H69" s="27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0.13500000000000001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0.13500000000000001</v>
      </c>
      <c r="U69" s="255"/>
      <c r="V69" s="25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62"/>
      <c r="D70" s="265"/>
      <c r="E70" s="268"/>
      <c r="F70" s="271"/>
      <c r="G70" s="274"/>
      <c r="H70" s="27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</v>
      </c>
      <c r="U70" s="256"/>
      <c r="V70" s="25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60" t="s">
        <v>3165</v>
      </c>
      <c r="D72" s="263" t="s">
        <v>4306</v>
      </c>
      <c r="E72" s="266" t="s">
        <v>4309</v>
      </c>
      <c r="F72" s="269">
        <v>46280</v>
      </c>
      <c r="G72" s="272"/>
      <c r="H72" s="27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4">
        <v>0</v>
      </c>
      <c r="V72" s="25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61"/>
      <c r="D73" s="264"/>
      <c r="E73" s="267"/>
      <c r="F73" s="270"/>
      <c r="G73" s="273"/>
      <c r="H73" s="27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5"/>
      <c r="V73" s="25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61"/>
      <c r="D74" s="264"/>
      <c r="E74" s="267"/>
      <c r="F74" s="270"/>
      <c r="G74" s="273"/>
      <c r="H74" s="27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5"/>
      <c r="V74" s="25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61"/>
      <c r="D75" s="264"/>
      <c r="E75" s="267"/>
      <c r="F75" s="270"/>
      <c r="G75" s="273"/>
      <c r="H75" s="27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5"/>
      <c r="V75" s="25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62"/>
      <c r="D76" s="265"/>
      <c r="E76" s="268"/>
      <c r="F76" s="271"/>
      <c r="G76" s="274"/>
      <c r="H76" s="27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6"/>
      <c r="V76" s="25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8" t="s">
        <v>326</v>
      </c>
      <c r="E79" s="280" t="s">
        <v>891</v>
      </c>
      <c r="F79" s="281"/>
      <c r="G79" s="281"/>
      <c r="H79" s="281"/>
      <c r="I79" s="281"/>
      <c r="J79" s="282"/>
      <c r="K79" s="283" t="s">
        <v>331</v>
      </c>
      <c r="L79" s="284"/>
      <c r="M79" s="284"/>
      <c r="N79" s="285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9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8.8692999999999955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10.814400000000001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35.762699999999995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16.315800000000003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2.0099999999999998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61.835799999999999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20.366199999999999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12.686400000000001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4.4188999999999981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15.528999999999996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481"/>
  <sheetViews>
    <sheetView topLeftCell="D1" zoomScaleNormal="100" workbookViewId="0">
      <pane ySplit="1" topLeftCell="A2" activePane="bottomLeft" state="frozen"/>
      <selection pane="bottomLeft" activeCell="D5279" sqref="D527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2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4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2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2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2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2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2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2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2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2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2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2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2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2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2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2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2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2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2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2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2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2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2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2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2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2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7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7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7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7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7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7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7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7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7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7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7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7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7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7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7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7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7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7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7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7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7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7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7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7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7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7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7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7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7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7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7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7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7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7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7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7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7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7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7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7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7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7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7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7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7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7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7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7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7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7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7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7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7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7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7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7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7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7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7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7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7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7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7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7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7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7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7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7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7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7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7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7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7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7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7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7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7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7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7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7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7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7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7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7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7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7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7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7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7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7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7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7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7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7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7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7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7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7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7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7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7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7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7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7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7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7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7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7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7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7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7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7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7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7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7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7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7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7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7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7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7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7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7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7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7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7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7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7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7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7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7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7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7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7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7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7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7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7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7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7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7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7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7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7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1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1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1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1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1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1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2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1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2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1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2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1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1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1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1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1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1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1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1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1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1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1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1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1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1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1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1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1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1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1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1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1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1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1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1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1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1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1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1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1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1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1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1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1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1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1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1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1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1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1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1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1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1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1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1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1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1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1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1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1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1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1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1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1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1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1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1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1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1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1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1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1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1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1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1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1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1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1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1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1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1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1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1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1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1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1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1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1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1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1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1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1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1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1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1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1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1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1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1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1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1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1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1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1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1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1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1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1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1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1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1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1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1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1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1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1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1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1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1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1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1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1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1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1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1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1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1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1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1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1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1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1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1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1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1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1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1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1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1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1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1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1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1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1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1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1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1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1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1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1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1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1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1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1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1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1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1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1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1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1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1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1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1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1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1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1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1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1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1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1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29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29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5387</v>
      </c>
      <c r="F5141" s="1" t="s">
        <v>5388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29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5387</v>
      </c>
      <c r="F5142" s="1" t="s">
        <v>5388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29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29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29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29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29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29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29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29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5387</v>
      </c>
      <c r="F5150" s="1" t="s">
        <v>5388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29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5387</v>
      </c>
      <c r="F5151" s="1" t="s">
        <v>5388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29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29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29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29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29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29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5389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29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29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5390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29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29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5391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29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5392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29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5393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29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5394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29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5395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29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5396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29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5397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29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5398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29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5399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29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5400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29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5401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29">
        <v>46254</v>
      </c>
      <c r="N5171" s="1" t="str">
        <f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>VLOOKUP(B5174,MICRO!E:L,8,0)</f>
        <v>P-188</v>
      </c>
    </row>
    <row r="5175" spans="1:14" ht="20.25" x14ac:dyDescent="0.25">
      <c r="A5175" s="1">
        <v>4</v>
      </c>
      <c r="B5175" s="159"/>
      <c r="C5175" s="1" t="s">
        <v>5418</v>
      </c>
      <c r="D5175" s="1"/>
      <c r="E5175" s="1"/>
      <c r="F5175" s="1" t="s">
        <v>5419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>VLOOKUP(B5175,MICRO!E:L,8,0)</f>
        <v>#N/A</v>
      </c>
    </row>
    <row r="5176" spans="1:14" ht="20.25" x14ac:dyDescent="0.25">
      <c r="A5176" s="1">
        <v>5</v>
      </c>
      <c r="B5176" s="159"/>
      <c r="C5176" s="1" t="s">
        <v>5418</v>
      </c>
      <c r="D5176" s="1"/>
      <c r="E5176" s="1"/>
      <c r="F5176" s="1" t="s">
        <v>5420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>VLOOKUP(B5176,MICRO!E:L,8,0)</f>
        <v>#N/A</v>
      </c>
    </row>
    <row r="5177" spans="1:14" ht="20.25" x14ac:dyDescent="0.25">
      <c r="A5177" s="1">
        <v>6</v>
      </c>
      <c r="B5177" s="159"/>
      <c r="C5177" s="1" t="s">
        <v>5418</v>
      </c>
      <c r="D5177" s="1"/>
      <c r="E5177" s="1"/>
      <c r="F5177" s="1" t="s">
        <v>5421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>VLOOKUP(B5177,MICRO!E:L,8,0)</f>
        <v>#N/A</v>
      </c>
    </row>
    <row r="5178" spans="1:14" ht="20.25" x14ac:dyDescent="0.25">
      <c r="A5178" s="1">
        <v>7</v>
      </c>
      <c r="B5178" s="159"/>
      <c r="C5178" s="1" t="s">
        <v>5422</v>
      </c>
      <c r="D5178" s="1"/>
      <c r="E5178" s="1"/>
      <c r="F5178" s="1" t="s">
        <v>5423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>VLOOKUP(B5178,MICRO!E:L,8,0)</f>
        <v>#N/A</v>
      </c>
    </row>
    <row r="5179" spans="1:14" ht="20.25" x14ac:dyDescent="0.25">
      <c r="A5179" s="1">
        <v>8</v>
      </c>
      <c r="B5179" s="159"/>
      <c r="C5179" s="1" t="s">
        <v>5422</v>
      </c>
      <c r="D5179" s="1"/>
      <c r="E5179" s="1"/>
      <c r="F5179" s="1" t="s">
        <v>5424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>VLOOKUP(B5179,MICRO!E:L,8,0)</f>
        <v>#N/A</v>
      </c>
    </row>
    <row r="5180" spans="1:14" ht="20.25" x14ac:dyDescent="0.25">
      <c r="A5180" s="1">
        <v>9</v>
      </c>
      <c r="B5180" s="159"/>
      <c r="C5180" s="1" t="s">
        <v>5422</v>
      </c>
      <c r="D5180" s="1"/>
      <c r="E5180" s="1"/>
      <c r="F5180" s="1" t="s">
        <v>5425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>VLOOKUP(B5180,MICRO!E:L,8,0)</f>
        <v>#N/A</v>
      </c>
    </row>
    <row r="5181" spans="1:14" ht="20.25" x14ac:dyDescent="0.25">
      <c r="A5181" s="1">
        <v>10</v>
      </c>
      <c r="B5181" s="159"/>
      <c r="C5181" s="1" t="s">
        <v>5426</v>
      </c>
      <c r="D5181" s="1"/>
      <c r="E5181" s="1"/>
      <c r="F5181" s="1" t="s">
        <v>5427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>VLOOKUP(B5181,MICRO!E:L,8,0)</f>
        <v>#N/A</v>
      </c>
    </row>
    <row r="5182" spans="1:14" ht="20.25" x14ac:dyDescent="0.25">
      <c r="A5182" s="1">
        <v>11</v>
      </c>
      <c r="B5182" s="159"/>
      <c r="C5182" s="1" t="s">
        <v>5426</v>
      </c>
      <c r="D5182" s="1"/>
      <c r="E5182" s="1"/>
      <c r="F5182" s="1" t="s">
        <v>5428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>VLOOKUP(B5182,MICRO!E:L,8,0)</f>
        <v>#N/A</v>
      </c>
    </row>
    <row r="5183" spans="1:14" ht="20.25" x14ac:dyDescent="0.25">
      <c r="A5183" s="1">
        <v>12</v>
      </c>
      <c r="B5183" s="159"/>
      <c r="C5183" s="1" t="s">
        <v>5426</v>
      </c>
      <c r="D5183" s="1"/>
      <c r="E5183" s="1"/>
      <c r="F5183" s="1" t="s">
        <v>5429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>VLOOKUP(B5183,MICRO!E:L,8,0)</f>
        <v>#N/A</v>
      </c>
    </row>
    <row r="5184" spans="1:14" ht="20.25" x14ac:dyDescent="0.25">
      <c r="A5184" s="1">
        <v>13</v>
      </c>
      <c r="B5184" s="159"/>
      <c r="C5184" s="1" t="s">
        <v>5430</v>
      </c>
      <c r="D5184" s="1"/>
      <c r="E5184" s="1"/>
      <c r="F5184" s="1" t="s">
        <v>5431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>VLOOKUP(B5184,MICRO!E:L,8,0)</f>
        <v>#N/A</v>
      </c>
    </row>
    <row r="5185" spans="1:14" ht="20.25" x14ac:dyDescent="0.25">
      <c r="A5185" s="1">
        <v>14</v>
      </c>
      <c r="B5185" s="159"/>
      <c r="C5185" s="1" t="s">
        <v>5430</v>
      </c>
      <c r="D5185" s="1"/>
      <c r="E5185" s="1"/>
      <c r="F5185" s="1" t="s">
        <v>5432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>VLOOKUP(B5185,MICRO!E:L,8,0)</f>
        <v>#N/A</v>
      </c>
    </row>
    <row r="5186" spans="1:14" ht="20.25" x14ac:dyDescent="0.25">
      <c r="A5186" s="1">
        <v>15</v>
      </c>
      <c r="B5186" s="159"/>
      <c r="C5186" s="1" t="s">
        <v>5433</v>
      </c>
      <c r="D5186" s="1"/>
      <c r="E5186" s="1"/>
      <c r="F5186" s="1" t="s">
        <v>5434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>VLOOKUP(B5186,MICRO!E:L,8,0)</f>
        <v>#N/A</v>
      </c>
    </row>
    <row r="5187" spans="1:14" ht="20.25" x14ac:dyDescent="0.25">
      <c r="A5187" s="1">
        <v>16</v>
      </c>
      <c r="B5187" s="159"/>
      <c r="C5187" s="1" t="s">
        <v>5433</v>
      </c>
      <c r="D5187" s="1"/>
      <c r="E5187" s="1"/>
      <c r="F5187" s="1" t="s">
        <v>5435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>VLOOKUP(B5187,MICRO!E:L,8,0)</f>
        <v>#N/A</v>
      </c>
    </row>
    <row r="5188" spans="1:14" ht="20.25" x14ac:dyDescent="0.25">
      <c r="A5188" s="1">
        <v>17</v>
      </c>
      <c r="B5188" s="159"/>
      <c r="C5188" s="1" t="s">
        <v>5433</v>
      </c>
      <c r="D5188" s="1"/>
      <c r="E5188" s="1"/>
      <c r="F5188" s="1" t="s">
        <v>5436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>VLOOKUP(B5188,MICRO!E:L,8,0)</f>
        <v>#N/A</v>
      </c>
    </row>
    <row r="5189" spans="1:14" ht="20.25" x14ac:dyDescent="0.25">
      <c r="A5189" s="1">
        <v>18</v>
      </c>
      <c r="B5189" s="159"/>
      <c r="C5189" s="1" t="s">
        <v>5433</v>
      </c>
      <c r="D5189" s="1"/>
      <c r="E5189" s="1"/>
      <c r="F5189" s="1" t="s">
        <v>5437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>VLOOKUP(B5189,MICRO!E:L,8,0)</f>
        <v>#N/A</v>
      </c>
    </row>
    <row r="5190" spans="1:14" ht="20.25" x14ac:dyDescent="0.25">
      <c r="A5190" s="1">
        <v>19</v>
      </c>
      <c r="B5190" s="159"/>
      <c r="C5190" s="1" t="s">
        <v>5433</v>
      </c>
      <c r="D5190" s="1"/>
      <c r="E5190" s="1"/>
      <c r="F5190" s="1" t="s">
        <v>5438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>VLOOKUP(B5190,MICRO!E:L,8,0)</f>
        <v>#N/A</v>
      </c>
    </row>
    <row r="5191" spans="1:14" ht="20.25" x14ac:dyDescent="0.25">
      <c r="A5191" s="1">
        <v>20</v>
      </c>
      <c r="B5191" s="159"/>
      <c r="C5191" s="1" t="s">
        <v>5433</v>
      </c>
      <c r="D5191" s="1"/>
      <c r="E5191" s="1"/>
      <c r="F5191" s="1" t="s">
        <v>5439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>VLOOKUP(B5191,MICRO!E:L,8,0)</f>
        <v>#N/A</v>
      </c>
    </row>
    <row r="5192" spans="1:14" ht="20.25" x14ac:dyDescent="0.25">
      <c r="A5192" s="1">
        <v>21</v>
      </c>
      <c r="B5192" s="159"/>
      <c r="C5192" s="1" t="s">
        <v>5433</v>
      </c>
      <c r="D5192" s="1"/>
      <c r="E5192" s="1"/>
      <c r="F5192" s="1" t="s">
        <v>5440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>VLOOKUP(B5192,MICRO!E:L,8,0)</f>
        <v>#N/A</v>
      </c>
    </row>
    <row r="5193" spans="1:14" ht="20.25" x14ac:dyDescent="0.25">
      <c r="A5193" s="1">
        <v>22</v>
      </c>
      <c r="B5193" s="159"/>
      <c r="C5193" s="1" t="s">
        <v>5433</v>
      </c>
      <c r="D5193" s="1"/>
      <c r="E5193" s="1"/>
      <c r="F5193" s="1" t="s">
        <v>5441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>VLOOKUP(B5193,MICRO!E:L,8,0)</f>
        <v>#N/A</v>
      </c>
    </row>
    <row r="5194" spans="1:14" ht="20.25" x14ac:dyDescent="0.25">
      <c r="A5194" s="1">
        <v>23</v>
      </c>
      <c r="B5194" s="159"/>
      <c r="C5194" s="1" t="s">
        <v>5433</v>
      </c>
      <c r="D5194" s="1"/>
      <c r="E5194" s="1"/>
      <c r="F5194" s="1" t="s">
        <v>5442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>VLOOKUP(B5194,MICRO!E:L,8,0)</f>
        <v>#N/A</v>
      </c>
    </row>
    <row r="5195" spans="1:14" ht="20.25" x14ac:dyDescent="0.25">
      <c r="A5195" s="1">
        <v>24</v>
      </c>
      <c r="B5195" s="159"/>
      <c r="C5195" s="1" t="s">
        <v>5433</v>
      </c>
      <c r="D5195" s="1"/>
      <c r="E5195" s="1"/>
      <c r="F5195" s="1" t="s">
        <v>5443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>VLOOKUP(B5195,MICRO!E:L,8,0)</f>
        <v>#N/A</v>
      </c>
    </row>
    <row r="5196" spans="1:14" ht="20.25" x14ac:dyDescent="0.25">
      <c r="A5196" s="1">
        <v>25</v>
      </c>
      <c r="B5196" s="159"/>
      <c r="C5196" s="1" t="s">
        <v>5433</v>
      </c>
      <c r="D5196" s="1"/>
      <c r="E5196" s="1"/>
      <c r="F5196" s="1" t="s">
        <v>5444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>VLOOKUP(B5196,MICRO!E:L,8,0)</f>
        <v>#N/A</v>
      </c>
    </row>
    <row r="5197" spans="1:14" ht="20.25" x14ac:dyDescent="0.25">
      <c r="A5197" s="1">
        <v>26</v>
      </c>
      <c r="B5197" s="159"/>
      <c r="C5197" s="1" t="s">
        <v>5445</v>
      </c>
      <c r="D5197" s="1"/>
      <c r="E5197" s="1"/>
      <c r="F5197" s="1" t="s">
        <v>5446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>VLOOKUP(B5197,MICRO!E:L,8,0)</f>
        <v>#N/A</v>
      </c>
    </row>
    <row r="5198" spans="1:14" ht="20.25" x14ac:dyDescent="0.25">
      <c r="A5198" s="1">
        <v>27</v>
      </c>
      <c r="B5198" s="159"/>
      <c r="C5198" s="1" t="s">
        <v>5445</v>
      </c>
      <c r="D5198" s="1"/>
      <c r="E5198" s="1"/>
      <c r="F5198" s="1" t="s">
        <v>5447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>VLOOKUP(B5198,MICRO!E:L,8,0)</f>
        <v>#N/A</v>
      </c>
    </row>
    <row r="5199" spans="1:14" ht="20.25" x14ac:dyDescent="0.25">
      <c r="A5199" s="1">
        <v>28</v>
      </c>
      <c r="B5199" s="159"/>
      <c r="C5199" s="1" t="s">
        <v>5445</v>
      </c>
      <c r="D5199" s="1"/>
      <c r="E5199" s="1"/>
      <c r="F5199" s="1" t="s">
        <v>5448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>VLOOKUP(B5199,MICRO!E:L,8,0)</f>
        <v>#N/A</v>
      </c>
    </row>
    <row r="5200" spans="1:14" ht="20.25" x14ac:dyDescent="0.25">
      <c r="A5200" s="1">
        <v>29</v>
      </c>
      <c r="B5200" s="159"/>
      <c r="C5200" s="1" t="s">
        <v>5449</v>
      </c>
      <c r="D5200" s="1"/>
      <c r="E5200" s="1"/>
      <c r="F5200" s="1" t="s">
        <v>5450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>VLOOKUP(B5200,MICRO!E:L,8,0)</f>
        <v>#N/A</v>
      </c>
    </row>
    <row r="5201" spans="1:14" ht="20.25" x14ac:dyDescent="0.25">
      <c r="A5201" s="1">
        <v>30</v>
      </c>
      <c r="B5201" s="159"/>
      <c r="C5201" s="1" t="s">
        <v>5449</v>
      </c>
      <c r="D5201" s="1"/>
      <c r="E5201" s="1"/>
      <c r="F5201" s="1" t="s">
        <v>5451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>VLOOKUP(B5201,MICRO!E:L,8,0)</f>
        <v>#N/A</v>
      </c>
    </row>
    <row r="5202" spans="1:14" ht="20.25" x14ac:dyDescent="0.25">
      <c r="A5202" s="1">
        <v>31</v>
      </c>
      <c r="B5202" s="159"/>
      <c r="C5202" s="1" t="s">
        <v>5449</v>
      </c>
      <c r="D5202" s="1"/>
      <c r="E5202" s="1"/>
      <c r="F5202" s="1" t="s">
        <v>5452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5453</v>
      </c>
      <c r="E5203" s="1" t="s">
        <v>2</v>
      </c>
      <c r="F5203" s="1" t="s">
        <v>5454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5453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5453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5453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5453</v>
      </c>
      <c r="E5207" s="1" t="s">
        <v>100</v>
      </c>
      <c r="F5207" s="1" t="s">
        <v>5455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5453</v>
      </c>
      <c r="E5208" s="1" t="s">
        <v>173</v>
      </c>
      <c r="F5208" s="1" t="s">
        <v>5456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5453</v>
      </c>
      <c r="E5209" s="1" t="s">
        <v>461</v>
      </c>
      <c r="F5209" s="1" t="s">
        <v>5457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5453</v>
      </c>
      <c r="E5210" s="1" t="s">
        <v>464</v>
      </c>
      <c r="F5210" s="1" t="s">
        <v>5458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5453</v>
      </c>
      <c r="E5211" s="1" t="s">
        <v>1103</v>
      </c>
      <c r="F5211" s="1" t="s">
        <v>5459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5453</v>
      </c>
      <c r="E5212" s="1" t="s">
        <v>2</v>
      </c>
      <c r="F5212" s="1" t="s">
        <v>5454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5453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5453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5453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5453</v>
      </c>
      <c r="E5216" s="1" t="s">
        <v>100</v>
      </c>
      <c r="F5216" s="1" t="s">
        <v>5455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5453</v>
      </c>
      <c r="E5217" s="1" t="s">
        <v>173</v>
      </c>
      <c r="F5217" s="1" t="s">
        <v>5456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5453</v>
      </c>
      <c r="E5218" s="1" t="s">
        <v>461</v>
      </c>
      <c r="F5218" s="1" t="s">
        <v>5457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5453</v>
      </c>
      <c r="E5219" s="1" t="s">
        <v>464</v>
      </c>
      <c r="F5219" s="1" t="s">
        <v>5458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5453</v>
      </c>
      <c r="E5220" s="1" t="s">
        <v>1103</v>
      </c>
      <c r="F5220" s="1" t="s">
        <v>5459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5460</v>
      </c>
      <c r="E5223" s="1"/>
      <c r="F5223" s="1" t="s">
        <v>5461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5462</v>
      </c>
      <c r="E5224" s="1"/>
      <c r="F5224" s="1" t="s">
        <v>5463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5460</v>
      </c>
      <c r="E5225" s="1"/>
      <c r="F5225" s="1" t="s">
        <v>5464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5460</v>
      </c>
      <c r="E5226" s="1"/>
      <c r="F5226" s="1" t="s">
        <v>5465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>VLOOKUP(B5226,MICRO!E:L,8,0)</f>
        <v>#N/A</v>
      </c>
    </row>
    <row r="5227" spans="1:14" ht="20.25" x14ac:dyDescent="0.25">
      <c r="A5227" s="1">
        <v>56</v>
      </c>
      <c r="B5227" s="159"/>
      <c r="C5227" s="1" t="s">
        <v>5466</v>
      </c>
      <c r="D5227" s="1"/>
      <c r="E5227" s="1"/>
      <c r="F5227" s="1" t="s">
        <v>5467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>VLOOKUP(B5227,MICRO!E:L,8,0)</f>
        <v>#N/A</v>
      </c>
    </row>
    <row r="5228" spans="1:14" ht="20.25" x14ac:dyDescent="0.25">
      <c r="A5228" s="1">
        <v>57</v>
      </c>
      <c r="B5228" s="159"/>
      <c r="C5228" s="1" t="s">
        <v>5468</v>
      </c>
      <c r="D5228" s="1"/>
      <c r="E5228" s="1"/>
      <c r="F5228" s="1" t="s">
        <v>5469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>VLOOKUP(B5228,MICRO!E:L,8,0)</f>
        <v>#N/A</v>
      </c>
    </row>
    <row r="5229" spans="1:14" ht="20.25" x14ac:dyDescent="0.25">
      <c r="A5229" s="1">
        <v>58</v>
      </c>
      <c r="B5229" s="159"/>
      <c r="C5229" s="1" t="s">
        <v>5470</v>
      </c>
      <c r="D5229" s="1"/>
      <c r="E5229" s="1" t="s">
        <v>2</v>
      </c>
      <c r="F5229" s="1" t="s">
        <v>5471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>VLOOKUP(B5229,MICRO!E:L,8,0)</f>
        <v>#N/A</v>
      </c>
    </row>
    <row r="5230" spans="1:14" ht="20.25" x14ac:dyDescent="0.25">
      <c r="A5230" s="1">
        <v>59</v>
      </c>
      <c r="B5230" s="159"/>
      <c r="C5230" s="1" t="s">
        <v>5470</v>
      </c>
      <c r="D5230" s="1"/>
      <c r="E5230" s="1" t="s">
        <v>2</v>
      </c>
      <c r="F5230" s="1" t="s">
        <v>5471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5472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5472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>VLOOKUP(B5236,MICRO!E:L,8,0)</f>
        <v>#N/A</v>
      </c>
    </row>
    <row r="5237" spans="1:14" ht="20.25" x14ac:dyDescent="0.25">
      <c r="A5237" s="1">
        <v>66</v>
      </c>
      <c r="B5237" s="159"/>
      <c r="C5237" s="1" t="s">
        <v>5473</v>
      </c>
      <c r="D5237" s="1"/>
      <c r="E5237" s="1" t="s">
        <v>2193</v>
      </c>
      <c r="F5237" s="1" t="s">
        <v>5474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>VLOOKUP(B5237,MICRO!E:L,8,0)</f>
        <v>#N/A</v>
      </c>
    </row>
    <row r="5238" spans="1:14" ht="20.25" x14ac:dyDescent="0.25">
      <c r="A5238" s="1">
        <v>67</v>
      </c>
      <c r="B5238" s="159"/>
      <c r="C5238" s="1" t="s">
        <v>5473</v>
      </c>
      <c r="D5238" s="1"/>
      <c r="E5238" s="1" t="s">
        <v>2193</v>
      </c>
      <c r="F5238" s="1" t="s">
        <v>5474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>VLOOKUP(B5238,MICRO!E:L,8,0)</f>
        <v>#N/A</v>
      </c>
    </row>
    <row r="5239" spans="1:14" ht="20.25" x14ac:dyDescent="0.25">
      <c r="A5239" s="1">
        <v>68</v>
      </c>
      <c r="B5239" s="159"/>
      <c r="C5239" s="1" t="s">
        <v>5475</v>
      </c>
      <c r="D5239" s="1"/>
      <c r="E5239" s="1" t="s">
        <v>5476</v>
      </c>
      <c r="F5239" s="1" t="s">
        <v>5474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>VLOOKUP(B5239,MICRO!E:L,8,0)</f>
        <v>#N/A</v>
      </c>
    </row>
    <row r="5240" spans="1:14" ht="20.25" x14ac:dyDescent="0.25">
      <c r="A5240" s="1">
        <v>69</v>
      </c>
      <c r="B5240" s="159"/>
      <c r="C5240" s="1" t="s">
        <v>5475</v>
      </c>
      <c r="D5240" s="1"/>
      <c r="E5240" s="1" t="s">
        <v>5476</v>
      </c>
      <c r="F5240" s="1" t="s">
        <v>5474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>VLOOKUP(B5240,MICRO!E:L,8,0)</f>
        <v>#N/A</v>
      </c>
    </row>
    <row r="5241" spans="1:14" ht="20.25" x14ac:dyDescent="0.25">
      <c r="A5241" s="1">
        <v>70</v>
      </c>
      <c r="B5241" s="159"/>
      <c r="C5241" s="1" t="s">
        <v>5477</v>
      </c>
      <c r="D5241" s="1"/>
      <c r="E5241" s="1" t="s">
        <v>5476</v>
      </c>
      <c r="F5241" s="1" t="s">
        <v>5474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>VLOOKUP(B5241,MICRO!E:L,8,0)</f>
        <v>#N/A</v>
      </c>
    </row>
    <row r="5242" spans="1:14" ht="20.25" x14ac:dyDescent="0.25">
      <c r="A5242" s="1">
        <v>71</v>
      </c>
      <c r="B5242" s="159"/>
      <c r="C5242" s="1" t="s">
        <v>5477</v>
      </c>
      <c r="D5242" s="1"/>
      <c r="E5242" s="1" t="s">
        <v>5476</v>
      </c>
      <c r="F5242" s="1" t="s">
        <v>5474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>VLOOKUP(B5242,MICRO!E:L,8,0)</f>
        <v>#N/A</v>
      </c>
    </row>
    <row r="5243" spans="1:14" ht="20.25" x14ac:dyDescent="0.25">
      <c r="A5243" s="1">
        <v>72</v>
      </c>
      <c r="B5243" s="159"/>
      <c r="C5243" s="1" t="s">
        <v>5478</v>
      </c>
      <c r="D5243" s="1"/>
      <c r="E5243" s="1" t="s">
        <v>5479</v>
      </c>
      <c r="F5243" s="1" t="s">
        <v>5480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>VLOOKUP(B5243,MICRO!E:L,8,0)</f>
        <v>#N/A</v>
      </c>
    </row>
    <row r="5244" spans="1:14" ht="20.25" x14ac:dyDescent="0.25">
      <c r="A5244" s="1">
        <v>73</v>
      </c>
      <c r="B5244" s="159"/>
      <c r="C5244" s="1" t="s">
        <v>5478</v>
      </c>
      <c r="D5244" s="1"/>
      <c r="E5244" s="1" t="s">
        <v>5479</v>
      </c>
      <c r="F5244" s="1" t="s">
        <v>5480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5481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237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237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237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237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237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237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237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237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237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237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237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237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237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237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237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237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237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237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237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237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237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237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237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237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5629</v>
      </c>
      <c r="J5273" s="1">
        <v>1</v>
      </c>
      <c r="K5273" s="1">
        <v>18</v>
      </c>
      <c r="L5273" s="42">
        <v>1</v>
      </c>
      <c r="M5273" s="237">
        <v>46273</v>
      </c>
      <c r="N5273" s="1" t="str">
        <f>VLOOKUP(B5273,MICRO!E:L,8,0)</f>
        <v>P-898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5629</v>
      </c>
      <c r="J5274" s="1">
        <v>5.2</v>
      </c>
      <c r="K5274" s="1">
        <v>275.60000000000002</v>
      </c>
      <c r="L5274" s="42">
        <v>1</v>
      </c>
      <c r="M5274" s="237">
        <v>46273</v>
      </c>
      <c r="N5274" s="1" t="str">
        <f>VLOOKUP(B5274,MICRO!E:L,8,0)</f>
        <v>P-898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5629</v>
      </c>
      <c r="J5275" s="1">
        <v>19.100000000000001</v>
      </c>
      <c r="K5275" s="1">
        <v>133.70000000000002</v>
      </c>
      <c r="L5275" s="42">
        <v>1</v>
      </c>
      <c r="M5275" s="237">
        <v>46273</v>
      </c>
      <c r="N5275" s="1" t="str">
        <f>VLOOKUP(B5275,MICRO!E:L,8,0)</f>
        <v>P-898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5629</v>
      </c>
      <c r="J5276" s="1">
        <v>18.2</v>
      </c>
      <c r="K5276" s="1">
        <v>109.19999999999999</v>
      </c>
      <c r="L5276" s="42">
        <v>1</v>
      </c>
      <c r="M5276" s="237">
        <v>46273</v>
      </c>
      <c r="N5276" s="1" t="str">
        <f>VLOOKUP(B5276,MICRO!E:L,8,0)</f>
        <v>P-898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5629</v>
      </c>
      <c r="J5277" s="1">
        <v>6</v>
      </c>
      <c r="K5277" s="1">
        <v>48</v>
      </c>
      <c r="L5277" s="42">
        <v>1</v>
      </c>
      <c r="M5277" s="237">
        <v>46273</v>
      </c>
      <c r="N5277" s="1" t="str">
        <f>VLOOKUP(B5277,MICRO!E:L,8,0)</f>
        <v>P-898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5629</v>
      </c>
      <c r="J5278" s="1">
        <v>5</v>
      </c>
      <c r="K5278" s="1">
        <v>70</v>
      </c>
      <c r="L5278" s="42">
        <v>1</v>
      </c>
      <c r="M5278" s="237">
        <v>46273</v>
      </c>
      <c r="N5278" s="1" t="str">
        <f>VLOOKUP(B5278,MICRO!E:L,8,0)</f>
        <v>P-898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5629</v>
      </c>
      <c r="J5279" s="1">
        <v>6</v>
      </c>
      <c r="K5279" s="1">
        <v>138</v>
      </c>
      <c r="L5279" s="42">
        <v>1</v>
      </c>
      <c r="M5279" s="237">
        <v>46273</v>
      </c>
      <c r="N5279" s="1" t="str">
        <f>VLOOKUP(B5279,MICRO!E:L,8,0)</f>
        <v>P-898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5630</v>
      </c>
      <c r="J5280" s="1">
        <v>5.2</v>
      </c>
      <c r="K5280" s="1">
        <v>10.4</v>
      </c>
      <c r="L5280" s="42">
        <v>1</v>
      </c>
      <c r="M5280" s="237">
        <v>46273</v>
      </c>
      <c r="N5280" s="1" t="str">
        <f>VLOOKUP(B5280,MICRO!E:L,8,0)</f>
        <v>P-899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5631</v>
      </c>
      <c r="J5281" s="1">
        <v>5</v>
      </c>
      <c r="K5281" s="1">
        <v>50</v>
      </c>
      <c r="L5281" s="42">
        <v>1</v>
      </c>
      <c r="M5281" s="237">
        <v>46273</v>
      </c>
      <c r="N5281" s="1" t="str">
        <f>VLOOKUP(B5281,MICRO!E:L,8,0)</f>
        <v>P-900</v>
      </c>
    </row>
    <row r="5282" spans="1:14" ht="20.25" x14ac:dyDescent="0.25">
      <c r="A5282" s="1">
        <v>1</v>
      </c>
      <c r="B5282" s="159">
        <v>4326</v>
      </c>
      <c r="C5282" s="1" t="s">
        <v>80</v>
      </c>
      <c r="D5282" s="1" t="s">
        <v>5667</v>
      </c>
      <c r="E5282" s="1"/>
      <c r="F5282" s="1" t="s">
        <v>4300</v>
      </c>
      <c r="G5282" s="1">
        <v>6</v>
      </c>
      <c r="H5282" s="1" t="s">
        <v>19</v>
      </c>
      <c r="I5282" s="1" t="s">
        <v>5668</v>
      </c>
      <c r="J5282" s="1">
        <v>12.5</v>
      </c>
      <c r="K5282" s="1">
        <v>75</v>
      </c>
      <c r="L5282" s="42">
        <v>1</v>
      </c>
      <c r="M5282" s="237">
        <v>46262</v>
      </c>
      <c r="N5282" s="1" t="str">
        <f>VLOOKUP(B5282,MICRO!E:L,8,0)</f>
        <v>P-208</v>
      </c>
    </row>
    <row r="5283" spans="1:14" ht="20.25" x14ac:dyDescent="0.25">
      <c r="A5283" s="1">
        <v>2</v>
      </c>
      <c r="B5283" s="159">
        <v>4325</v>
      </c>
      <c r="C5283" s="1" t="s">
        <v>79</v>
      </c>
      <c r="D5283" s="1" t="s">
        <v>5669</v>
      </c>
      <c r="E5283" s="1"/>
      <c r="F5283" s="1" t="s">
        <v>4297</v>
      </c>
      <c r="G5283" s="1">
        <v>6</v>
      </c>
      <c r="H5283" s="1" t="s">
        <v>19</v>
      </c>
      <c r="I5283" s="1" t="s">
        <v>5668</v>
      </c>
      <c r="J5283" s="1">
        <v>10</v>
      </c>
      <c r="K5283" s="1">
        <v>60</v>
      </c>
      <c r="L5283" s="42">
        <v>1</v>
      </c>
      <c r="M5283" s="237">
        <v>46262</v>
      </c>
      <c r="N5283" s="1" t="str">
        <f>VLOOKUP(B5283,MICRO!E:L,8,0)</f>
        <v>P-208</v>
      </c>
    </row>
    <row r="5284" spans="1:14" ht="20.25" x14ac:dyDescent="0.25">
      <c r="A5284" s="1">
        <v>1</v>
      </c>
      <c r="B5284" s="159">
        <v>4397</v>
      </c>
      <c r="C5284" s="1" t="s">
        <v>4516</v>
      </c>
      <c r="D5284" s="1" t="s">
        <v>4517</v>
      </c>
      <c r="E5284" s="1" t="s">
        <v>2</v>
      </c>
      <c r="F5284" s="1" t="s">
        <v>4518</v>
      </c>
      <c r="G5284" s="1">
        <v>1</v>
      </c>
      <c r="H5284" s="1" t="s">
        <v>19</v>
      </c>
      <c r="I5284" s="1" t="s">
        <v>3140</v>
      </c>
      <c r="J5284" s="1">
        <v>395.4</v>
      </c>
      <c r="K5284" s="1">
        <v>395.4</v>
      </c>
      <c r="L5284" s="42">
        <v>7</v>
      </c>
      <c r="M5284" s="237">
        <v>46280</v>
      </c>
      <c r="N5284" s="1" t="str">
        <f>VLOOKUP(B5284,MICRO!E:L,8,0)</f>
        <v>P-198</v>
      </c>
    </row>
    <row r="5285" spans="1:14" ht="20.25" x14ac:dyDescent="0.25">
      <c r="A5285" s="1">
        <v>2</v>
      </c>
      <c r="B5285" s="159">
        <v>4402</v>
      </c>
      <c r="C5285" s="1" t="s">
        <v>4527</v>
      </c>
      <c r="D5285" s="1" t="s">
        <v>4528</v>
      </c>
      <c r="E5285" s="1" t="s">
        <v>2</v>
      </c>
      <c r="F5285" s="1" t="s">
        <v>4529</v>
      </c>
      <c r="G5285" s="1">
        <v>1</v>
      </c>
      <c r="H5285" s="1" t="s">
        <v>19</v>
      </c>
      <c r="I5285" s="1" t="s">
        <v>3140</v>
      </c>
      <c r="J5285" s="1">
        <v>100.9</v>
      </c>
      <c r="K5285" s="1">
        <v>100.9</v>
      </c>
      <c r="L5285" s="42">
        <v>7</v>
      </c>
      <c r="M5285" s="237">
        <v>46280</v>
      </c>
      <c r="N5285" s="1" t="str">
        <f>VLOOKUP(B5285,MICRO!E:L,8,0)</f>
        <v>P-198</v>
      </c>
    </row>
    <row r="5286" spans="1:14" ht="20.25" x14ac:dyDescent="0.25">
      <c r="A5286" s="1">
        <v>3</v>
      </c>
      <c r="B5286" s="159">
        <v>4403</v>
      </c>
      <c r="C5286" s="1" t="s">
        <v>4527</v>
      </c>
      <c r="D5286" s="1" t="s">
        <v>4528</v>
      </c>
      <c r="E5286" s="1" t="s">
        <v>43</v>
      </c>
      <c r="F5286" s="1" t="s">
        <v>4530</v>
      </c>
      <c r="G5286" s="1">
        <v>2</v>
      </c>
      <c r="H5286" s="1" t="s">
        <v>19</v>
      </c>
      <c r="I5286" s="1" t="s">
        <v>3140</v>
      </c>
      <c r="J5286" s="1">
        <v>83.4</v>
      </c>
      <c r="K5286" s="1">
        <v>166.8</v>
      </c>
      <c r="L5286" s="42">
        <v>7</v>
      </c>
      <c r="M5286" s="237">
        <v>46280</v>
      </c>
      <c r="N5286" s="1" t="str">
        <f>VLOOKUP(B5286,MICRO!E:L,8,0)</f>
        <v>P-198</v>
      </c>
    </row>
    <row r="5287" spans="1:14" ht="20.25" x14ac:dyDescent="0.25">
      <c r="A5287" s="1">
        <v>4</v>
      </c>
      <c r="B5287" s="159">
        <v>4404</v>
      </c>
      <c r="C5287" s="1" t="s">
        <v>4527</v>
      </c>
      <c r="D5287" s="1" t="s">
        <v>4528</v>
      </c>
      <c r="E5287" s="1" t="s">
        <v>746</v>
      </c>
      <c r="F5287" s="1" t="s">
        <v>4531</v>
      </c>
      <c r="G5287" s="1">
        <v>1</v>
      </c>
      <c r="H5287" s="1" t="s">
        <v>19</v>
      </c>
      <c r="I5287" s="1" t="s">
        <v>3140</v>
      </c>
      <c r="J5287" s="1">
        <v>120.2</v>
      </c>
      <c r="K5287" s="1">
        <v>120.2</v>
      </c>
      <c r="L5287" s="42">
        <v>7</v>
      </c>
      <c r="M5287" s="237">
        <v>46280</v>
      </c>
      <c r="N5287" s="1" t="str">
        <f>VLOOKUP(B5287,MICRO!E:L,8,0)</f>
        <v>P-198</v>
      </c>
    </row>
    <row r="5288" spans="1:14" ht="20.25" x14ac:dyDescent="0.25">
      <c r="A5288" s="1">
        <v>5</v>
      </c>
      <c r="B5288" s="159">
        <v>4405</v>
      </c>
      <c r="C5288" s="1" t="s">
        <v>4527</v>
      </c>
      <c r="D5288" s="1" t="s">
        <v>4528</v>
      </c>
      <c r="E5288" s="1" t="s">
        <v>1101</v>
      </c>
      <c r="F5288" s="1" t="s">
        <v>4532</v>
      </c>
      <c r="G5288" s="1">
        <v>1</v>
      </c>
      <c r="H5288" s="1" t="s">
        <v>19</v>
      </c>
      <c r="I5288" s="1" t="s">
        <v>3140</v>
      </c>
      <c r="J5288" s="1">
        <v>63.6</v>
      </c>
      <c r="K5288" s="1">
        <v>63.6</v>
      </c>
      <c r="L5288" s="42">
        <v>7</v>
      </c>
      <c r="M5288" s="237">
        <v>46280</v>
      </c>
      <c r="N5288" s="1" t="str">
        <f>VLOOKUP(B5288,MICRO!E:L,8,0)</f>
        <v>P-198</v>
      </c>
    </row>
    <row r="5289" spans="1:14" ht="20.25" x14ac:dyDescent="0.25">
      <c r="A5289" s="1">
        <v>6</v>
      </c>
      <c r="B5289" s="159">
        <v>4406</v>
      </c>
      <c r="C5289" s="1" t="s">
        <v>4527</v>
      </c>
      <c r="D5289" s="1" t="s">
        <v>4528</v>
      </c>
      <c r="E5289" s="1" t="s">
        <v>100</v>
      </c>
      <c r="F5289" s="1" t="s">
        <v>4533</v>
      </c>
      <c r="G5289" s="1">
        <v>1</v>
      </c>
      <c r="H5289" s="1" t="s">
        <v>19</v>
      </c>
      <c r="I5289" s="1" t="s">
        <v>3140</v>
      </c>
      <c r="J5289" s="1">
        <v>75.8</v>
      </c>
      <c r="K5289" s="1">
        <v>75.8</v>
      </c>
      <c r="L5289" s="42">
        <v>7</v>
      </c>
      <c r="M5289" s="237">
        <v>46280</v>
      </c>
      <c r="N5289" s="1" t="str">
        <f>VLOOKUP(B5289,MICRO!E:L,8,0)</f>
        <v>P-198</v>
      </c>
    </row>
    <row r="5290" spans="1:14" ht="20.25" x14ac:dyDescent="0.25">
      <c r="A5290" s="1">
        <v>7</v>
      </c>
      <c r="B5290" s="159">
        <v>4409</v>
      </c>
      <c r="C5290" s="1" t="s">
        <v>4535</v>
      </c>
      <c r="D5290" s="1" t="s">
        <v>4536</v>
      </c>
      <c r="E5290" s="1" t="s">
        <v>746</v>
      </c>
      <c r="F5290" s="1" t="s">
        <v>4539</v>
      </c>
      <c r="G5290" s="1">
        <v>2</v>
      </c>
      <c r="H5290" s="1" t="s">
        <v>19</v>
      </c>
      <c r="I5290" s="1" t="s">
        <v>3140</v>
      </c>
      <c r="J5290" s="1">
        <v>51.8</v>
      </c>
      <c r="K5290" s="1">
        <v>103.6</v>
      </c>
      <c r="L5290" s="42">
        <v>7</v>
      </c>
      <c r="M5290" s="237">
        <v>46280</v>
      </c>
      <c r="N5290" s="1" t="str">
        <f>VLOOKUP(B5290,MICRO!E:L,8,0)</f>
        <v>P-198</v>
      </c>
    </row>
    <row r="5291" spans="1:14" ht="20.25" x14ac:dyDescent="0.25">
      <c r="A5291" s="1">
        <v>8</v>
      </c>
      <c r="B5291" s="159">
        <v>4431</v>
      </c>
      <c r="C5291" s="1" t="s">
        <v>4866</v>
      </c>
      <c r="D5291" s="1" t="s">
        <v>4867</v>
      </c>
      <c r="E5291" s="1" t="s">
        <v>43</v>
      </c>
      <c r="F5291" s="1" t="s">
        <v>4872</v>
      </c>
      <c r="G5291" s="1">
        <v>4</v>
      </c>
      <c r="H5291" s="1" t="s">
        <v>19</v>
      </c>
      <c r="I5291" s="1" t="s">
        <v>3093</v>
      </c>
      <c r="J5291" s="1">
        <v>31.2</v>
      </c>
      <c r="K5291" s="1">
        <v>124.8</v>
      </c>
      <c r="L5291" s="42">
        <v>7</v>
      </c>
      <c r="M5291" s="237">
        <v>46280</v>
      </c>
      <c r="N5291" s="1" t="str">
        <f>VLOOKUP(B5291,MICRO!E:L,8,0)</f>
        <v>P-198</v>
      </c>
    </row>
    <row r="5292" spans="1:14" ht="20.25" x14ac:dyDescent="0.25">
      <c r="A5292" s="1">
        <v>9</v>
      </c>
      <c r="B5292" s="159">
        <v>4439</v>
      </c>
      <c r="C5292" s="1" t="s">
        <v>4869</v>
      </c>
      <c r="D5292" s="1" t="s">
        <v>4870</v>
      </c>
      <c r="E5292" s="1" t="s">
        <v>1101</v>
      </c>
      <c r="F5292" s="1" t="s">
        <v>4889</v>
      </c>
      <c r="G5292" s="1">
        <v>4</v>
      </c>
      <c r="H5292" s="1" t="s">
        <v>19</v>
      </c>
      <c r="I5292" s="1" t="s">
        <v>3093</v>
      </c>
      <c r="J5292" s="1">
        <v>6</v>
      </c>
      <c r="K5292" s="1">
        <v>24</v>
      </c>
      <c r="L5292" s="42">
        <v>7</v>
      </c>
      <c r="M5292" s="237">
        <v>46280</v>
      </c>
      <c r="N5292" s="1" t="str">
        <f>VLOOKUP(B5292,MICRO!E:L,8,0)</f>
        <v>P-198</v>
      </c>
    </row>
    <row r="5293" spans="1:14" ht="20.25" x14ac:dyDescent="0.25">
      <c r="A5293" s="1">
        <v>10</v>
      </c>
      <c r="B5293" s="159">
        <v>4448</v>
      </c>
      <c r="C5293" s="1" t="s">
        <v>4878</v>
      </c>
      <c r="D5293" s="1" t="s">
        <v>4879</v>
      </c>
      <c r="E5293" s="1" t="s">
        <v>2</v>
      </c>
      <c r="F5293" s="1" t="s">
        <v>4880</v>
      </c>
      <c r="G5293" s="1">
        <v>2</v>
      </c>
      <c r="H5293" s="1" t="s">
        <v>19</v>
      </c>
      <c r="I5293" s="1" t="s">
        <v>3093</v>
      </c>
      <c r="J5293" s="1">
        <v>71.099999999999994</v>
      </c>
      <c r="K5293" s="1">
        <v>142.19999999999999</v>
      </c>
      <c r="L5293" s="42">
        <v>7</v>
      </c>
      <c r="M5293" s="237">
        <v>46280</v>
      </c>
      <c r="N5293" s="1" t="str">
        <f>VLOOKUP(B5293,MICRO!E:L,8,0)</f>
        <v>P-198</v>
      </c>
    </row>
    <row r="5294" spans="1:14" ht="20.25" x14ac:dyDescent="0.25">
      <c r="A5294" s="1">
        <v>11</v>
      </c>
      <c r="B5294" s="159">
        <v>4451</v>
      </c>
      <c r="C5294" s="1" t="s">
        <v>4878</v>
      </c>
      <c r="D5294" s="1" t="s">
        <v>4879</v>
      </c>
      <c r="E5294" s="1" t="s">
        <v>1101</v>
      </c>
      <c r="F5294" s="1" t="s">
        <v>4894</v>
      </c>
      <c r="G5294" s="1">
        <v>4</v>
      </c>
      <c r="H5294" s="1" t="s">
        <v>19</v>
      </c>
      <c r="I5294" s="1" t="s">
        <v>3093</v>
      </c>
      <c r="J5294" s="1">
        <v>6</v>
      </c>
      <c r="K5294" s="1">
        <v>24</v>
      </c>
      <c r="L5294" s="42">
        <v>7</v>
      </c>
      <c r="M5294" s="237">
        <v>46280</v>
      </c>
      <c r="N5294" s="1" t="str">
        <f>VLOOKUP(B5294,MICRO!E:L,8,0)</f>
        <v>P-198</v>
      </c>
    </row>
    <row r="5295" spans="1:14" ht="20.25" x14ac:dyDescent="0.25">
      <c r="A5295" s="1">
        <v>12</v>
      </c>
      <c r="B5295" s="159">
        <v>4460</v>
      </c>
      <c r="C5295" s="1" t="s">
        <v>4903</v>
      </c>
      <c r="D5295" s="1" t="s">
        <v>4904</v>
      </c>
      <c r="E5295" s="1" t="s">
        <v>2</v>
      </c>
      <c r="F5295" s="1" t="s">
        <v>4905</v>
      </c>
      <c r="G5295" s="1">
        <v>4</v>
      </c>
      <c r="H5295" s="1" t="s">
        <v>19</v>
      </c>
      <c r="I5295" s="1" t="s">
        <v>3093</v>
      </c>
      <c r="J5295" s="1">
        <v>69.8</v>
      </c>
      <c r="K5295" s="1">
        <v>279.2</v>
      </c>
      <c r="L5295" s="42">
        <v>7</v>
      </c>
      <c r="M5295" s="237">
        <v>46280</v>
      </c>
      <c r="N5295" s="1" t="str">
        <f>VLOOKUP(B5295,MICRO!E:L,8,0)</f>
        <v>P-198</v>
      </c>
    </row>
    <row r="5296" spans="1:14" ht="20.25" x14ac:dyDescent="0.25">
      <c r="A5296" s="1">
        <v>13</v>
      </c>
      <c r="B5296" s="159">
        <v>4463</v>
      </c>
      <c r="C5296" s="1" t="s">
        <v>4903</v>
      </c>
      <c r="D5296" s="1" t="s">
        <v>4904</v>
      </c>
      <c r="E5296" s="1" t="s">
        <v>1101</v>
      </c>
      <c r="F5296" s="1" t="s">
        <v>4908</v>
      </c>
      <c r="G5296" s="1">
        <v>8</v>
      </c>
      <c r="H5296" s="1" t="s">
        <v>19</v>
      </c>
      <c r="I5296" s="1" t="s">
        <v>3093</v>
      </c>
      <c r="J5296" s="1">
        <v>14.7</v>
      </c>
      <c r="K5296" s="1">
        <v>117.6</v>
      </c>
      <c r="L5296" s="42">
        <v>7</v>
      </c>
      <c r="M5296" s="237">
        <v>46280</v>
      </c>
      <c r="N5296" s="1" t="str">
        <f>VLOOKUP(B5296,MICRO!E:L,8,0)</f>
        <v>P-198</v>
      </c>
    </row>
    <row r="5297" spans="1:14" ht="20.25" x14ac:dyDescent="0.25">
      <c r="A5297" s="1">
        <v>14</v>
      </c>
      <c r="B5297" s="159">
        <v>4464</v>
      </c>
      <c r="C5297" s="1" t="s">
        <v>4903</v>
      </c>
      <c r="D5297" s="1" t="s">
        <v>4904</v>
      </c>
      <c r="E5297" s="1" t="s">
        <v>100</v>
      </c>
      <c r="F5297" s="1" t="s">
        <v>4909</v>
      </c>
      <c r="G5297" s="1">
        <v>16</v>
      </c>
      <c r="H5297" s="1" t="s">
        <v>19</v>
      </c>
      <c r="I5297" s="1" t="s">
        <v>3093</v>
      </c>
      <c r="J5297" s="1">
        <v>6</v>
      </c>
      <c r="K5297" s="1">
        <v>96</v>
      </c>
      <c r="L5297" s="42">
        <v>7</v>
      </c>
      <c r="M5297" s="237">
        <v>46280</v>
      </c>
      <c r="N5297" s="1" t="str">
        <f>VLOOKUP(B5297,MICRO!E:L,8,0)</f>
        <v>P-198</v>
      </c>
    </row>
    <row r="5298" spans="1:14" ht="20.25" x14ac:dyDescent="0.25">
      <c r="A5298" s="1">
        <v>15</v>
      </c>
      <c r="B5298" s="159">
        <v>4469</v>
      </c>
      <c r="C5298" s="1" t="s">
        <v>4911</v>
      </c>
      <c r="D5298" s="1" t="s">
        <v>4912</v>
      </c>
      <c r="E5298" s="1" t="s">
        <v>1101</v>
      </c>
      <c r="F5298" s="1" t="s">
        <v>5753</v>
      </c>
      <c r="G5298" s="1">
        <v>2</v>
      </c>
      <c r="H5298" s="1" t="s">
        <v>19</v>
      </c>
      <c r="I5298" s="1" t="s">
        <v>3093</v>
      </c>
      <c r="J5298" s="1">
        <v>14.7</v>
      </c>
      <c r="K5298" s="1">
        <v>29.4</v>
      </c>
      <c r="L5298" s="42">
        <v>7</v>
      </c>
      <c r="M5298" s="237">
        <v>46280</v>
      </c>
      <c r="N5298" s="1" t="str">
        <f>VLOOKUP(B5298,MICRO!E:L,8,0)</f>
        <v>P-198</v>
      </c>
    </row>
    <row r="5299" spans="1:14" ht="20.25" x14ac:dyDescent="0.25">
      <c r="A5299" s="1">
        <v>16</v>
      </c>
      <c r="B5299" s="159">
        <v>4470</v>
      </c>
      <c r="C5299" s="1" t="s">
        <v>4911</v>
      </c>
      <c r="D5299" s="1" t="s">
        <v>4912</v>
      </c>
      <c r="E5299" s="1" t="s">
        <v>100</v>
      </c>
      <c r="F5299" s="1" t="s">
        <v>4917</v>
      </c>
      <c r="G5299" s="1">
        <v>2</v>
      </c>
      <c r="H5299" s="1" t="s">
        <v>19</v>
      </c>
      <c r="I5299" s="1" t="s">
        <v>3093</v>
      </c>
      <c r="J5299" s="1">
        <v>3.4</v>
      </c>
      <c r="K5299" s="1">
        <v>6.8</v>
      </c>
      <c r="L5299" s="42">
        <v>7</v>
      </c>
      <c r="M5299" s="237">
        <v>46280</v>
      </c>
      <c r="N5299" s="1" t="str">
        <f>VLOOKUP(B5299,MICRO!E:L,8,0)</f>
        <v>P-198</v>
      </c>
    </row>
    <row r="5300" spans="1:14" ht="20.25" x14ac:dyDescent="0.25">
      <c r="A5300" s="1">
        <v>17</v>
      </c>
      <c r="B5300" s="159">
        <v>4471</v>
      </c>
      <c r="C5300" s="1" t="s">
        <v>4911</v>
      </c>
      <c r="D5300" s="1" t="s">
        <v>4912</v>
      </c>
      <c r="E5300" s="1" t="s">
        <v>173</v>
      </c>
      <c r="F5300" s="1" t="s">
        <v>4918</v>
      </c>
      <c r="G5300" s="1">
        <v>2</v>
      </c>
      <c r="H5300" s="1" t="s">
        <v>19</v>
      </c>
      <c r="I5300" s="1" t="s">
        <v>3093</v>
      </c>
      <c r="J5300" s="1">
        <v>6</v>
      </c>
      <c r="K5300" s="1">
        <v>12</v>
      </c>
      <c r="L5300" s="42">
        <v>7</v>
      </c>
      <c r="M5300" s="237">
        <v>46280</v>
      </c>
      <c r="N5300" s="1" t="str">
        <f>VLOOKUP(B5300,MICRO!E:L,8,0)</f>
        <v>P-198</v>
      </c>
    </row>
    <row r="5301" spans="1:14" ht="20.25" x14ac:dyDescent="0.25">
      <c r="A5301" s="1">
        <v>18</v>
      </c>
      <c r="B5301" s="159">
        <v>4473</v>
      </c>
      <c r="C5301" s="1" t="s">
        <v>4920</v>
      </c>
      <c r="D5301" s="1" t="s">
        <v>4921</v>
      </c>
      <c r="E5301" s="1" t="s">
        <v>2</v>
      </c>
      <c r="F5301" s="1" t="s">
        <v>4922</v>
      </c>
      <c r="G5301" s="1">
        <v>1</v>
      </c>
      <c r="H5301" s="1" t="s">
        <v>19</v>
      </c>
      <c r="I5301" s="1" t="s">
        <v>3093</v>
      </c>
      <c r="J5301" s="1">
        <v>715.7</v>
      </c>
      <c r="K5301" s="1">
        <v>715.7</v>
      </c>
      <c r="L5301" s="42">
        <v>7</v>
      </c>
      <c r="M5301" s="237">
        <v>46280</v>
      </c>
      <c r="N5301" s="1" t="str">
        <f>VLOOKUP(B5301,MICRO!E:L,8,0)</f>
        <v>P-198</v>
      </c>
    </row>
    <row r="5302" spans="1:14" ht="20.25" x14ac:dyDescent="0.25">
      <c r="A5302" s="1">
        <v>19</v>
      </c>
      <c r="B5302" s="159"/>
      <c r="C5302" s="1" t="s">
        <v>5754</v>
      </c>
      <c r="D5302" s="1"/>
      <c r="E5302" s="1"/>
      <c r="F5302" s="1" t="s">
        <v>5755</v>
      </c>
      <c r="G5302" s="1">
        <v>1</v>
      </c>
      <c r="H5302" s="1" t="s">
        <v>19</v>
      </c>
      <c r="I5302" s="1" t="s">
        <v>3034</v>
      </c>
      <c r="J5302" s="1">
        <v>26</v>
      </c>
      <c r="K5302" s="1">
        <v>26</v>
      </c>
      <c r="L5302" s="42">
        <v>7</v>
      </c>
      <c r="M5302" s="237">
        <v>46280</v>
      </c>
      <c r="N5302" s="1" t="e">
        <f>VLOOKUP(B5302,MICRO!E:L,8,0)</f>
        <v>#N/A</v>
      </c>
    </row>
    <row r="5303" spans="1:14" ht="20.25" x14ac:dyDescent="0.25">
      <c r="A5303" s="1">
        <v>20</v>
      </c>
      <c r="B5303" s="159"/>
      <c r="C5303" s="1" t="s">
        <v>5754</v>
      </c>
      <c r="D5303" s="1"/>
      <c r="E5303" s="1"/>
      <c r="F5303" s="1" t="s">
        <v>5756</v>
      </c>
      <c r="G5303" s="1">
        <v>1</v>
      </c>
      <c r="H5303" s="1" t="s">
        <v>19</v>
      </c>
      <c r="I5303" s="1" t="s">
        <v>3034</v>
      </c>
      <c r="J5303" s="1">
        <v>26.5</v>
      </c>
      <c r="K5303" s="1">
        <v>26.5</v>
      </c>
      <c r="L5303" s="42">
        <v>7</v>
      </c>
      <c r="M5303" s="237">
        <v>46280</v>
      </c>
      <c r="N5303" s="1" t="e">
        <f>VLOOKUP(B5303,MICRO!E:L,8,0)</f>
        <v>#N/A</v>
      </c>
    </row>
    <row r="5304" spans="1:14" ht="20.25" x14ac:dyDescent="0.25">
      <c r="A5304" s="1">
        <v>21</v>
      </c>
      <c r="B5304" s="159"/>
      <c r="C5304" s="1" t="s">
        <v>5757</v>
      </c>
      <c r="D5304" s="1"/>
      <c r="E5304" s="1"/>
      <c r="F5304" s="1" t="s">
        <v>5758</v>
      </c>
      <c r="G5304" s="1">
        <v>1</v>
      </c>
      <c r="H5304" s="1" t="s">
        <v>19</v>
      </c>
      <c r="I5304" s="1" t="s">
        <v>3045</v>
      </c>
      <c r="J5304" s="1">
        <v>28</v>
      </c>
      <c r="K5304" s="1">
        <v>28</v>
      </c>
      <c r="L5304" s="42">
        <v>7</v>
      </c>
      <c r="M5304" s="237">
        <v>46280</v>
      </c>
      <c r="N5304" s="1" t="e">
        <f>VLOOKUP(B5304,MICRO!E:L,8,0)</f>
        <v>#N/A</v>
      </c>
    </row>
    <row r="5305" spans="1:14" ht="20.25" x14ac:dyDescent="0.25">
      <c r="A5305" s="1">
        <v>22</v>
      </c>
      <c r="B5305" s="159"/>
      <c r="C5305" s="1" t="s">
        <v>5757</v>
      </c>
      <c r="D5305" s="1"/>
      <c r="E5305" s="1"/>
      <c r="F5305" s="1" t="s">
        <v>5759</v>
      </c>
      <c r="G5305" s="1">
        <v>1</v>
      </c>
      <c r="H5305" s="1" t="s">
        <v>19</v>
      </c>
      <c r="I5305" s="1" t="s">
        <v>3045</v>
      </c>
      <c r="J5305" s="1">
        <v>27.5</v>
      </c>
      <c r="K5305" s="1">
        <v>27.5</v>
      </c>
      <c r="L5305" s="42">
        <v>7</v>
      </c>
      <c r="M5305" s="237">
        <v>46280</v>
      </c>
      <c r="N5305" s="1" t="e">
        <f>VLOOKUP(B5305,MICRO!E:L,8,0)</f>
        <v>#N/A</v>
      </c>
    </row>
    <row r="5306" spans="1:14" ht="20.25" x14ac:dyDescent="0.25">
      <c r="A5306" s="1">
        <v>23</v>
      </c>
      <c r="B5306" s="159"/>
      <c r="C5306" s="1" t="s">
        <v>5760</v>
      </c>
      <c r="D5306" s="1"/>
      <c r="E5306" s="1"/>
      <c r="F5306" s="1" t="s">
        <v>5761</v>
      </c>
      <c r="G5306" s="1">
        <v>1</v>
      </c>
      <c r="H5306" s="1" t="s">
        <v>19</v>
      </c>
      <c r="I5306" s="1" t="s">
        <v>3140</v>
      </c>
      <c r="J5306" s="1">
        <v>24</v>
      </c>
      <c r="K5306" s="1">
        <v>24</v>
      </c>
      <c r="L5306" s="42">
        <v>7</v>
      </c>
      <c r="M5306" s="237">
        <v>46280</v>
      </c>
      <c r="N5306" s="1" t="e">
        <f>VLOOKUP(B5306,MICRO!E:L,8,0)</f>
        <v>#N/A</v>
      </c>
    </row>
    <row r="5307" spans="1:14" ht="20.25" x14ac:dyDescent="0.25">
      <c r="A5307" s="1">
        <v>24</v>
      </c>
      <c r="B5307" s="159"/>
      <c r="C5307" s="1" t="s">
        <v>5760</v>
      </c>
      <c r="D5307" s="1"/>
      <c r="E5307" s="1"/>
      <c r="F5307" s="1" t="s">
        <v>5762</v>
      </c>
      <c r="G5307" s="1">
        <v>1</v>
      </c>
      <c r="H5307" s="1" t="s">
        <v>19</v>
      </c>
      <c r="I5307" s="1" t="s">
        <v>3140</v>
      </c>
      <c r="J5307" s="1">
        <v>25.5</v>
      </c>
      <c r="K5307" s="1">
        <v>25.5</v>
      </c>
      <c r="L5307" s="42">
        <v>7</v>
      </c>
      <c r="M5307" s="237">
        <v>46280</v>
      </c>
      <c r="N5307" s="1" t="e">
        <f>VLOOKUP(B5307,MICRO!E:L,8,0)</f>
        <v>#N/A</v>
      </c>
    </row>
    <row r="5308" spans="1:14" ht="20.25" x14ac:dyDescent="0.25">
      <c r="A5308" s="1">
        <v>25</v>
      </c>
      <c r="B5308" s="159"/>
      <c r="C5308" s="1" t="s">
        <v>5763</v>
      </c>
      <c r="D5308" s="1"/>
      <c r="E5308" s="1"/>
      <c r="F5308" s="1" t="s">
        <v>5764</v>
      </c>
      <c r="G5308" s="1">
        <v>1</v>
      </c>
      <c r="H5308" s="1" t="s">
        <v>19</v>
      </c>
      <c r="I5308" s="1" t="s">
        <v>3093</v>
      </c>
      <c r="J5308" s="1">
        <v>32</v>
      </c>
      <c r="K5308" s="1">
        <v>32</v>
      </c>
      <c r="L5308" s="42">
        <v>7</v>
      </c>
      <c r="M5308" s="237">
        <v>46280</v>
      </c>
      <c r="N5308" s="1" t="e">
        <f>VLOOKUP(B5308,MICRO!E:L,8,0)</f>
        <v>#N/A</v>
      </c>
    </row>
    <row r="5309" spans="1:14" ht="20.25" x14ac:dyDescent="0.25">
      <c r="A5309" s="1">
        <v>26</v>
      </c>
      <c r="B5309" s="159"/>
      <c r="C5309" s="1" t="s">
        <v>5763</v>
      </c>
      <c r="D5309" s="1"/>
      <c r="E5309" s="1"/>
      <c r="F5309" s="1" t="s">
        <v>5765</v>
      </c>
      <c r="G5309" s="1">
        <v>1</v>
      </c>
      <c r="H5309" s="1" t="s">
        <v>19</v>
      </c>
      <c r="I5309" s="1" t="s">
        <v>3093</v>
      </c>
      <c r="J5309" s="1">
        <v>29</v>
      </c>
      <c r="K5309" s="1">
        <v>29</v>
      </c>
      <c r="L5309" s="42">
        <v>7</v>
      </c>
      <c r="M5309" s="237">
        <v>46280</v>
      </c>
      <c r="N5309" s="1" t="e">
        <f>VLOOKUP(B5309,MICRO!E:L,8,0)</f>
        <v>#N/A</v>
      </c>
    </row>
    <row r="5310" spans="1:14" ht="20.25" x14ac:dyDescent="0.25">
      <c r="A5310" s="1">
        <v>27</v>
      </c>
      <c r="B5310" s="159"/>
      <c r="C5310" s="1" t="s">
        <v>5766</v>
      </c>
      <c r="D5310" s="1"/>
      <c r="E5310" s="1" t="s">
        <v>5767</v>
      </c>
      <c r="F5310" s="1" t="s">
        <v>5768</v>
      </c>
      <c r="G5310" s="1">
        <v>4</v>
      </c>
      <c r="H5310" s="1" t="s">
        <v>19</v>
      </c>
      <c r="I5310" s="1" t="s">
        <v>3045</v>
      </c>
      <c r="J5310" s="1">
        <v>12.5</v>
      </c>
      <c r="K5310" s="1">
        <v>50</v>
      </c>
      <c r="L5310" s="42">
        <v>7</v>
      </c>
      <c r="M5310" s="237">
        <v>46280</v>
      </c>
      <c r="N5310" s="1" t="e">
        <f>VLOOKUP(B5310,MICRO!E:L,8,0)</f>
        <v>#N/A</v>
      </c>
    </row>
    <row r="5311" spans="1:14" ht="20.25" x14ac:dyDescent="0.25">
      <c r="A5311" s="1">
        <v>28</v>
      </c>
      <c r="B5311" s="159"/>
      <c r="C5311" s="1" t="s">
        <v>5769</v>
      </c>
      <c r="D5311" s="1"/>
      <c r="E5311" s="1" t="s">
        <v>5770</v>
      </c>
      <c r="F5311" s="1" t="s">
        <v>5771</v>
      </c>
      <c r="G5311" s="1">
        <v>14</v>
      </c>
      <c r="H5311" s="1" t="s">
        <v>19</v>
      </c>
      <c r="I5311" s="1" t="s">
        <v>3034</v>
      </c>
      <c r="J5311" s="1">
        <v>9.58</v>
      </c>
      <c r="K5311" s="1">
        <v>134.12</v>
      </c>
      <c r="L5311" s="42">
        <v>7</v>
      </c>
      <c r="M5311" s="237">
        <v>46280</v>
      </c>
      <c r="N5311" s="1" t="e">
        <f>VLOOKUP(B5311,MICRO!E:L,8,0)</f>
        <v>#N/A</v>
      </c>
    </row>
    <row r="5312" spans="1:14" ht="20.25" x14ac:dyDescent="0.25">
      <c r="A5312" s="1">
        <v>29</v>
      </c>
      <c r="B5312" s="159"/>
      <c r="C5312" s="1" t="s">
        <v>3315</v>
      </c>
      <c r="D5312" s="1"/>
      <c r="E5312" s="1"/>
      <c r="F5312" s="1" t="s">
        <v>5772</v>
      </c>
      <c r="G5312" s="1">
        <v>260</v>
      </c>
      <c r="H5312" s="1" t="s">
        <v>19</v>
      </c>
      <c r="I5312" s="1" t="s">
        <v>3034</v>
      </c>
      <c r="J5312" s="1">
        <v>0.02</v>
      </c>
      <c r="K5312" s="1">
        <v>5.2</v>
      </c>
      <c r="L5312" s="42">
        <v>7</v>
      </c>
      <c r="M5312" s="237">
        <v>46280</v>
      </c>
      <c r="N5312" s="1" t="e">
        <f>VLOOKUP(B5312,MICRO!E:L,8,0)</f>
        <v>#N/A</v>
      </c>
    </row>
    <row r="5313" spans="1:14" ht="20.25" x14ac:dyDescent="0.25">
      <c r="A5313" s="1">
        <v>30</v>
      </c>
      <c r="B5313" s="159"/>
      <c r="C5313" s="1" t="s">
        <v>3315</v>
      </c>
      <c r="D5313" s="1"/>
      <c r="E5313" s="1"/>
      <c r="F5313" s="1" t="s">
        <v>5773</v>
      </c>
      <c r="G5313" s="1">
        <v>216</v>
      </c>
      <c r="H5313" s="1" t="s">
        <v>19</v>
      </c>
      <c r="I5313" s="1" t="s">
        <v>3034</v>
      </c>
      <c r="J5313" s="1">
        <v>0.05</v>
      </c>
      <c r="K5313" s="1">
        <v>10.8</v>
      </c>
      <c r="L5313" s="42">
        <v>7</v>
      </c>
      <c r="M5313" s="237">
        <v>46280</v>
      </c>
      <c r="N5313" s="1" t="e">
        <f>VLOOKUP(B5313,MICRO!E:L,8,0)</f>
        <v>#N/A</v>
      </c>
    </row>
    <row r="5314" spans="1:14" ht="20.25" x14ac:dyDescent="0.25">
      <c r="A5314" s="1">
        <v>31</v>
      </c>
      <c r="B5314" s="159"/>
      <c r="C5314" s="1" t="s">
        <v>3315</v>
      </c>
      <c r="D5314" s="1"/>
      <c r="E5314" s="1"/>
      <c r="F5314" s="1" t="s">
        <v>5774</v>
      </c>
      <c r="G5314" s="1">
        <v>296</v>
      </c>
      <c r="H5314" s="1" t="s">
        <v>19</v>
      </c>
      <c r="I5314" s="1" t="s">
        <v>3034</v>
      </c>
      <c r="J5314" s="1">
        <v>0.02</v>
      </c>
      <c r="K5314" s="1">
        <v>5.92</v>
      </c>
      <c r="L5314" s="42">
        <v>7</v>
      </c>
      <c r="M5314" s="237">
        <v>46280</v>
      </c>
      <c r="N5314" s="1" t="e">
        <f>VLOOKUP(B5314,MICRO!E:L,8,0)</f>
        <v>#N/A</v>
      </c>
    </row>
    <row r="5315" spans="1:14" ht="20.25" x14ac:dyDescent="0.25">
      <c r="A5315" s="1">
        <v>32</v>
      </c>
      <c r="B5315" s="159"/>
      <c r="C5315" s="1" t="s">
        <v>3315</v>
      </c>
      <c r="D5315" s="1"/>
      <c r="E5315" s="1"/>
      <c r="F5315" s="1" t="s">
        <v>5775</v>
      </c>
      <c r="G5315" s="1">
        <v>296</v>
      </c>
      <c r="H5315" s="1" t="s">
        <v>19</v>
      </c>
      <c r="I5315" s="1" t="s">
        <v>3034</v>
      </c>
      <c r="J5315" s="1">
        <v>0.01</v>
      </c>
      <c r="K5315" s="1">
        <v>2.96</v>
      </c>
      <c r="L5315" s="42">
        <v>7</v>
      </c>
      <c r="M5315" s="237">
        <v>46280</v>
      </c>
      <c r="N5315" s="1" t="e">
        <f>VLOOKUP(B5315,MICRO!E:L,8,0)</f>
        <v>#N/A</v>
      </c>
    </row>
    <row r="5316" spans="1:14" ht="20.25" x14ac:dyDescent="0.25">
      <c r="A5316" s="1">
        <v>33</v>
      </c>
      <c r="B5316" s="159"/>
      <c r="C5316" s="1" t="s">
        <v>3315</v>
      </c>
      <c r="D5316" s="1"/>
      <c r="E5316" s="1"/>
      <c r="F5316" s="1" t="s">
        <v>5776</v>
      </c>
      <c r="G5316" s="1">
        <v>416</v>
      </c>
      <c r="H5316" s="1" t="s">
        <v>19</v>
      </c>
      <c r="I5316" s="1" t="s">
        <v>3034</v>
      </c>
      <c r="J5316" s="1">
        <v>0.05</v>
      </c>
      <c r="K5316" s="1">
        <v>20.8</v>
      </c>
      <c r="L5316" s="42">
        <v>7</v>
      </c>
      <c r="M5316" s="237">
        <v>46280</v>
      </c>
      <c r="N5316" s="1" t="e">
        <f>VLOOKUP(B5316,MICRO!E:L,8,0)</f>
        <v>#N/A</v>
      </c>
    </row>
    <row r="5317" spans="1:14" ht="20.25" x14ac:dyDescent="0.25">
      <c r="A5317" s="1">
        <v>34</v>
      </c>
      <c r="B5317" s="159"/>
      <c r="C5317" s="1" t="s">
        <v>3315</v>
      </c>
      <c r="D5317" s="1"/>
      <c r="E5317" s="1"/>
      <c r="F5317" s="1" t="s">
        <v>5777</v>
      </c>
      <c r="G5317" s="1">
        <v>80</v>
      </c>
      <c r="H5317" s="1" t="s">
        <v>19</v>
      </c>
      <c r="I5317" s="1" t="s">
        <v>3034</v>
      </c>
      <c r="J5317" s="1">
        <v>0.05</v>
      </c>
      <c r="K5317" s="1">
        <v>4</v>
      </c>
      <c r="L5317" s="42">
        <v>7</v>
      </c>
      <c r="M5317" s="237">
        <v>46280</v>
      </c>
      <c r="N5317" s="1" t="e">
        <f>VLOOKUP(B5317,MICRO!E:L,8,0)</f>
        <v>#N/A</v>
      </c>
    </row>
    <row r="5318" spans="1:14" ht="20.25" x14ac:dyDescent="0.25">
      <c r="A5318" s="1">
        <v>35</v>
      </c>
      <c r="B5318" s="159"/>
      <c r="C5318" s="1" t="s">
        <v>3729</v>
      </c>
      <c r="D5318" s="1"/>
      <c r="E5318" s="1"/>
      <c r="F5318" s="1" t="s">
        <v>5778</v>
      </c>
      <c r="G5318" s="1">
        <v>32</v>
      </c>
      <c r="H5318" s="1" t="s">
        <v>19</v>
      </c>
      <c r="I5318" s="1" t="s">
        <v>3045</v>
      </c>
      <c r="J5318" s="1">
        <v>0.05</v>
      </c>
      <c r="K5318" s="1">
        <v>1.6</v>
      </c>
      <c r="L5318" s="42">
        <v>7</v>
      </c>
      <c r="M5318" s="237">
        <v>46280</v>
      </c>
      <c r="N5318" s="1" t="e">
        <f>VLOOKUP(B5318,MICRO!E:L,8,0)</f>
        <v>#N/A</v>
      </c>
    </row>
    <row r="5319" spans="1:14" ht="20.25" x14ac:dyDescent="0.25">
      <c r="A5319" s="1">
        <v>36</v>
      </c>
      <c r="B5319" s="159"/>
      <c r="C5319" s="1" t="s">
        <v>3729</v>
      </c>
      <c r="D5319" s="1"/>
      <c r="E5319" s="1"/>
      <c r="F5319" s="1" t="s">
        <v>5779</v>
      </c>
      <c r="G5319" s="1">
        <v>32</v>
      </c>
      <c r="H5319" s="1" t="s">
        <v>19</v>
      </c>
      <c r="I5319" s="1" t="s">
        <v>3045</v>
      </c>
      <c r="J5319" s="1">
        <v>0.02</v>
      </c>
      <c r="K5319" s="1">
        <v>0.64</v>
      </c>
      <c r="L5319" s="42">
        <v>7</v>
      </c>
      <c r="M5319" s="237">
        <v>46280</v>
      </c>
      <c r="N5319" s="1" t="e">
        <f>VLOOKUP(B5319,MICRO!E:L,8,0)</f>
        <v>#N/A</v>
      </c>
    </row>
    <row r="5320" spans="1:14" ht="20.25" x14ac:dyDescent="0.25">
      <c r="A5320" s="1">
        <v>37</v>
      </c>
      <c r="B5320" s="159"/>
      <c r="C5320" s="1" t="s">
        <v>3729</v>
      </c>
      <c r="D5320" s="1"/>
      <c r="E5320" s="1"/>
      <c r="F5320" s="1" t="s">
        <v>5780</v>
      </c>
      <c r="G5320" s="1">
        <v>32</v>
      </c>
      <c r="H5320" s="1" t="s">
        <v>19</v>
      </c>
      <c r="I5320" s="1" t="s">
        <v>3045</v>
      </c>
      <c r="J5320" s="1">
        <v>0.01</v>
      </c>
      <c r="K5320" s="1">
        <v>0.32</v>
      </c>
      <c r="L5320" s="42">
        <v>7</v>
      </c>
      <c r="M5320" s="237">
        <v>46280</v>
      </c>
      <c r="N5320" s="1" t="e">
        <f>VLOOKUP(B5320,MICRO!E:L,8,0)</f>
        <v>#N/A</v>
      </c>
    </row>
    <row r="5321" spans="1:14" ht="20.25" x14ac:dyDescent="0.25">
      <c r="A5321" s="1">
        <v>38</v>
      </c>
      <c r="B5321" s="159"/>
      <c r="C5321" s="1" t="s">
        <v>3729</v>
      </c>
      <c r="D5321" s="1"/>
      <c r="E5321" s="1"/>
      <c r="F5321" s="1" t="s">
        <v>5781</v>
      </c>
      <c r="G5321" s="1">
        <v>16</v>
      </c>
      <c r="H5321" s="1" t="s">
        <v>19</v>
      </c>
      <c r="I5321" s="1" t="s">
        <v>3045</v>
      </c>
      <c r="J5321" s="1">
        <v>0.05</v>
      </c>
      <c r="K5321" s="1">
        <v>0.8</v>
      </c>
      <c r="L5321" s="42">
        <v>7</v>
      </c>
      <c r="M5321" s="237">
        <v>46280</v>
      </c>
      <c r="N5321" s="1" t="e">
        <f>VLOOKUP(B5321,MICRO!E:L,8,0)</f>
        <v>#N/A</v>
      </c>
    </row>
    <row r="5322" spans="1:14" ht="20.25" x14ac:dyDescent="0.25">
      <c r="A5322" s="1">
        <v>39</v>
      </c>
      <c r="B5322" s="159"/>
      <c r="C5322" s="1" t="s">
        <v>3729</v>
      </c>
      <c r="D5322" s="1"/>
      <c r="E5322" s="1"/>
      <c r="F5322" s="1" t="s">
        <v>5782</v>
      </c>
      <c r="G5322" s="1">
        <v>16</v>
      </c>
      <c r="H5322" s="1" t="s">
        <v>19</v>
      </c>
      <c r="I5322" s="1" t="s">
        <v>3045</v>
      </c>
      <c r="J5322" s="1">
        <v>0.02</v>
      </c>
      <c r="K5322" s="1">
        <v>0.32</v>
      </c>
      <c r="L5322" s="42">
        <v>7</v>
      </c>
      <c r="M5322" s="237">
        <v>46280</v>
      </c>
      <c r="N5322" s="1" t="e">
        <f>VLOOKUP(B5322,MICRO!E:L,8,0)</f>
        <v>#N/A</v>
      </c>
    </row>
    <row r="5323" spans="1:14" ht="20.25" x14ac:dyDescent="0.25">
      <c r="A5323" s="1">
        <v>40</v>
      </c>
      <c r="B5323" s="159"/>
      <c r="C5323" s="1" t="s">
        <v>3729</v>
      </c>
      <c r="D5323" s="1"/>
      <c r="E5323" s="1"/>
      <c r="F5323" s="1" t="s">
        <v>5783</v>
      </c>
      <c r="G5323" s="1">
        <v>16</v>
      </c>
      <c r="H5323" s="1" t="s">
        <v>19</v>
      </c>
      <c r="I5323" s="1" t="s">
        <v>3045</v>
      </c>
      <c r="J5323" s="1">
        <v>0.01</v>
      </c>
      <c r="K5323" s="1">
        <v>0.16</v>
      </c>
      <c r="L5323" s="42">
        <v>7</v>
      </c>
      <c r="M5323" s="237">
        <v>46280</v>
      </c>
      <c r="N5323" s="1" t="e">
        <f>VLOOKUP(B5323,MICRO!E:L,8,0)</f>
        <v>#N/A</v>
      </c>
    </row>
    <row r="5324" spans="1:14" ht="20.25" x14ac:dyDescent="0.25">
      <c r="A5324" s="1">
        <v>41</v>
      </c>
      <c r="B5324" s="159"/>
      <c r="C5324" s="1" t="s">
        <v>3729</v>
      </c>
      <c r="D5324" s="1"/>
      <c r="E5324" s="1"/>
      <c r="F5324" s="1" t="s">
        <v>5784</v>
      </c>
      <c r="G5324" s="1">
        <v>4</v>
      </c>
      <c r="H5324" s="1" t="s">
        <v>19</v>
      </c>
      <c r="I5324" s="1" t="s">
        <v>3045</v>
      </c>
      <c r="J5324" s="1">
        <v>0.02</v>
      </c>
      <c r="K5324" s="1">
        <v>0.08</v>
      </c>
      <c r="L5324" s="42">
        <v>7</v>
      </c>
      <c r="M5324" s="237">
        <v>46280</v>
      </c>
      <c r="N5324" s="1" t="e">
        <f>VLOOKUP(B5324,MICRO!E:L,8,0)</f>
        <v>#N/A</v>
      </c>
    </row>
    <row r="5325" spans="1:14" ht="20.25" x14ac:dyDescent="0.25">
      <c r="A5325" s="1">
        <v>42</v>
      </c>
      <c r="B5325" s="159"/>
      <c r="C5325" s="1" t="s">
        <v>3729</v>
      </c>
      <c r="D5325" s="1"/>
      <c r="E5325" s="1"/>
      <c r="F5325" s="1" t="s">
        <v>5785</v>
      </c>
      <c r="G5325" s="1">
        <v>4</v>
      </c>
      <c r="H5325" s="1" t="s">
        <v>19</v>
      </c>
      <c r="I5325" s="1" t="s">
        <v>3045</v>
      </c>
      <c r="J5325" s="1">
        <v>0.05</v>
      </c>
      <c r="K5325" s="1">
        <v>0.2</v>
      </c>
      <c r="L5325" s="42">
        <v>7</v>
      </c>
      <c r="M5325" s="237">
        <v>46280</v>
      </c>
      <c r="N5325" s="1" t="e">
        <f>VLOOKUP(B5325,MICRO!E:L,8,0)</f>
        <v>#N/A</v>
      </c>
    </row>
    <row r="5326" spans="1:14" ht="20.25" x14ac:dyDescent="0.25">
      <c r="A5326" s="1">
        <v>43</v>
      </c>
      <c r="B5326" s="159"/>
      <c r="C5326" s="1" t="s">
        <v>5786</v>
      </c>
      <c r="D5326" s="1"/>
      <c r="E5326" s="1"/>
      <c r="F5326" s="1" t="s">
        <v>5787</v>
      </c>
      <c r="G5326" s="1">
        <v>58</v>
      </c>
      <c r="H5326" s="1" t="s">
        <v>19</v>
      </c>
      <c r="I5326" s="1" t="s">
        <v>3045</v>
      </c>
      <c r="J5326" s="1">
        <v>0.05</v>
      </c>
      <c r="K5326" s="1">
        <v>2.9000000000000004</v>
      </c>
      <c r="L5326" s="42">
        <v>7</v>
      </c>
      <c r="M5326" s="237">
        <v>46280</v>
      </c>
      <c r="N5326" s="1" t="e">
        <f>VLOOKUP(B5326,MICRO!E:L,8,0)</f>
        <v>#N/A</v>
      </c>
    </row>
    <row r="5327" spans="1:14" ht="20.25" x14ac:dyDescent="0.25">
      <c r="A5327" s="1">
        <v>44</v>
      </c>
      <c r="B5327" s="159"/>
      <c r="C5327" s="1" t="s">
        <v>5786</v>
      </c>
      <c r="D5327" s="1"/>
      <c r="E5327" s="1"/>
      <c r="F5327" s="1" t="s">
        <v>5788</v>
      </c>
      <c r="G5327" s="1">
        <v>58</v>
      </c>
      <c r="H5327" s="1" t="s">
        <v>19</v>
      </c>
      <c r="I5327" s="1" t="s">
        <v>3045</v>
      </c>
      <c r="J5327" s="1">
        <v>0.02</v>
      </c>
      <c r="K5327" s="1">
        <v>1.1599999999999999</v>
      </c>
      <c r="L5327" s="42">
        <v>7</v>
      </c>
      <c r="M5327" s="237">
        <v>46280</v>
      </c>
      <c r="N5327" s="1" t="e">
        <f>VLOOKUP(B5327,MICRO!E:L,8,0)</f>
        <v>#N/A</v>
      </c>
    </row>
    <row r="5328" spans="1:14" ht="20.25" x14ac:dyDescent="0.25">
      <c r="A5328" s="1">
        <v>45</v>
      </c>
      <c r="B5328" s="159"/>
      <c r="C5328" s="1" t="s">
        <v>5786</v>
      </c>
      <c r="D5328" s="1"/>
      <c r="E5328" s="1"/>
      <c r="F5328" s="1" t="s">
        <v>5789</v>
      </c>
      <c r="G5328" s="1">
        <v>58</v>
      </c>
      <c r="H5328" s="1" t="s">
        <v>19</v>
      </c>
      <c r="I5328" s="1" t="s">
        <v>3045</v>
      </c>
      <c r="J5328" s="1">
        <v>0.01</v>
      </c>
      <c r="K5328" s="1">
        <v>0.57999999999999996</v>
      </c>
      <c r="L5328" s="42">
        <v>7</v>
      </c>
      <c r="M5328" s="237">
        <v>46280</v>
      </c>
      <c r="N5328" s="1" t="e">
        <f>VLOOKUP(B5328,MICRO!E:L,8,0)</f>
        <v>#N/A</v>
      </c>
    </row>
    <row r="5329" spans="1:14" ht="20.25" x14ac:dyDescent="0.25">
      <c r="A5329" s="1">
        <v>46</v>
      </c>
      <c r="B5329" s="159"/>
      <c r="C5329" s="1" t="s">
        <v>5786</v>
      </c>
      <c r="D5329" s="1"/>
      <c r="E5329" s="1"/>
      <c r="F5329" s="1" t="s">
        <v>5790</v>
      </c>
      <c r="G5329" s="1">
        <v>60</v>
      </c>
      <c r="H5329" s="1" t="s">
        <v>19</v>
      </c>
      <c r="I5329" s="1" t="s">
        <v>3045</v>
      </c>
      <c r="J5329" s="1">
        <v>0.05</v>
      </c>
      <c r="K5329" s="1">
        <v>3</v>
      </c>
      <c r="L5329" s="42">
        <v>7</v>
      </c>
      <c r="M5329" s="237">
        <v>46280</v>
      </c>
      <c r="N5329" s="1" t="e">
        <f>VLOOKUP(B5329,MICRO!E:L,8,0)</f>
        <v>#N/A</v>
      </c>
    </row>
    <row r="5330" spans="1:14" ht="20.25" x14ac:dyDescent="0.25">
      <c r="A5330" s="1">
        <v>47</v>
      </c>
      <c r="B5330" s="159"/>
      <c r="C5330" s="1" t="s">
        <v>5786</v>
      </c>
      <c r="D5330" s="1"/>
      <c r="E5330" s="1"/>
      <c r="F5330" s="1" t="s">
        <v>5791</v>
      </c>
      <c r="G5330" s="1">
        <v>60</v>
      </c>
      <c r="H5330" s="1" t="s">
        <v>19</v>
      </c>
      <c r="I5330" s="1" t="s">
        <v>3045</v>
      </c>
      <c r="J5330" s="1">
        <v>0.02</v>
      </c>
      <c r="K5330" s="1">
        <v>1.2</v>
      </c>
      <c r="L5330" s="42">
        <v>7</v>
      </c>
      <c r="M5330" s="237">
        <v>46280</v>
      </c>
      <c r="N5330" s="1" t="e">
        <f>VLOOKUP(B5330,MICRO!E:L,8,0)</f>
        <v>#N/A</v>
      </c>
    </row>
    <row r="5331" spans="1:14" ht="20.25" x14ac:dyDescent="0.25">
      <c r="A5331" s="1">
        <v>48</v>
      </c>
      <c r="B5331" s="159"/>
      <c r="C5331" s="1" t="s">
        <v>5786</v>
      </c>
      <c r="D5331" s="1"/>
      <c r="E5331" s="1"/>
      <c r="F5331" s="1" t="s">
        <v>5792</v>
      </c>
      <c r="G5331" s="1">
        <v>60</v>
      </c>
      <c r="H5331" s="1" t="s">
        <v>19</v>
      </c>
      <c r="I5331" s="1" t="s">
        <v>3045</v>
      </c>
      <c r="J5331" s="1">
        <v>0.01</v>
      </c>
      <c r="K5331" s="1">
        <v>0.6</v>
      </c>
      <c r="L5331" s="42">
        <v>7</v>
      </c>
      <c r="M5331" s="237">
        <v>46280</v>
      </c>
      <c r="N5331" s="1" t="e">
        <f>VLOOKUP(B5331,MICRO!E:L,8,0)</f>
        <v>#N/A</v>
      </c>
    </row>
    <row r="5332" spans="1:14" ht="20.25" x14ac:dyDescent="0.25">
      <c r="A5332" s="1">
        <v>49</v>
      </c>
      <c r="B5332" s="159"/>
      <c r="C5332" s="1" t="s">
        <v>4310</v>
      </c>
      <c r="D5332" s="1"/>
      <c r="E5332" s="1"/>
      <c r="F5332" s="1" t="s">
        <v>5793</v>
      </c>
      <c r="G5332" s="1">
        <v>34</v>
      </c>
      <c r="H5332" s="1" t="s">
        <v>19</v>
      </c>
      <c r="I5332" s="1" t="s">
        <v>3045</v>
      </c>
      <c r="J5332" s="1">
        <v>0.05</v>
      </c>
      <c r="K5332" s="1">
        <v>1.7000000000000002</v>
      </c>
      <c r="L5332" s="42">
        <v>7</v>
      </c>
      <c r="M5332" s="237">
        <v>46280</v>
      </c>
      <c r="N5332" s="1" t="e">
        <f>VLOOKUP(B5332,MICRO!E:L,8,0)</f>
        <v>#N/A</v>
      </c>
    </row>
    <row r="5333" spans="1:14" ht="20.25" x14ac:dyDescent="0.25">
      <c r="A5333" s="1">
        <v>50</v>
      </c>
      <c r="B5333" s="159"/>
      <c r="C5333" s="1" t="s">
        <v>4310</v>
      </c>
      <c r="D5333" s="1"/>
      <c r="E5333" s="1"/>
      <c r="F5333" s="1" t="s">
        <v>5794</v>
      </c>
      <c r="G5333" s="1">
        <v>34</v>
      </c>
      <c r="H5333" s="1" t="s">
        <v>19</v>
      </c>
      <c r="I5333" s="1" t="s">
        <v>3045</v>
      </c>
      <c r="J5333" s="1">
        <v>0.02</v>
      </c>
      <c r="K5333" s="1">
        <v>0.68</v>
      </c>
      <c r="L5333" s="42">
        <v>7</v>
      </c>
      <c r="M5333" s="237">
        <v>46280</v>
      </c>
      <c r="N5333" s="1" t="e">
        <f>VLOOKUP(B5333,MICRO!E:L,8,0)</f>
        <v>#N/A</v>
      </c>
    </row>
    <row r="5334" spans="1:14" ht="20.25" x14ac:dyDescent="0.25">
      <c r="A5334" s="1">
        <v>51</v>
      </c>
      <c r="B5334" s="159"/>
      <c r="C5334" s="1" t="s">
        <v>4310</v>
      </c>
      <c r="D5334" s="1"/>
      <c r="E5334" s="1"/>
      <c r="F5334" s="1" t="s">
        <v>5795</v>
      </c>
      <c r="G5334" s="1">
        <v>34</v>
      </c>
      <c r="H5334" s="1" t="s">
        <v>19</v>
      </c>
      <c r="I5334" s="1" t="s">
        <v>3045</v>
      </c>
      <c r="J5334" s="1">
        <v>0.01</v>
      </c>
      <c r="K5334" s="1">
        <v>0.34</v>
      </c>
      <c r="L5334" s="42">
        <v>7</v>
      </c>
      <c r="M5334" s="237">
        <v>46280</v>
      </c>
      <c r="N5334" s="1" t="e">
        <f>VLOOKUP(B5334,MICRO!E:L,8,0)</f>
        <v>#N/A</v>
      </c>
    </row>
    <row r="5335" spans="1:14" ht="20.25" x14ac:dyDescent="0.25">
      <c r="A5335" s="1">
        <v>52</v>
      </c>
      <c r="B5335" s="159"/>
      <c r="C5335" s="1" t="s">
        <v>5796</v>
      </c>
      <c r="D5335" s="1"/>
      <c r="E5335" s="1"/>
      <c r="F5335" s="1" t="s">
        <v>5797</v>
      </c>
      <c r="G5335" s="1">
        <v>174</v>
      </c>
      <c r="H5335" s="1" t="s">
        <v>19</v>
      </c>
      <c r="I5335" s="1" t="s">
        <v>3034</v>
      </c>
      <c r="J5335" s="1">
        <v>0.05</v>
      </c>
      <c r="K5335" s="1">
        <v>8.7000000000000011</v>
      </c>
      <c r="L5335" s="42">
        <v>7</v>
      </c>
      <c r="M5335" s="237">
        <v>46280</v>
      </c>
      <c r="N5335" s="1" t="e">
        <f>VLOOKUP(B5335,MICRO!E:L,8,0)</f>
        <v>#N/A</v>
      </c>
    </row>
    <row r="5336" spans="1:14" ht="20.25" x14ac:dyDescent="0.25">
      <c r="A5336" s="1">
        <v>53</v>
      </c>
      <c r="B5336" s="159"/>
      <c r="C5336" s="1" t="s">
        <v>5796</v>
      </c>
      <c r="D5336" s="1"/>
      <c r="E5336" s="1"/>
      <c r="F5336" s="1" t="s">
        <v>5798</v>
      </c>
      <c r="G5336" s="1">
        <v>174</v>
      </c>
      <c r="H5336" s="1" t="s">
        <v>19</v>
      </c>
      <c r="I5336" s="1" t="s">
        <v>3034</v>
      </c>
      <c r="J5336" s="1">
        <v>0.02</v>
      </c>
      <c r="K5336" s="1">
        <v>3.48</v>
      </c>
      <c r="L5336" s="42">
        <v>7</v>
      </c>
      <c r="M5336" s="237">
        <v>46280</v>
      </c>
      <c r="N5336" s="1" t="e">
        <f>VLOOKUP(B5336,MICRO!E:L,8,0)</f>
        <v>#N/A</v>
      </c>
    </row>
    <row r="5337" spans="1:14" ht="20.25" x14ac:dyDescent="0.25">
      <c r="A5337" s="1">
        <v>54</v>
      </c>
      <c r="B5337" s="159"/>
      <c r="C5337" s="1" t="s">
        <v>5796</v>
      </c>
      <c r="D5337" s="1"/>
      <c r="E5337" s="1"/>
      <c r="F5337" s="1" t="s">
        <v>5799</v>
      </c>
      <c r="G5337" s="1">
        <v>174</v>
      </c>
      <c r="H5337" s="1" t="s">
        <v>19</v>
      </c>
      <c r="I5337" s="1" t="s">
        <v>3034</v>
      </c>
      <c r="J5337" s="1">
        <v>0.01</v>
      </c>
      <c r="K5337" s="1">
        <v>1.74</v>
      </c>
      <c r="L5337" s="42">
        <v>7</v>
      </c>
      <c r="M5337" s="237">
        <v>46280</v>
      </c>
      <c r="N5337" s="1" t="e">
        <f>VLOOKUP(B5337,MICRO!E:L,8,0)</f>
        <v>#N/A</v>
      </c>
    </row>
    <row r="5338" spans="1:14" ht="20.25" x14ac:dyDescent="0.25">
      <c r="A5338" s="1">
        <v>55</v>
      </c>
      <c r="B5338" s="159"/>
      <c r="C5338" s="1" t="s">
        <v>4939</v>
      </c>
      <c r="D5338" s="1"/>
      <c r="E5338" s="1"/>
      <c r="F5338" s="1" t="s">
        <v>5800</v>
      </c>
      <c r="G5338" s="1">
        <v>24</v>
      </c>
      <c r="H5338" s="1" t="s">
        <v>19</v>
      </c>
      <c r="I5338" s="1" t="s">
        <v>3093</v>
      </c>
      <c r="J5338" s="1">
        <v>0.05</v>
      </c>
      <c r="K5338" s="1">
        <v>1.2000000000000002</v>
      </c>
      <c r="L5338" s="42">
        <v>7</v>
      </c>
      <c r="M5338" s="237">
        <v>46280</v>
      </c>
      <c r="N5338" s="1" t="e">
        <f>VLOOKUP(B5338,MICRO!E:L,8,0)</f>
        <v>#N/A</v>
      </c>
    </row>
    <row r="5339" spans="1:14" ht="20.25" x14ac:dyDescent="0.25">
      <c r="A5339" s="1">
        <v>56</v>
      </c>
      <c r="B5339" s="159"/>
      <c r="C5339" s="1" t="s">
        <v>4939</v>
      </c>
      <c r="D5339" s="1"/>
      <c r="E5339" s="1"/>
      <c r="F5339" s="1" t="s">
        <v>5801</v>
      </c>
      <c r="G5339" s="1">
        <v>24</v>
      </c>
      <c r="H5339" s="1" t="s">
        <v>19</v>
      </c>
      <c r="I5339" s="1" t="s">
        <v>3093</v>
      </c>
      <c r="J5339" s="1">
        <v>0.02</v>
      </c>
      <c r="K5339" s="1">
        <v>0.48</v>
      </c>
      <c r="L5339" s="42">
        <v>7</v>
      </c>
      <c r="M5339" s="237">
        <v>46280</v>
      </c>
      <c r="N5339" s="1" t="e">
        <f>VLOOKUP(B5339,MICRO!E:L,8,0)</f>
        <v>#N/A</v>
      </c>
    </row>
    <row r="5340" spans="1:14" ht="20.25" x14ac:dyDescent="0.25">
      <c r="A5340" s="1">
        <v>57</v>
      </c>
      <c r="B5340" s="159"/>
      <c r="C5340" s="1" t="s">
        <v>4939</v>
      </c>
      <c r="D5340" s="1"/>
      <c r="E5340" s="1"/>
      <c r="F5340" s="1" t="s">
        <v>5802</v>
      </c>
      <c r="G5340" s="1">
        <v>24</v>
      </c>
      <c r="H5340" s="1" t="s">
        <v>19</v>
      </c>
      <c r="I5340" s="1" t="s">
        <v>3093</v>
      </c>
      <c r="J5340" s="1">
        <v>0.01</v>
      </c>
      <c r="K5340" s="1">
        <v>0.24</v>
      </c>
      <c r="L5340" s="42">
        <v>7</v>
      </c>
      <c r="M5340" s="237">
        <v>46280</v>
      </c>
      <c r="N5340" s="1" t="e">
        <f>VLOOKUP(B5340,MICRO!E:L,8,0)</f>
        <v>#N/A</v>
      </c>
    </row>
    <row r="5341" spans="1:14" ht="20.25" x14ac:dyDescent="0.25">
      <c r="A5341" s="1">
        <v>58</v>
      </c>
      <c r="B5341" s="159"/>
      <c r="C5341" s="1" t="s">
        <v>4939</v>
      </c>
      <c r="D5341" s="1"/>
      <c r="E5341" s="1"/>
      <c r="F5341" s="1" t="s">
        <v>5803</v>
      </c>
      <c r="G5341" s="1">
        <v>16</v>
      </c>
      <c r="H5341" s="1" t="s">
        <v>19</v>
      </c>
      <c r="I5341" s="1" t="s">
        <v>3093</v>
      </c>
      <c r="J5341" s="1">
        <v>0.05</v>
      </c>
      <c r="K5341" s="1">
        <v>0.8</v>
      </c>
      <c r="L5341" s="42">
        <v>7</v>
      </c>
      <c r="M5341" s="237">
        <v>46280</v>
      </c>
      <c r="N5341" s="1" t="e">
        <f>VLOOKUP(B5341,MICRO!E:L,8,0)</f>
        <v>#N/A</v>
      </c>
    </row>
    <row r="5342" spans="1:14" ht="20.25" x14ac:dyDescent="0.25">
      <c r="A5342" s="1">
        <v>59</v>
      </c>
      <c r="B5342" s="159"/>
      <c r="C5342" s="1" t="s">
        <v>4939</v>
      </c>
      <c r="D5342" s="1"/>
      <c r="E5342" s="1"/>
      <c r="F5342" s="1" t="s">
        <v>5804</v>
      </c>
      <c r="G5342" s="1">
        <v>16</v>
      </c>
      <c r="H5342" s="1" t="s">
        <v>19</v>
      </c>
      <c r="I5342" s="1" t="s">
        <v>3093</v>
      </c>
      <c r="J5342" s="1">
        <v>0.02</v>
      </c>
      <c r="K5342" s="1">
        <v>0.32</v>
      </c>
      <c r="L5342" s="42">
        <v>7</v>
      </c>
      <c r="M5342" s="237">
        <v>46280</v>
      </c>
      <c r="N5342" s="1" t="e">
        <f>VLOOKUP(B5342,MICRO!E:L,8,0)</f>
        <v>#N/A</v>
      </c>
    </row>
    <row r="5343" spans="1:14" ht="20.25" x14ac:dyDescent="0.25">
      <c r="A5343" s="1">
        <v>60</v>
      </c>
      <c r="B5343" s="159"/>
      <c r="C5343" s="1" t="s">
        <v>4939</v>
      </c>
      <c r="D5343" s="1"/>
      <c r="E5343" s="1"/>
      <c r="F5343" s="1" t="s">
        <v>5805</v>
      </c>
      <c r="G5343" s="1">
        <v>16</v>
      </c>
      <c r="H5343" s="1" t="s">
        <v>19</v>
      </c>
      <c r="I5343" s="1" t="s">
        <v>3093</v>
      </c>
      <c r="J5343" s="1">
        <v>0.01</v>
      </c>
      <c r="K5343" s="1">
        <v>0.16</v>
      </c>
      <c r="L5343" s="42">
        <v>7</v>
      </c>
      <c r="M5343" s="237">
        <v>46280</v>
      </c>
      <c r="N5343" s="1" t="e">
        <f>VLOOKUP(B5343,MICRO!E:L,8,0)</f>
        <v>#N/A</v>
      </c>
    </row>
    <row r="5344" spans="1:14" ht="20.25" x14ac:dyDescent="0.25">
      <c r="A5344" s="1">
        <v>61</v>
      </c>
      <c r="B5344" s="159"/>
      <c r="C5344" s="1" t="s">
        <v>4944</v>
      </c>
      <c r="D5344" s="1"/>
      <c r="E5344" s="1"/>
      <c r="F5344" s="1" t="s">
        <v>5806</v>
      </c>
      <c r="G5344" s="1">
        <v>16</v>
      </c>
      <c r="H5344" s="1" t="s">
        <v>19</v>
      </c>
      <c r="I5344" s="1" t="s">
        <v>3093</v>
      </c>
      <c r="J5344" s="1">
        <v>0.05</v>
      </c>
      <c r="K5344" s="1">
        <v>0.8</v>
      </c>
      <c r="L5344" s="42">
        <v>7</v>
      </c>
      <c r="M5344" s="237">
        <v>46280</v>
      </c>
      <c r="N5344" s="1" t="e">
        <f>VLOOKUP(B5344,MICRO!E:L,8,0)</f>
        <v>#N/A</v>
      </c>
    </row>
    <row r="5345" spans="1:14" ht="20.25" x14ac:dyDescent="0.25">
      <c r="A5345" s="1">
        <v>62</v>
      </c>
      <c r="B5345" s="159"/>
      <c r="C5345" s="1" t="s">
        <v>4944</v>
      </c>
      <c r="D5345" s="1"/>
      <c r="E5345" s="1"/>
      <c r="F5345" s="1" t="s">
        <v>5807</v>
      </c>
      <c r="G5345" s="1">
        <v>16</v>
      </c>
      <c r="H5345" s="1" t="s">
        <v>19</v>
      </c>
      <c r="I5345" s="1" t="s">
        <v>3093</v>
      </c>
      <c r="J5345" s="1">
        <v>0.01</v>
      </c>
      <c r="K5345" s="1">
        <v>0.16</v>
      </c>
      <c r="L5345" s="42">
        <v>7</v>
      </c>
      <c r="M5345" s="237">
        <v>46280</v>
      </c>
      <c r="N5345" s="1" t="e">
        <f>VLOOKUP(B5345,MICRO!E:L,8,0)</f>
        <v>#N/A</v>
      </c>
    </row>
    <row r="5346" spans="1:14" ht="20.25" x14ac:dyDescent="0.25">
      <c r="A5346" s="1">
        <v>63</v>
      </c>
      <c r="B5346" s="159"/>
      <c r="C5346" s="1" t="s">
        <v>4936</v>
      </c>
      <c r="D5346" s="1"/>
      <c r="E5346" s="1"/>
      <c r="F5346" s="1" t="s">
        <v>5808</v>
      </c>
      <c r="G5346" s="1">
        <v>12</v>
      </c>
      <c r="H5346" s="1" t="s">
        <v>19</v>
      </c>
      <c r="I5346" s="1" t="s">
        <v>3140</v>
      </c>
      <c r="J5346" s="1">
        <v>0.01</v>
      </c>
      <c r="K5346" s="1">
        <v>0.12</v>
      </c>
      <c r="L5346" s="42">
        <v>7</v>
      </c>
      <c r="M5346" s="237">
        <v>46280</v>
      </c>
      <c r="N5346" s="1" t="e">
        <f>VLOOKUP(B5346,MICRO!E:L,8,0)</f>
        <v>#N/A</v>
      </c>
    </row>
    <row r="5347" spans="1:14" ht="20.25" x14ac:dyDescent="0.25">
      <c r="A5347" s="1">
        <v>64</v>
      </c>
      <c r="B5347" s="159"/>
      <c r="C5347" s="1" t="s">
        <v>4936</v>
      </c>
      <c r="D5347" s="1"/>
      <c r="E5347" s="1"/>
      <c r="F5347" s="1" t="s">
        <v>5809</v>
      </c>
      <c r="G5347" s="1">
        <v>12</v>
      </c>
      <c r="H5347" s="1" t="s">
        <v>19</v>
      </c>
      <c r="I5347" s="1" t="s">
        <v>3140</v>
      </c>
      <c r="J5347" s="1">
        <v>0.05</v>
      </c>
      <c r="K5347" s="1">
        <v>0.60000000000000009</v>
      </c>
      <c r="L5347" s="42">
        <v>7</v>
      </c>
      <c r="M5347" s="237">
        <v>46280</v>
      </c>
      <c r="N5347" s="1" t="e">
        <f>VLOOKUP(B5347,MICRO!E:L,8,0)</f>
        <v>#N/A</v>
      </c>
    </row>
    <row r="5348" spans="1:14" ht="20.25" x14ac:dyDescent="0.25">
      <c r="A5348" s="1">
        <v>65</v>
      </c>
      <c r="B5348" s="159"/>
      <c r="C5348" s="1" t="s">
        <v>4936</v>
      </c>
      <c r="D5348" s="1"/>
      <c r="E5348" s="1"/>
      <c r="F5348" s="1" t="s">
        <v>5810</v>
      </c>
      <c r="G5348" s="1">
        <v>12</v>
      </c>
      <c r="H5348" s="1" t="s">
        <v>19</v>
      </c>
      <c r="I5348" s="1" t="s">
        <v>3140</v>
      </c>
      <c r="J5348" s="1">
        <v>0.02</v>
      </c>
      <c r="K5348" s="1">
        <v>0.24</v>
      </c>
      <c r="L5348" s="42">
        <v>7</v>
      </c>
      <c r="M5348" s="237">
        <v>46280</v>
      </c>
      <c r="N5348" s="1" t="e">
        <f>VLOOKUP(B5348,MICRO!E:L,8,0)</f>
        <v>#N/A</v>
      </c>
    </row>
    <row r="5349" spans="1:14" ht="20.25" x14ac:dyDescent="0.25">
      <c r="A5349" s="1">
        <v>66</v>
      </c>
      <c r="B5349" s="159"/>
      <c r="C5349" s="1" t="s">
        <v>4920</v>
      </c>
      <c r="D5349" s="1"/>
      <c r="E5349" s="1"/>
      <c r="F5349" s="1" t="s">
        <v>5811</v>
      </c>
      <c r="G5349" s="1">
        <v>16</v>
      </c>
      <c r="H5349" s="1" t="s">
        <v>19</v>
      </c>
      <c r="I5349" s="1" t="s">
        <v>3093</v>
      </c>
      <c r="J5349" s="1">
        <v>0.05</v>
      </c>
      <c r="K5349" s="1">
        <v>0.8</v>
      </c>
      <c r="L5349" s="42">
        <v>7</v>
      </c>
      <c r="M5349" s="237">
        <v>46280</v>
      </c>
      <c r="N5349" s="1" t="e">
        <f>VLOOKUP(B5349,MICRO!E:L,8,0)</f>
        <v>#N/A</v>
      </c>
    </row>
    <row r="5350" spans="1:14" ht="20.25" x14ac:dyDescent="0.25">
      <c r="A5350" s="1">
        <v>67</v>
      </c>
      <c r="B5350" s="159"/>
      <c r="C5350" s="1" t="s">
        <v>4920</v>
      </c>
      <c r="D5350" s="1"/>
      <c r="E5350" s="1"/>
      <c r="F5350" s="1" t="s">
        <v>5812</v>
      </c>
      <c r="G5350" s="1">
        <v>16</v>
      </c>
      <c r="H5350" s="1" t="s">
        <v>19</v>
      </c>
      <c r="I5350" s="1" t="s">
        <v>3093</v>
      </c>
      <c r="J5350" s="1">
        <v>0.02</v>
      </c>
      <c r="K5350" s="1">
        <v>0.32</v>
      </c>
      <c r="L5350" s="42">
        <v>7</v>
      </c>
      <c r="M5350" s="237">
        <v>46280</v>
      </c>
      <c r="N5350" s="1" t="e">
        <f>VLOOKUP(B5350,MICRO!E:L,8,0)</f>
        <v>#N/A</v>
      </c>
    </row>
    <row r="5351" spans="1:14" ht="20.25" x14ac:dyDescent="0.25">
      <c r="A5351" s="1">
        <v>68</v>
      </c>
      <c r="B5351" s="159"/>
      <c r="C5351" s="1" t="s">
        <v>4920</v>
      </c>
      <c r="D5351" s="1"/>
      <c r="E5351" s="1"/>
      <c r="F5351" s="1" t="s">
        <v>5813</v>
      </c>
      <c r="G5351" s="1">
        <v>16</v>
      </c>
      <c r="H5351" s="1" t="s">
        <v>19</v>
      </c>
      <c r="I5351" s="1" t="s">
        <v>3093</v>
      </c>
      <c r="J5351" s="1">
        <v>0.01</v>
      </c>
      <c r="K5351" s="1">
        <v>0.16</v>
      </c>
      <c r="L5351" s="42">
        <v>7</v>
      </c>
      <c r="M5351" s="237">
        <v>46280</v>
      </c>
      <c r="N5351" s="1" t="e">
        <f>VLOOKUP(B5351,MICRO!E:L,8,0)</f>
        <v>#N/A</v>
      </c>
    </row>
    <row r="5352" spans="1:14" ht="20.25" x14ac:dyDescent="0.25">
      <c r="A5352" s="1">
        <v>69</v>
      </c>
      <c r="B5352" s="159"/>
      <c r="C5352" s="1" t="s">
        <v>5814</v>
      </c>
      <c r="D5352" s="1"/>
      <c r="E5352" s="1"/>
      <c r="F5352" s="1" t="s">
        <v>5815</v>
      </c>
      <c r="G5352" s="1">
        <v>142</v>
      </c>
      <c r="H5352" s="1" t="s">
        <v>19</v>
      </c>
      <c r="I5352" s="1" t="s">
        <v>3093</v>
      </c>
      <c r="J5352" s="1">
        <v>0.05</v>
      </c>
      <c r="K5352" s="1">
        <v>7.1000000000000005</v>
      </c>
      <c r="L5352" s="42">
        <v>7</v>
      </c>
      <c r="M5352" s="237">
        <v>46280</v>
      </c>
      <c r="N5352" s="1" t="e">
        <f>VLOOKUP(B5352,MICRO!E:L,8,0)</f>
        <v>#N/A</v>
      </c>
    </row>
    <row r="5353" spans="1:14" ht="20.25" x14ac:dyDescent="0.25">
      <c r="A5353" s="1">
        <v>70</v>
      </c>
      <c r="B5353" s="159"/>
      <c r="C5353" s="1" t="s">
        <v>5814</v>
      </c>
      <c r="D5353" s="1"/>
      <c r="E5353" s="1"/>
      <c r="F5353" s="1" t="s">
        <v>5816</v>
      </c>
      <c r="G5353" s="1">
        <v>112</v>
      </c>
      <c r="H5353" s="1" t="s">
        <v>19</v>
      </c>
      <c r="I5353" s="1" t="s">
        <v>3093</v>
      </c>
      <c r="J5353" s="1">
        <v>0.01</v>
      </c>
      <c r="K5353" s="1">
        <v>1.1200000000000001</v>
      </c>
      <c r="L5353" s="42">
        <v>7</v>
      </c>
      <c r="M5353" s="237">
        <v>46280</v>
      </c>
      <c r="N5353" s="1" t="e">
        <f>VLOOKUP(B5353,MICRO!E:L,8,0)</f>
        <v>#N/A</v>
      </c>
    </row>
    <row r="5354" spans="1:14" ht="20.25" x14ac:dyDescent="0.25">
      <c r="A5354" s="1">
        <v>71</v>
      </c>
      <c r="B5354" s="159"/>
      <c r="C5354" s="1" t="s">
        <v>4911</v>
      </c>
      <c r="D5354" s="1"/>
      <c r="E5354" s="1"/>
      <c r="F5354" s="1" t="s">
        <v>5817</v>
      </c>
      <c r="G5354" s="1">
        <v>14</v>
      </c>
      <c r="H5354" s="1" t="s">
        <v>19</v>
      </c>
      <c r="I5354" s="1" t="s">
        <v>3093</v>
      </c>
      <c r="J5354" s="1">
        <v>0.02</v>
      </c>
      <c r="K5354" s="1">
        <v>0.28000000000000003</v>
      </c>
      <c r="L5354" s="42">
        <v>7</v>
      </c>
      <c r="M5354" s="237">
        <v>46280</v>
      </c>
      <c r="N5354" s="1" t="e">
        <f>VLOOKUP(B5354,MICRO!E:L,8,0)</f>
        <v>#N/A</v>
      </c>
    </row>
    <row r="5355" spans="1:14" ht="20.25" x14ac:dyDescent="0.25">
      <c r="A5355" s="1">
        <v>72</v>
      </c>
      <c r="B5355" s="159"/>
      <c r="C5355" s="1" t="s">
        <v>4911</v>
      </c>
      <c r="D5355" s="1"/>
      <c r="E5355" s="1"/>
      <c r="F5355" s="1" t="s">
        <v>5818</v>
      </c>
      <c r="G5355" s="1">
        <v>14</v>
      </c>
      <c r="H5355" s="1" t="s">
        <v>19</v>
      </c>
      <c r="I5355" s="1" t="s">
        <v>3093</v>
      </c>
      <c r="J5355" s="1">
        <v>0.01</v>
      </c>
      <c r="K5355" s="1">
        <v>0.14000000000000001</v>
      </c>
      <c r="L5355" s="42">
        <v>7</v>
      </c>
      <c r="M5355" s="237">
        <v>46280</v>
      </c>
      <c r="N5355" s="1" t="e">
        <f>VLOOKUP(B5355,MICRO!E:L,8,0)</f>
        <v>#N/A</v>
      </c>
    </row>
    <row r="5356" spans="1:14" ht="20.25" x14ac:dyDescent="0.25">
      <c r="A5356" s="1">
        <v>73</v>
      </c>
      <c r="B5356" s="159"/>
      <c r="C5356" s="1" t="s">
        <v>4911</v>
      </c>
      <c r="D5356" s="1"/>
      <c r="E5356" s="1"/>
      <c r="F5356" s="1" t="s">
        <v>5819</v>
      </c>
      <c r="G5356" s="1">
        <v>56</v>
      </c>
      <c r="H5356" s="1" t="s">
        <v>19</v>
      </c>
      <c r="I5356" s="1" t="s">
        <v>3093</v>
      </c>
      <c r="J5356" s="1">
        <v>0.02</v>
      </c>
      <c r="K5356" s="1">
        <v>1.1200000000000001</v>
      </c>
      <c r="L5356" s="42">
        <v>7</v>
      </c>
      <c r="M5356" s="237">
        <v>46280</v>
      </c>
      <c r="N5356" s="1" t="e">
        <f>VLOOKUP(B5356,MICRO!E:L,8,0)</f>
        <v>#N/A</v>
      </c>
    </row>
    <row r="5357" spans="1:14" ht="20.25" x14ac:dyDescent="0.25">
      <c r="A5357" s="1">
        <v>74</v>
      </c>
      <c r="B5357" s="159"/>
      <c r="C5357" s="1" t="s">
        <v>4911</v>
      </c>
      <c r="D5357" s="1"/>
      <c r="E5357" s="1"/>
      <c r="F5357" s="1" t="s">
        <v>5820</v>
      </c>
      <c r="G5357" s="1">
        <v>56</v>
      </c>
      <c r="H5357" s="1" t="s">
        <v>19</v>
      </c>
      <c r="I5357" s="1" t="s">
        <v>3093</v>
      </c>
      <c r="J5357" s="1">
        <v>0.01</v>
      </c>
      <c r="K5357" s="1">
        <v>0.56000000000000005</v>
      </c>
      <c r="L5357" s="42">
        <v>7</v>
      </c>
      <c r="M5357" s="237">
        <v>46280</v>
      </c>
      <c r="N5357" s="1" t="e">
        <f>VLOOKUP(B5357,MICRO!E:L,8,0)</f>
        <v>#N/A</v>
      </c>
    </row>
    <row r="5358" spans="1:14" ht="20.25" x14ac:dyDescent="0.25">
      <c r="A5358" s="1">
        <v>75</v>
      </c>
      <c r="B5358" s="159"/>
      <c r="C5358" s="1" t="s">
        <v>4911</v>
      </c>
      <c r="D5358" s="1"/>
      <c r="E5358" s="1"/>
      <c r="F5358" s="1" t="s">
        <v>5821</v>
      </c>
      <c r="G5358" s="1">
        <v>56</v>
      </c>
      <c r="H5358" s="1" t="s">
        <v>19</v>
      </c>
      <c r="I5358" s="1" t="s">
        <v>3093</v>
      </c>
      <c r="J5358" s="1">
        <v>0.05</v>
      </c>
      <c r="K5358" s="1">
        <v>2.8000000000000003</v>
      </c>
      <c r="L5358" s="42">
        <v>7</v>
      </c>
      <c r="M5358" s="237">
        <v>46280</v>
      </c>
      <c r="N5358" s="1" t="e">
        <f>VLOOKUP(B5358,MICRO!E:L,8,0)</f>
        <v>#N/A</v>
      </c>
    </row>
    <row r="5359" spans="1:14" ht="20.25" x14ac:dyDescent="0.25">
      <c r="A5359" s="1">
        <v>76</v>
      </c>
      <c r="B5359" s="159"/>
      <c r="C5359" s="1" t="s">
        <v>4903</v>
      </c>
      <c r="D5359" s="1"/>
      <c r="E5359" s="1"/>
      <c r="F5359" s="1" t="s">
        <v>5822</v>
      </c>
      <c r="G5359" s="1">
        <v>12</v>
      </c>
      <c r="H5359" s="1" t="s">
        <v>19</v>
      </c>
      <c r="I5359" s="1" t="s">
        <v>3093</v>
      </c>
      <c r="J5359" s="1">
        <v>0.02</v>
      </c>
      <c r="K5359" s="1">
        <v>0.24</v>
      </c>
      <c r="L5359" s="42">
        <v>7</v>
      </c>
      <c r="M5359" s="237">
        <v>46280</v>
      </c>
      <c r="N5359" s="1" t="e">
        <f>VLOOKUP(B5359,MICRO!E:L,8,0)</f>
        <v>#N/A</v>
      </c>
    </row>
    <row r="5360" spans="1:14" ht="20.25" x14ac:dyDescent="0.25">
      <c r="A5360" s="1">
        <v>77</v>
      </c>
      <c r="B5360" s="159"/>
      <c r="C5360" s="1" t="s">
        <v>4903</v>
      </c>
      <c r="D5360" s="1"/>
      <c r="E5360" s="1"/>
      <c r="F5360" s="1" t="s">
        <v>5823</v>
      </c>
      <c r="G5360" s="1">
        <v>12</v>
      </c>
      <c r="H5360" s="1" t="s">
        <v>19</v>
      </c>
      <c r="I5360" s="1" t="s">
        <v>3093</v>
      </c>
      <c r="J5360" s="1">
        <v>0.01</v>
      </c>
      <c r="K5360" s="1">
        <v>0.12</v>
      </c>
      <c r="L5360" s="42">
        <v>7</v>
      </c>
      <c r="M5360" s="237">
        <v>46280</v>
      </c>
      <c r="N5360" s="1" t="e">
        <f>VLOOKUP(B5360,MICRO!E:L,8,0)</f>
        <v>#N/A</v>
      </c>
    </row>
    <row r="5361" spans="1:14" ht="20.25" x14ac:dyDescent="0.25">
      <c r="A5361" s="1">
        <v>78</v>
      </c>
      <c r="B5361" s="159"/>
      <c r="C5361" s="1" t="s">
        <v>4903</v>
      </c>
      <c r="D5361" s="1"/>
      <c r="E5361" s="1"/>
      <c r="F5361" s="1" t="s">
        <v>5824</v>
      </c>
      <c r="G5361" s="1">
        <v>96</v>
      </c>
      <c r="H5361" s="1" t="s">
        <v>19</v>
      </c>
      <c r="I5361" s="1" t="s">
        <v>3093</v>
      </c>
      <c r="J5361" s="1">
        <v>0.05</v>
      </c>
      <c r="K5361" s="1">
        <v>4.8000000000000007</v>
      </c>
      <c r="L5361" s="42">
        <v>7</v>
      </c>
      <c r="M5361" s="237">
        <v>46280</v>
      </c>
      <c r="N5361" s="1" t="e">
        <f>VLOOKUP(B5361,MICRO!E:L,8,0)</f>
        <v>#N/A</v>
      </c>
    </row>
    <row r="5362" spans="1:14" ht="20.25" x14ac:dyDescent="0.25">
      <c r="A5362" s="1">
        <v>79</v>
      </c>
      <c r="B5362" s="159"/>
      <c r="C5362" s="1" t="s">
        <v>4903</v>
      </c>
      <c r="D5362" s="1"/>
      <c r="E5362" s="1"/>
      <c r="F5362" s="1" t="s">
        <v>5825</v>
      </c>
      <c r="G5362" s="1">
        <v>96</v>
      </c>
      <c r="H5362" s="1" t="s">
        <v>19</v>
      </c>
      <c r="I5362" s="1" t="s">
        <v>3093</v>
      </c>
      <c r="J5362" s="1">
        <v>0.02</v>
      </c>
      <c r="K5362" s="1">
        <v>1.92</v>
      </c>
      <c r="L5362" s="42">
        <v>7</v>
      </c>
      <c r="M5362" s="237">
        <v>46280</v>
      </c>
      <c r="N5362" s="1" t="e">
        <f>VLOOKUP(B5362,MICRO!E:L,8,0)</f>
        <v>#N/A</v>
      </c>
    </row>
    <row r="5363" spans="1:14" ht="20.25" x14ac:dyDescent="0.25">
      <c r="A5363" s="1">
        <v>80</v>
      </c>
      <c r="B5363" s="159"/>
      <c r="C5363" s="1" t="s">
        <v>4878</v>
      </c>
      <c r="D5363" s="1"/>
      <c r="E5363" s="1"/>
      <c r="F5363" s="1" t="s">
        <v>5826</v>
      </c>
      <c r="G5363" s="1">
        <v>12</v>
      </c>
      <c r="H5363" s="1" t="s">
        <v>19</v>
      </c>
      <c r="I5363" s="1" t="s">
        <v>3093</v>
      </c>
      <c r="J5363" s="1">
        <v>0.02</v>
      </c>
      <c r="K5363" s="1">
        <v>0.24</v>
      </c>
      <c r="L5363" s="42">
        <v>7</v>
      </c>
      <c r="M5363" s="237">
        <v>46280</v>
      </c>
      <c r="N5363" s="1" t="e">
        <f>VLOOKUP(B5363,MICRO!E:L,8,0)</f>
        <v>#N/A</v>
      </c>
    </row>
    <row r="5364" spans="1:14" ht="20.25" x14ac:dyDescent="0.25">
      <c r="A5364" s="1">
        <v>81</v>
      </c>
      <c r="B5364" s="159"/>
      <c r="C5364" s="1" t="s">
        <v>4878</v>
      </c>
      <c r="D5364" s="1"/>
      <c r="E5364" s="1"/>
      <c r="F5364" s="1" t="s">
        <v>5827</v>
      </c>
      <c r="G5364" s="1">
        <v>12</v>
      </c>
      <c r="H5364" s="1" t="s">
        <v>19</v>
      </c>
      <c r="I5364" s="1" t="s">
        <v>3093</v>
      </c>
      <c r="J5364" s="1">
        <v>0.01</v>
      </c>
      <c r="K5364" s="1">
        <v>0.12</v>
      </c>
      <c r="L5364" s="42">
        <v>7</v>
      </c>
      <c r="M5364" s="237">
        <v>46280</v>
      </c>
      <c r="N5364" s="1" t="e">
        <f>VLOOKUP(B5364,MICRO!E:L,8,0)</f>
        <v>#N/A</v>
      </c>
    </row>
    <row r="5365" spans="1:14" ht="20.25" x14ac:dyDescent="0.25">
      <c r="A5365" s="1">
        <v>82</v>
      </c>
      <c r="B5365" s="159"/>
      <c r="C5365" s="1" t="s">
        <v>4878</v>
      </c>
      <c r="D5365" s="1"/>
      <c r="E5365" s="1"/>
      <c r="F5365" s="1" t="s">
        <v>5828</v>
      </c>
      <c r="G5365" s="1">
        <v>48</v>
      </c>
      <c r="H5365" s="1" t="s">
        <v>19</v>
      </c>
      <c r="I5365" s="1" t="s">
        <v>3093</v>
      </c>
      <c r="J5365" s="1">
        <v>0.02</v>
      </c>
      <c r="K5365" s="1">
        <v>0.96</v>
      </c>
      <c r="L5365" s="42">
        <v>7</v>
      </c>
      <c r="M5365" s="237">
        <v>46280</v>
      </c>
      <c r="N5365" s="1" t="e">
        <f>VLOOKUP(B5365,MICRO!E:L,8,0)</f>
        <v>#N/A</v>
      </c>
    </row>
    <row r="5366" spans="1:14" ht="20.25" x14ac:dyDescent="0.25">
      <c r="A5366" s="1">
        <v>83</v>
      </c>
      <c r="B5366" s="159"/>
      <c r="C5366" s="1" t="s">
        <v>4878</v>
      </c>
      <c r="D5366" s="1"/>
      <c r="E5366" s="1"/>
      <c r="F5366" s="1" t="s">
        <v>5829</v>
      </c>
      <c r="G5366" s="1">
        <v>48</v>
      </c>
      <c r="H5366" s="1" t="s">
        <v>19</v>
      </c>
      <c r="I5366" s="1" t="s">
        <v>3093</v>
      </c>
      <c r="J5366" s="1">
        <v>0.01</v>
      </c>
      <c r="K5366" s="1">
        <v>0.48</v>
      </c>
      <c r="L5366" s="42">
        <v>7</v>
      </c>
      <c r="M5366" s="237">
        <v>46280</v>
      </c>
      <c r="N5366" s="1" t="e">
        <f>VLOOKUP(B5366,MICRO!E:L,8,0)</f>
        <v>#N/A</v>
      </c>
    </row>
    <row r="5367" spans="1:14" ht="20.25" x14ac:dyDescent="0.25">
      <c r="A5367" s="1">
        <v>84</v>
      </c>
      <c r="B5367" s="159"/>
      <c r="C5367" s="1" t="s">
        <v>4878</v>
      </c>
      <c r="D5367" s="1"/>
      <c r="E5367" s="1"/>
      <c r="F5367" s="1" t="s">
        <v>5830</v>
      </c>
      <c r="G5367" s="1">
        <v>48</v>
      </c>
      <c r="H5367" s="1" t="s">
        <v>19</v>
      </c>
      <c r="I5367" s="1" t="s">
        <v>3093</v>
      </c>
      <c r="J5367" s="1">
        <v>0.05</v>
      </c>
      <c r="K5367" s="1">
        <v>2.4000000000000004</v>
      </c>
      <c r="L5367" s="42">
        <v>7</v>
      </c>
      <c r="M5367" s="237">
        <v>46280</v>
      </c>
      <c r="N5367" s="1" t="e">
        <f>VLOOKUP(B5367,MICRO!E:L,8,0)</f>
        <v>#N/A</v>
      </c>
    </row>
    <row r="5368" spans="1:14" ht="20.25" x14ac:dyDescent="0.25">
      <c r="A5368" s="1">
        <v>85</v>
      </c>
      <c r="B5368" s="159"/>
      <c r="C5368" s="1" t="s">
        <v>4869</v>
      </c>
      <c r="D5368" s="1"/>
      <c r="E5368" s="1"/>
      <c r="F5368" s="1" t="s">
        <v>5831</v>
      </c>
      <c r="G5368" s="1">
        <v>70</v>
      </c>
      <c r="H5368" s="1" t="s">
        <v>19</v>
      </c>
      <c r="I5368" s="1" t="s">
        <v>3093</v>
      </c>
      <c r="J5368" s="1">
        <v>0.05</v>
      </c>
      <c r="K5368" s="1">
        <v>3.5</v>
      </c>
      <c r="L5368" s="42">
        <v>7</v>
      </c>
      <c r="M5368" s="237">
        <v>46280</v>
      </c>
      <c r="N5368" s="1" t="e">
        <f>VLOOKUP(B5368,MICRO!E:L,8,0)</f>
        <v>#N/A</v>
      </c>
    </row>
    <row r="5369" spans="1:14" ht="20.25" x14ac:dyDescent="0.25">
      <c r="A5369" s="1">
        <v>86</v>
      </c>
      <c r="B5369" s="159"/>
      <c r="C5369" s="1" t="s">
        <v>4869</v>
      </c>
      <c r="D5369" s="1"/>
      <c r="E5369" s="1"/>
      <c r="F5369" s="1" t="s">
        <v>5832</v>
      </c>
      <c r="G5369" s="1">
        <v>70</v>
      </c>
      <c r="H5369" s="1" t="s">
        <v>19</v>
      </c>
      <c r="I5369" s="1" t="s">
        <v>3093</v>
      </c>
      <c r="J5369" s="1">
        <v>0.02</v>
      </c>
      <c r="K5369" s="1">
        <v>1.4000000000000001</v>
      </c>
      <c r="L5369" s="42">
        <v>7</v>
      </c>
      <c r="M5369" s="237">
        <v>46280</v>
      </c>
      <c r="N5369" s="1" t="e">
        <f>VLOOKUP(B5369,MICRO!E:L,8,0)</f>
        <v>#N/A</v>
      </c>
    </row>
    <row r="5370" spans="1:14" ht="20.25" x14ac:dyDescent="0.25">
      <c r="A5370" s="1">
        <v>87</v>
      </c>
      <c r="B5370" s="159"/>
      <c r="C5370" s="1" t="s">
        <v>4869</v>
      </c>
      <c r="D5370" s="1"/>
      <c r="E5370" s="1"/>
      <c r="F5370" s="1" t="s">
        <v>5833</v>
      </c>
      <c r="G5370" s="1">
        <v>70</v>
      </c>
      <c r="H5370" s="1" t="s">
        <v>19</v>
      </c>
      <c r="I5370" s="1" t="s">
        <v>3093</v>
      </c>
      <c r="J5370" s="1">
        <v>0.01</v>
      </c>
      <c r="K5370" s="1">
        <v>0.70000000000000007</v>
      </c>
      <c r="L5370" s="42">
        <v>7</v>
      </c>
      <c r="M5370" s="237">
        <v>46280</v>
      </c>
      <c r="N5370" s="1" t="e">
        <f>VLOOKUP(B5370,MICRO!E:L,8,0)</f>
        <v>#N/A</v>
      </c>
    </row>
    <row r="5371" spans="1:14" ht="20.25" x14ac:dyDescent="0.25">
      <c r="A5371" s="1">
        <v>88</v>
      </c>
      <c r="B5371" s="159"/>
      <c r="C5371" s="1" t="s">
        <v>4866</v>
      </c>
      <c r="D5371" s="1"/>
      <c r="E5371" s="1"/>
      <c r="F5371" s="1" t="s">
        <v>5834</v>
      </c>
      <c r="G5371" s="1">
        <v>4</v>
      </c>
      <c r="H5371" s="1" t="s">
        <v>19</v>
      </c>
      <c r="I5371" s="1" t="s">
        <v>3093</v>
      </c>
      <c r="J5371" s="1">
        <v>0.05</v>
      </c>
      <c r="K5371" s="1">
        <v>0.2</v>
      </c>
      <c r="L5371" s="42">
        <v>7</v>
      </c>
      <c r="M5371" s="237">
        <v>46280</v>
      </c>
      <c r="N5371" s="1" t="e">
        <f>VLOOKUP(B5371,MICRO!E:L,8,0)</f>
        <v>#N/A</v>
      </c>
    </row>
    <row r="5372" spans="1:14" ht="20.25" x14ac:dyDescent="0.25">
      <c r="A5372" s="1">
        <v>89</v>
      </c>
      <c r="B5372" s="159"/>
      <c r="C5372" s="1" t="s">
        <v>4866</v>
      </c>
      <c r="D5372" s="1"/>
      <c r="E5372" s="1"/>
      <c r="F5372" s="1" t="s">
        <v>5835</v>
      </c>
      <c r="G5372" s="1">
        <v>4</v>
      </c>
      <c r="H5372" s="1" t="s">
        <v>19</v>
      </c>
      <c r="I5372" s="1" t="s">
        <v>3093</v>
      </c>
      <c r="J5372" s="1">
        <v>0.02</v>
      </c>
      <c r="K5372" s="1">
        <v>0.08</v>
      </c>
      <c r="L5372" s="42">
        <v>7</v>
      </c>
      <c r="M5372" s="237">
        <v>46280</v>
      </c>
      <c r="N5372" s="1" t="e">
        <f>VLOOKUP(B5372,MICRO!E:L,8,0)</f>
        <v>#N/A</v>
      </c>
    </row>
    <row r="5373" spans="1:14" ht="20.25" x14ac:dyDescent="0.25">
      <c r="A5373" s="1">
        <v>90</v>
      </c>
      <c r="B5373" s="159"/>
      <c r="C5373" s="1" t="s">
        <v>4866</v>
      </c>
      <c r="D5373" s="1"/>
      <c r="E5373" s="1"/>
      <c r="F5373" s="1" t="s">
        <v>5836</v>
      </c>
      <c r="G5373" s="1">
        <v>28</v>
      </c>
      <c r="H5373" s="1" t="s">
        <v>19</v>
      </c>
      <c r="I5373" s="1" t="s">
        <v>3093</v>
      </c>
      <c r="J5373" s="1">
        <v>0.02</v>
      </c>
      <c r="K5373" s="1">
        <v>0.56000000000000005</v>
      </c>
      <c r="L5373" s="42">
        <v>7</v>
      </c>
      <c r="M5373" s="237">
        <v>46280</v>
      </c>
      <c r="N5373" s="1" t="e">
        <f>VLOOKUP(B5373,MICRO!E:L,8,0)</f>
        <v>#N/A</v>
      </c>
    </row>
    <row r="5374" spans="1:14" ht="20.25" x14ac:dyDescent="0.25">
      <c r="A5374" s="1">
        <v>91</v>
      </c>
      <c r="B5374" s="159"/>
      <c r="C5374" s="1" t="s">
        <v>4866</v>
      </c>
      <c r="D5374" s="1"/>
      <c r="E5374" s="1"/>
      <c r="F5374" s="1" t="s">
        <v>5837</v>
      </c>
      <c r="G5374" s="1">
        <v>4</v>
      </c>
      <c r="H5374" s="1" t="s">
        <v>19</v>
      </c>
      <c r="I5374" s="1" t="s">
        <v>3093</v>
      </c>
      <c r="J5374" s="1">
        <v>0.01</v>
      </c>
      <c r="K5374" s="1">
        <v>0.04</v>
      </c>
      <c r="L5374" s="42">
        <v>7</v>
      </c>
      <c r="M5374" s="237">
        <v>46280</v>
      </c>
      <c r="N5374" s="1" t="e">
        <f>VLOOKUP(B5374,MICRO!E:L,8,0)</f>
        <v>#N/A</v>
      </c>
    </row>
    <row r="5375" spans="1:14" ht="20.25" x14ac:dyDescent="0.25">
      <c r="A5375" s="1">
        <v>92</v>
      </c>
      <c r="B5375" s="159"/>
      <c r="C5375" s="1" t="s">
        <v>4866</v>
      </c>
      <c r="D5375" s="1"/>
      <c r="E5375" s="1"/>
      <c r="F5375" s="1" t="s">
        <v>5838</v>
      </c>
      <c r="G5375" s="1">
        <v>28</v>
      </c>
      <c r="H5375" s="1" t="s">
        <v>19</v>
      </c>
      <c r="I5375" s="1" t="s">
        <v>3093</v>
      </c>
      <c r="J5375" s="1">
        <v>0.01</v>
      </c>
      <c r="K5375" s="1">
        <v>0.28000000000000003</v>
      </c>
      <c r="L5375" s="42">
        <v>7</v>
      </c>
      <c r="M5375" s="237">
        <v>46280</v>
      </c>
      <c r="N5375" s="1" t="e">
        <f>VLOOKUP(B5375,MICRO!E:L,8,0)</f>
        <v>#N/A</v>
      </c>
    </row>
    <row r="5376" spans="1:14" ht="20.25" x14ac:dyDescent="0.25">
      <c r="A5376" s="1">
        <v>93</v>
      </c>
      <c r="B5376" s="159"/>
      <c r="C5376" s="1" t="s">
        <v>5839</v>
      </c>
      <c r="D5376" s="1"/>
      <c r="E5376" s="1"/>
      <c r="F5376" s="1" t="s">
        <v>5840</v>
      </c>
      <c r="G5376" s="1">
        <v>16</v>
      </c>
      <c r="H5376" s="1" t="s">
        <v>19</v>
      </c>
      <c r="I5376" s="1" t="s">
        <v>3045</v>
      </c>
      <c r="J5376" s="1">
        <v>0.05</v>
      </c>
      <c r="K5376" s="1">
        <v>0.8</v>
      </c>
      <c r="L5376" s="42">
        <v>7</v>
      </c>
      <c r="M5376" s="237">
        <v>46280</v>
      </c>
      <c r="N5376" s="1" t="e">
        <f>VLOOKUP(B5376,MICRO!E:L,8,0)</f>
        <v>#N/A</v>
      </c>
    </row>
    <row r="5377" spans="1:14" ht="20.25" x14ac:dyDescent="0.25">
      <c r="A5377" s="1">
        <v>94</v>
      </c>
      <c r="B5377" s="159"/>
      <c r="C5377" s="1" t="s">
        <v>4972</v>
      </c>
      <c r="D5377" s="1"/>
      <c r="E5377" s="1"/>
      <c r="F5377" s="1" t="s">
        <v>5841</v>
      </c>
      <c r="G5377" s="1">
        <v>16</v>
      </c>
      <c r="H5377" s="1" t="s">
        <v>19</v>
      </c>
      <c r="I5377" s="1" t="s">
        <v>3045</v>
      </c>
      <c r="J5377" s="1">
        <v>0.02</v>
      </c>
      <c r="K5377" s="1">
        <v>0.32</v>
      </c>
      <c r="L5377" s="42">
        <v>7</v>
      </c>
      <c r="M5377" s="237">
        <v>46280</v>
      </c>
      <c r="N5377" s="1" t="e">
        <f>VLOOKUP(B5377,MICRO!E:L,8,0)</f>
        <v>#N/A</v>
      </c>
    </row>
    <row r="5378" spans="1:14" ht="20.25" x14ac:dyDescent="0.25">
      <c r="A5378" s="1">
        <v>95</v>
      </c>
      <c r="B5378" s="159"/>
      <c r="C5378" s="1" t="s">
        <v>4972</v>
      </c>
      <c r="D5378" s="1"/>
      <c r="E5378" s="1"/>
      <c r="F5378" s="1" t="s">
        <v>5842</v>
      </c>
      <c r="G5378" s="1">
        <v>16</v>
      </c>
      <c r="H5378" s="1" t="s">
        <v>19</v>
      </c>
      <c r="I5378" s="1" t="s">
        <v>3045</v>
      </c>
      <c r="J5378" s="1">
        <v>0.01</v>
      </c>
      <c r="K5378" s="1">
        <v>0.16</v>
      </c>
      <c r="L5378" s="42">
        <v>7</v>
      </c>
      <c r="M5378" s="237">
        <v>46280</v>
      </c>
      <c r="N5378" s="1" t="e">
        <f>VLOOKUP(B5378,MICRO!E:L,8,0)</f>
        <v>#N/A</v>
      </c>
    </row>
    <row r="5379" spans="1:14" ht="20.25" x14ac:dyDescent="0.25">
      <c r="A5379" s="1">
        <v>96</v>
      </c>
      <c r="B5379" s="159"/>
      <c r="C5379" s="1" t="s">
        <v>4993</v>
      </c>
      <c r="D5379" s="1"/>
      <c r="E5379" s="1"/>
      <c r="F5379" s="1" t="s">
        <v>5843</v>
      </c>
      <c r="G5379" s="1">
        <v>16</v>
      </c>
      <c r="H5379" s="1" t="s">
        <v>19</v>
      </c>
      <c r="I5379" s="1" t="s">
        <v>3093</v>
      </c>
      <c r="J5379" s="1">
        <v>0.05</v>
      </c>
      <c r="K5379" s="1">
        <v>0.8</v>
      </c>
      <c r="L5379" s="42">
        <v>7</v>
      </c>
      <c r="M5379" s="237">
        <v>46280</v>
      </c>
      <c r="N5379" s="1" t="e">
        <f>VLOOKUP(B5379,MICRO!E:L,8,0)</f>
        <v>#N/A</v>
      </c>
    </row>
    <row r="5380" spans="1:14" ht="20.25" x14ac:dyDescent="0.25">
      <c r="A5380" s="1">
        <v>97</v>
      </c>
      <c r="B5380" s="159"/>
      <c r="C5380" s="1" t="s">
        <v>4993</v>
      </c>
      <c r="D5380" s="1"/>
      <c r="E5380" s="1"/>
      <c r="F5380" s="1" t="s">
        <v>5844</v>
      </c>
      <c r="G5380" s="1">
        <v>16</v>
      </c>
      <c r="H5380" s="1" t="s">
        <v>19</v>
      </c>
      <c r="I5380" s="1" t="s">
        <v>3093</v>
      </c>
      <c r="J5380" s="1">
        <v>0.02</v>
      </c>
      <c r="K5380" s="1">
        <v>0.32</v>
      </c>
      <c r="L5380" s="42">
        <v>7</v>
      </c>
      <c r="M5380" s="237">
        <v>46280</v>
      </c>
      <c r="N5380" s="1" t="e">
        <f>VLOOKUP(B5380,MICRO!E:L,8,0)</f>
        <v>#N/A</v>
      </c>
    </row>
    <row r="5381" spans="1:14" ht="20.25" x14ac:dyDescent="0.25">
      <c r="A5381" s="1">
        <v>98</v>
      </c>
      <c r="B5381" s="159"/>
      <c r="C5381" s="1" t="s">
        <v>4993</v>
      </c>
      <c r="D5381" s="1"/>
      <c r="E5381" s="1"/>
      <c r="F5381" s="1" t="s">
        <v>5845</v>
      </c>
      <c r="G5381" s="1">
        <v>16</v>
      </c>
      <c r="H5381" s="1" t="s">
        <v>19</v>
      </c>
      <c r="I5381" s="1" t="s">
        <v>3093</v>
      </c>
      <c r="J5381" s="1">
        <v>0.01</v>
      </c>
      <c r="K5381" s="1">
        <v>0.16</v>
      </c>
      <c r="L5381" s="42">
        <v>7</v>
      </c>
      <c r="M5381" s="237">
        <v>46280</v>
      </c>
      <c r="N5381" s="1" t="e">
        <f>VLOOKUP(B5381,MICRO!E:L,8,0)</f>
        <v>#N/A</v>
      </c>
    </row>
    <row r="5382" spans="1:14" ht="20.25" x14ac:dyDescent="0.25">
      <c r="A5382" s="1">
        <v>99</v>
      </c>
      <c r="B5382" s="159"/>
      <c r="C5382" s="1" t="s">
        <v>5001</v>
      </c>
      <c r="D5382" s="1"/>
      <c r="E5382" s="1"/>
      <c r="F5382" s="1" t="s">
        <v>5846</v>
      </c>
      <c r="G5382" s="1">
        <v>8</v>
      </c>
      <c r="H5382" s="1" t="s">
        <v>19</v>
      </c>
      <c r="I5382" s="1" t="s">
        <v>3093</v>
      </c>
      <c r="J5382" s="1">
        <v>0.05</v>
      </c>
      <c r="K5382" s="1">
        <v>0.4</v>
      </c>
      <c r="L5382" s="42">
        <v>7</v>
      </c>
      <c r="M5382" s="237">
        <v>46280</v>
      </c>
      <c r="N5382" s="1" t="e">
        <f>VLOOKUP(B5382,MICRO!E:L,8,0)</f>
        <v>#N/A</v>
      </c>
    </row>
    <row r="5383" spans="1:14" ht="20.25" x14ac:dyDescent="0.25">
      <c r="A5383" s="1">
        <v>100</v>
      </c>
      <c r="B5383" s="159"/>
      <c r="C5383" s="1" t="s">
        <v>5001</v>
      </c>
      <c r="D5383" s="1"/>
      <c r="E5383" s="1"/>
      <c r="F5383" s="1" t="s">
        <v>5847</v>
      </c>
      <c r="G5383" s="1">
        <v>8</v>
      </c>
      <c r="H5383" s="1" t="s">
        <v>19</v>
      </c>
      <c r="I5383" s="1" t="s">
        <v>3093</v>
      </c>
      <c r="J5383" s="1">
        <v>0.02</v>
      </c>
      <c r="K5383" s="1">
        <v>0.16</v>
      </c>
      <c r="L5383" s="42">
        <v>7</v>
      </c>
      <c r="M5383" s="237">
        <v>46280</v>
      </c>
      <c r="N5383" s="1" t="e">
        <f>VLOOKUP(B5383,MICRO!E:L,8,0)</f>
        <v>#N/A</v>
      </c>
    </row>
    <row r="5384" spans="1:14" ht="20.25" x14ac:dyDescent="0.25">
      <c r="A5384" s="1">
        <v>101</v>
      </c>
      <c r="B5384" s="159"/>
      <c r="C5384" s="1" t="s">
        <v>5001</v>
      </c>
      <c r="D5384" s="1"/>
      <c r="E5384" s="1"/>
      <c r="F5384" s="1" t="s">
        <v>5848</v>
      </c>
      <c r="G5384" s="1">
        <v>8</v>
      </c>
      <c r="H5384" s="1" t="s">
        <v>19</v>
      </c>
      <c r="I5384" s="1" t="s">
        <v>3093</v>
      </c>
      <c r="J5384" s="1">
        <v>0.01</v>
      </c>
      <c r="K5384" s="1">
        <v>0.08</v>
      </c>
      <c r="L5384" s="42">
        <v>7</v>
      </c>
      <c r="M5384" s="237">
        <v>46280</v>
      </c>
      <c r="N5384" s="1" t="e">
        <f>VLOOKUP(B5384,MICRO!E:L,8,0)</f>
        <v>#N/A</v>
      </c>
    </row>
    <row r="5385" spans="1:14" ht="20.25" x14ac:dyDescent="0.25">
      <c r="A5385" s="1">
        <v>102</v>
      </c>
      <c r="B5385" s="159"/>
      <c r="C5385" s="1" t="s">
        <v>4869</v>
      </c>
      <c r="D5385" s="1"/>
      <c r="E5385" s="1"/>
      <c r="F5385" s="1" t="s">
        <v>5849</v>
      </c>
      <c r="G5385" s="1">
        <v>12</v>
      </c>
      <c r="H5385" s="1" t="s">
        <v>19</v>
      </c>
      <c r="I5385" s="1" t="s">
        <v>3093</v>
      </c>
      <c r="J5385" s="1">
        <v>0.02</v>
      </c>
      <c r="K5385" s="1">
        <v>0.24</v>
      </c>
      <c r="L5385" s="42">
        <v>7</v>
      </c>
      <c r="M5385" s="237">
        <v>46280</v>
      </c>
      <c r="N5385" s="1" t="e">
        <f>VLOOKUP(B5385,MICRO!E:L,8,0)</f>
        <v>#N/A</v>
      </c>
    </row>
    <row r="5386" spans="1:14" ht="20.25" x14ac:dyDescent="0.25">
      <c r="A5386" s="1">
        <v>103</v>
      </c>
      <c r="B5386" s="159"/>
      <c r="C5386" s="1" t="s">
        <v>4869</v>
      </c>
      <c r="D5386" s="1"/>
      <c r="E5386" s="1"/>
      <c r="F5386" s="1" t="s">
        <v>5850</v>
      </c>
      <c r="G5386" s="1">
        <v>12</v>
      </c>
      <c r="H5386" s="1" t="s">
        <v>19</v>
      </c>
      <c r="I5386" s="1" t="s">
        <v>3093</v>
      </c>
      <c r="J5386" s="1">
        <v>0.01</v>
      </c>
      <c r="K5386" s="1">
        <v>0.12</v>
      </c>
      <c r="L5386" s="42">
        <v>7</v>
      </c>
      <c r="M5386" s="237">
        <v>46280</v>
      </c>
      <c r="N5386" s="1" t="e">
        <f>VLOOKUP(B5386,MICRO!E:L,8,0)</f>
        <v>#N/A</v>
      </c>
    </row>
    <row r="5387" spans="1:14" ht="20.25" x14ac:dyDescent="0.25">
      <c r="A5387" s="1">
        <v>104</v>
      </c>
      <c r="B5387" s="159"/>
      <c r="C5387" s="1" t="s">
        <v>3055</v>
      </c>
      <c r="D5387" s="1"/>
      <c r="E5387" s="1"/>
      <c r="F5387" s="1" t="s">
        <v>5851</v>
      </c>
      <c r="G5387" s="1">
        <v>16</v>
      </c>
      <c r="H5387" s="1" t="s">
        <v>19</v>
      </c>
      <c r="I5387" s="1" t="s">
        <v>3034</v>
      </c>
      <c r="J5387" s="1">
        <v>0.05</v>
      </c>
      <c r="K5387" s="1">
        <v>0.8</v>
      </c>
      <c r="L5387" s="42">
        <v>7</v>
      </c>
      <c r="M5387" s="237">
        <v>46280</v>
      </c>
      <c r="N5387" s="1" t="e">
        <f>VLOOKUP(B5387,MICRO!E:L,8,0)</f>
        <v>#N/A</v>
      </c>
    </row>
    <row r="5388" spans="1:14" ht="20.25" x14ac:dyDescent="0.25">
      <c r="A5388" s="1">
        <v>105</v>
      </c>
      <c r="B5388" s="159"/>
      <c r="C5388" s="1" t="s">
        <v>3055</v>
      </c>
      <c r="D5388" s="1"/>
      <c r="E5388" s="1"/>
      <c r="F5388" s="1" t="s">
        <v>5852</v>
      </c>
      <c r="G5388" s="1">
        <v>32</v>
      </c>
      <c r="H5388" s="1" t="s">
        <v>19</v>
      </c>
      <c r="I5388" s="1" t="s">
        <v>3034</v>
      </c>
      <c r="J5388" s="1">
        <v>0.02</v>
      </c>
      <c r="K5388" s="1">
        <v>0.64</v>
      </c>
      <c r="L5388" s="42">
        <v>7</v>
      </c>
      <c r="M5388" s="237">
        <v>46280</v>
      </c>
      <c r="N5388" s="1" t="e">
        <f>VLOOKUP(B5388,MICRO!E:L,8,0)</f>
        <v>#N/A</v>
      </c>
    </row>
    <row r="5389" spans="1:14" ht="20.25" x14ac:dyDescent="0.25">
      <c r="A5389" s="1">
        <v>106</v>
      </c>
      <c r="B5389" s="159"/>
      <c r="C5389" s="1" t="s">
        <v>3055</v>
      </c>
      <c r="D5389" s="1"/>
      <c r="E5389" s="1"/>
      <c r="F5389" s="1" t="s">
        <v>5853</v>
      </c>
      <c r="G5389" s="1">
        <v>32</v>
      </c>
      <c r="H5389" s="1" t="s">
        <v>19</v>
      </c>
      <c r="I5389" s="1" t="s">
        <v>3034</v>
      </c>
      <c r="J5389" s="1">
        <v>0.01</v>
      </c>
      <c r="K5389" s="1">
        <v>0.32</v>
      </c>
      <c r="L5389" s="42">
        <v>7</v>
      </c>
      <c r="M5389" s="237">
        <v>46280</v>
      </c>
      <c r="N5389" s="1" t="e">
        <f>VLOOKUP(B5389,MICRO!E:L,8,0)</f>
        <v>#N/A</v>
      </c>
    </row>
    <row r="5390" spans="1:14" ht="20.25" x14ac:dyDescent="0.25">
      <c r="A5390" s="1">
        <v>107</v>
      </c>
      <c r="B5390" s="159"/>
      <c r="C5390" s="1" t="s">
        <v>3055</v>
      </c>
      <c r="D5390" s="1"/>
      <c r="E5390" s="1"/>
      <c r="F5390" s="1" t="s">
        <v>5854</v>
      </c>
      <c r="G5390" s="1">
        <v>16</v>
      </c>
      <c r="H5390" s="1" t="s">
        <v>19</v>
      </c>
      <c r="I5390" s="1" t="s">
        <v>3034</v>
      </c>
      <c r="J5390" s="1">
        <v>0.05</v>
      </c>
      <c r="K5390" s="1">
        <v>0.8</v>
      </c>
      <c r="L5390" s="42">
        <v>7</v>
      </c>
      <c r="M5390" s="237">
        <v>46280</v>
      </c>
      <c r="N5390" s="1" t="e">
        <f>VLOOKUP(B5390,MICRO!E:L,8,0)</f>
        <v>#N/A</v>
      </c>
    </row>
    <row r="5391" spans="1:14" ht="20.25" x14ac:dyDescent="0.25">
      <c r="A5391" s="1">
        <v>108</v>
      </c>
      <c r="B5391" s="159"/>
      <c r="C5391" s="1" t="s">
        <v>3055</v>
      </c>
      <c r="D5391" s="1"/>
      <c r="E5391" s="1"/>
      <c r="F5391" s="1" t="s">
        <v>5855</v>
      </c>
      <c r="G5391" s="1">
        <v>4</v>
      </c>
      <c r="H5391" s="1" t="s">
        <v>19</v>
      </c>
      <c r="I5391" s="1" t="s">
        <v>3034</v>
      </c>
      <c r="J5391" s="1">
        <v>0.01</v>
      </c>
      <c r="K5391" s="1">
        <v>0.04</v>
      </c>
      <c r="L5391" s="42">
        <v>7</v>
      </c>
      <c r="M5391" s="237">
        <v>46280</v>
      </c>
      <c r="N5391" s="1" t="e">
        <f>VLOOKUP(B5391,MICRO!E:L,8,0)</f>
        <v>#N/A</v>
      </c>
    </row>
    <row r="5392" spans="1:14" ht="20.25" x14ac:dyDescent="0.25">
      <c r="A5392" s="1">
        <v>109</v>
      </c>
      <c r="B5392" s="159"/>
      <c r="C5392" s="1" t="s">
        <v>3055</v>
      </c>
      <c r="D5392" s="1"/>
      <c r="E5392" s="1"/>
      <c r="F5392" s="1" t="s">
        <v>5856</v>
      </c>
      <c r="G5392" s="1">
        <v>4</v>
      </c>
      <c r="H5392" s="1" t="s">
        <v>19</v>
      </c>
      <c r="I5392" s="1" t="s">
        <v>3034</v>
      </c>
      <c r="J5392" s="1">
        <v>0.01</v>
      </c>
      <c r="K5392" s="1">
        <v>0.04</v>
      </c>
      <c r="L5392" s="42">
        <v>7</v>
      </c>
      <c r="M5392" s="237">
        <v>46280</v>
      </c>
      <c r="N5392" s="1" t="e">
        <f>VLOOKUP(B5392,MICRO!E:L,8,0)</f>
        <v>#N/A</v>
      </c>
    </row>
    <row r="5393" spans="1:14" ht="20.25" x14ac:dyDescent="0.25">
      <c r="A5393" s="1">
        <v>110</v>
      </c>
      <c r="B5393" s="159"/>
      <c r="C5393" s="1" t="s">
        <v>3055</v>
      </c>
      <c r="D5393" s="1"/>
      <c r="E5393" s="1"/>
      <c r="F5393" s="1" t="s">
        <v>5857</v>
      </c>
      <c r="G5393" s="1">
        <v>4</v>
      </c>
      <c r="H5393" s="1" t="s">
        <v>19</v>
      </c>
      <c r="I5393" s="1" t="s">
        <v>3034</v>
      </c>
      <c r="J5393" s="1">
        <v>0.01</v>
      </c>
      <c r="K5393" s="1">
        <v>0.04</v>
      </c>
      <c r="L5393" s="42">
        <v>7</v>
      </c>
      <c r="M5393" s="237">
        <v>46280</v>
      </c>
      <c r="N5393" s="1" t="e">
        <f>VLOOKUP(B5393,MICRO!E:L,8,0)</f>
        <v>#N/A</v>
      </c>
    </row>
    <row r="5394" spans="1:14" ht="20.25" x14ac:dyDescent="0.25">
      <c r="A5394" s="1">
        <v>111</v>
      </c>
      <c r="B5394" s="159"/>
      <c r="C5394" s="1" t="s">
        <v>5858</v>
      </c>
      <c r="D5394" s="1"/>
      <c r="E5394" s="1"/>
      <c r="F5394" s="1" t="s">
        <v>5859</v>
      </c>
      <c r="G5394" s="1">
        <v>32</v>
      </c>
      <c r="H5394" s="1" t="s">
        <v>19</v>
      </c>
      <c r="I5394" s="1" t="s">
        <v>3034</v>
      </c>
      <c r="J5394" s="1">
        <v>0.05</v>
      </c>
      <c r="K5394" s="1">
        <v>1.6</v>
      </c>
      <c r="L5394" s="42">
        <v>7</v>
      </c>
      <c r="M5394" s="237">
        <v>46280</v>
      </c>
      <c r="N5394" s="1" t="e">
        <f>VLOOKUP(B5394,MICRO!E:L,8,0)</f>
        <v>#N/A</v>
      </c>
    </row>
    <row r="5395" spans="1:14" ht="20.25" x14ac:dyDescent="0.25">
      <c r="A5395" s="1">
        <v>112</v>
      </c>
      <c r="B5395" s="159"/>
      <c r="C5395" s="1" t="s">
        <v>3059</v>
      </c>
      <c r="D5395" s="1"/>
      <c r="E5395" s="1"/>
      <c r="F5395" s="1" t="s">
        <v>5860</v>
      </c>
      <c r="G5395" s="1">
        <v>32</v>
      </c>
      <c r="H5395" s="1" t="s">
        <v>19</v>
      </c>
      <c r="I5395" s="1" t="s">
        <v>3034</v>
      </c>
      <c r="J5395" s="1">
        <v>0.01</v>
      </c>
      <c r="K5395" s="1">
        <v>0.32</v>
      </c>
      <c r="L5395" s="42">
        <v>7</v>
      </c>
      <c r="M5395" s="237">
        <v>46280</v>
      </c>
      <c r="N5395" s="1" t="e">
        <f>VLOOKUP(B5395,MICRO!E:L,8,0)</f>
        <v>#N/A</v>
      </c>
    </row>
    <row r="5396" spans="1:14" ht="20.25" x14ac:dyDescent="0.25">
      <c r="A5396" s="1">
        <v>113</v>
      </c>
      <c r="B5396" s="159"/>
      <c r="C5396" s="1" t="s">
        <v>3063</v>
      </c>
      <c r="D5396" s="1"/>
      <c r="E5396" s="1"/>
      <c r="F5396" s="1" t="s">
        <v>5861</v>
      </c>
      <c r="G5396" s="1">
        <v>16</v>
      </c>
      <c r="H5396" s="1" t="s">
        <v>19</v>
      </c>
      <c r="I5396" s="1" t="s">
        <v>3045</v>
      </c>
      <c r="J5396" s="1">
        <v>0.05</v>
      </c>
      <c r="K5396" s="1">
        <v>0.8</v>
      </c>
      <c r="L5396" s="42">
        <v>7</v>
      </c>
      <c r="M5396" s="237">
        <v>46280</v>
      </c>
      <c r="N5396" s="1" t="e">
        <f>VLOOKUP(B5396,MICRO!E:L,8,0)</f>
        <v>#N/A</v>
      </c>
    </row>
    <row r="5397" spans="1:14" ht="20.25" x14ac:dyDescent="0.25">
      <c r="A5397" s="1">
        <v>114</v>
      </c>
      <c r="B5397" s="159"/>
      <c r="C5397" s="1" t="s">
        <v>3063</v>
      </c>
      <c r="D5397" s="1"/>
      <c r="E5397" s="1"/>
      <c r="F5397" s="1" t="s">
        <v>5862</v>
      </c>
      <c r="G5397" s="1">
        <v>16</v>
      </c>
      <c r="H5397" s="1" t="s">
        <v>19</v>
      </c>
      <c r="I5397" s="1" t="s">
        <v>3093</v>
      </c>
      <c r="J5397" s="1">
        <v>0.01</v>
      </c>
      <c r="K5397" s="1">
        <v>0.16</v>
      </c>
      <c r="L5397" s="42">
        <v>7</v>
      </c>
      <c r="M5397" s="237">
        <v>46280</v>
      </c>
      <c r="N5397" s="1" t="e">
        <f>VLOOKUP(B5397,MICRO!E:L,8,0)</f>
        <v>#N/A</v>
      </c>
    </row>
    <row r="5398" spans="1:14" ht="20.25" x14ac:dyDescent="0.25">
      <c r="A5398" s="1">
        <v>115</v>
      </c>
      <c r="B5398" s="159"/>
      <c r="C5398" s="1" t="s">
        <v>3094</v>
      </c>
      <c r="D5398" s="1"/>
      <c r="E5398" s="1"/>
      <c r="F5398" s="1" t="s">
        <v>5863</v>
      </c>
      <c r="G5398" s="1">
        <v>576</v>
      </c>
      <c r="H5398" s="1" t="s">
        <v>19</v>
      </c>
      <c r="I5398" s="1" t="s">
        <v>3093</v>
      </c>
      <c r="J5398" s="1">
        <v>0.05</v>
      </c>
      <c r="K5398" s="1">
        <v>28.8</v>
      </c>
      <c r="L5398" s="42">
        <v>7</v>
      </c>
      <c r="M5398" s="237">
        <v>46280</v>
      </c>
      <c r="N5398" s="1" t="e">
        <f>VLOOKUP(B5398,MICRO!E:L,8,0)</f>
        <v>#N/A</v>
      </c>
    </row>
    <row r="5399" spans="1:14" ht="20.25" x14ac:dyDescent="0.25">
      <c r="A5399" s="1">
        <v>116</v>
      </c>
      <c r="B5399" s="159"/>
      <c r="C5399" s="1" t="s">
        <v>3094</v>
      </c>
      <c r="D5399" s="1"/>
      <c r="E5399" s="1"/>
      <c r="F5399" s="1" t="s">
        <v>5864</v>
      </c>
      <c r="G5399" s="1">
        <v>576</v>
      </c>
      <c r="H5399" s="1" t="s">
        <v>19</v>
      </c>
      <c r="I5399" s="1" t="s">
        <v>3093</v>
      </c>
      <c r="J5399" s="1">
        <v>0.02</v>
      </c>
      <c r="K5399" s="1">
        <v>11.52</v>
      </c>
      <c r="L5399" s="42">
        <v>7</v>
      </c>
      <c r="M5399" s="237">
        <v>46280</v>
      </c>
      <c r="N5399" s="1" t="e">
        <f>VLOOKUP(B5399,MICRO!E:L,8,0)</f>
        <v>#N/A</v>
      </c>
    </row>
    <row r="5400" spans="1:14" ht="20.25" x14ac:dyDescent="0.25">
      <c r="A5400" s="1">
        <v>117</v>
      </c>
      <c r="B5400" s="159"/>
      <c r="C5400" s="1" t="s">
        <v>3094</v>
      </c>
      <c r="D5400" s="1"/>
      <c r="E5400" s="1"/>
      <c r="F5400" s="1" t="s">
        <v>5865</v>
      </c>
      <c r="G5400" s="1">
        <v>576</v>
      </c>
      <c r="H5400" s="1" t="s">
        <v>19</v>
      </c>
      <c r="I5400" s="1" t="s">
        <v>3093</v>
      </c>
      <c r="J5400" s="1">
        <v>0.01</v>
      </c>
      <c r="K5400" s="1">
        <v>5.76</v>
      </c>
      <c r="L5400" s="42">
        <v>7</v>
      </c>
      <c r="M5400" s="237">
        <v>46280</v>
      </c>
      <c r="N5400" s="1" t="e">
        <f>VLOOKUP(B5400,MICRO!E:L,8,0)</f>
        <v>#N/A</v>
      </c>
    </row>
    <row r="5401" spans="1:14" ht="20.25" x14ac:dyDescent="0.25">
      <c r="A5401" s="1">
        <v>118</v>
      </c>
      <c r="B5401" s="159"/>
      <c r="C5401" s="1" t="s">
        <v>3079</v>
      </c>
      <c r="D5401" s="1"/>
      <c r="E5401" s="1"/>
      <c r="F5401" s="1" t="s">
        <v>5866</v>
      </c>
      <c r="G5401" s="1">
        <v>4</v>
      </c>
      <c r="H5401" s="1" t="s">
        <v>19</v>
      </c>
      <c r="I5401" s="1" t="s">
        <v>3034</v>
      </c>
      <c r="J5401" s="1">
        <v>0.05</v>
      </c>
      <c r="K5401" s="1">
        <v>0.2</v>
      </c>
      <c r="L5401" s="42">
        <v>7</v>
      </c>
      <c r="M5401" s="237">
        <v>46280</v>
      </c>
      <c r="N5401" s="1" t="e">
        <f>VLOOKUP(B5401,MICRO!E:L,8,0)</f>
        <v>#N/A</v>
      </c>
    </row>
    <row r="5402" spans="1:14" ht="20.25" x14ac:dyDescent="0.25">
      <c r="A5402" s="1">
        <v>119</v>
      </c>
      <c r="B5402" s="159"/>
      <c r="C5402" s="1" t="s">
        <v>3079</v>
      </c>
      <c r="D5402" s="1"/>
      <c r="E5402" s="1"/>
      <c r="F5402" s="1" t="s">
        <v>5867</v>
      </c>
      <c r="G5402" s="1">
        <v>4</v>
      </c>
      <c r="H5402" s="1" t="s">
        <v>19</v>
      </c>
      <c r="I5402" s="1" t="s">
        <v>3034</v>
      </c>
      <c r="J5402" s="1">
        <v>0.02</v>
      </c>
      <c r="K5402" s="1">
        <v>0.08</v>
      </c>
      <c r="L5402" s="42">
        <v>7</v>
      </c>
      <c r="M5402" s="237">
        <v>46280</v>
      </c>
      <c r="N5402" s="1" t="e">
        <f>VLOOKUP(B5402,MICRO!E:L,8,0)</f>
        <v>#N/A</v>
      </c>
    </row>
    <row r="5403" spans="1:14" ht="20.25" x14ac:dyDescent="0.25">
      <c r="A5403" s="1">
        <v>120</v>
      </c>
      <c r="B5403" s="159"/>
      <c r="C5403" s="1" t="s">
        <v>3079</v>
      </c>
      <c r="D5403" s="1"/>
      <c r="E5403" s="1"/>
      <c r="F5403" s="1" t="s">
        <v>5868</v>
      </c>
      <c r="G5403" s="1">
        <v>4</v>
      </c>
      <c r="H5403" s="1" t="s">
        <v>19</v>
      </c>
      <c r="I5403" s="1" t="s">
        <v>3034</v>
      </c>
      <c r="J5403" s="1">
        <v>0.01</v>
      </c>
      <c r="K5403" s="1">
        <v>0.04</v>
      </c>
      <c r="L5403" s="42">
        <v>7</v>
      </c>
      <c r="M5403" s="237">
        <v>46280</v>
      </c>
      <c r="N5403" s="1" t="e">
        <f>VLOOKUP(B5403,MICRO!E:L,8,0)</f>
        <v>#N/A</v>
      </c>
    </row>
    <row r="5404" spans="1:14" ht="20.25" x14ac:dyDescent="0.25">
      <c r="A5404" s="1">
        <v>121</v>
      </c>
      <c r="B5404" s="159"/>
      <c r="C5404" s="1" t="s">
        <v>3079</v>
      </c>
      <c r="D5404" s="1"/>
      <c r="E5404" s="1"/>
      <c r="F5404" s="1" t="s">
        <v>5869</v>
      </c>
      <c r="G5404" s="1">
        <v>4</v>
      </c>
      <c r="H5404" s="1" t="s">
        <v>19</v>
      </c>
      <c r="I5404" s="1" t="s">
        <v>3034</v>
      </c>
      <c r="J5404" s="1">
        <v>0.05</v>
      </c>
      <c r="K5404" s="1">
        <v>0.2</v>
      </c>
      <c r="L5404" s="42">
        <v>7</v>
      </c>
      <c r="M5404" s="237">
        <v>46280</v>
      </c>
      <c r="N5404" s="1" t="e">
        <f>VLOOKUP(B5404,MICRO!E:L,8,0)</f>
        <v>#N/A</v>
      </c>
    </row>
    <row r="5405" spans="1:14" ht="20.25" x14ac:dyDescent="0.25">
      <c r="A5405" s="1">
        <v>122</v>
      </c>
      <c r="B5405" s="159"/>
      <c r="C5405" s="1" t="s">
        <v>3081</v>
      </c>
      <c r="D5405" s="1"/>
      <c r="E5405" s="1"/>
      <c r="F5405" s="1" t="s">
        <v>5870</v>
      </c>
      <c r="G5405" s="1">
        <v>304</v>
      </c>
      <c r="H5405" s="1" t="s">
        <v>19</v>
      </c>
      <c r="I5405" s="1" t="s">
        <v>3034</v>
      </c>
      <c r="J5405" s="1">
        <v>0.05</v>
      </c>
      <c r="K5405" s="1">
        <v>15.200000000000001</v>
      </c>
      <c r="L5405" s="42">
        <v>7</v>
      </c>
      <c r="M5405" s="237">
        <v>46280</v>
      </c>
      <c r="N5405" s="1" t="e">
        <f>VLOOKUP(B5405,MICRO!E:L,8,0)</f>
        <v>#N/A</v>
      </c>
    </row>
    <row r="5406" spans="1:14" ht="20.25" x14ac:dyDescent="0.25">
      <c r="A5406" s="1">
        <v>123</v>
      </c>
      <c r="B5406" s="159"/>
      <c r="C5406" s="1" t="s">
        <v>3081</v>
      </c>
      <c r="D5406" s="1"/>
      <c r="E5406" s="1"/>
      <c r="F5406" s="1" t="s">
        <v>5871</v>
      </c>
      <c r="G5406" s="1">
        <v>304</v>
      </c>
      <c r="H5406" s="1" t="s">
        <v>19</v>
      </c>
      <c r="I5406" s="1" t="s">
        <v>3034</v>
      </c>
      <c r="J5406" s="1">
        <v>0.02</v>
      </c>
      <c r="K5406" s="1">
        <v>6.08</v>
      </c>
      <c r="L5406" s="42">
        <v>7</v>
      </c>
      <c r="M5406" s="237">
        <v>46280</v>
      </c>
      <c r="N5406" s="1" t="e">
        <f>VLOOKUP(B5406,MICRO!E:L,8,0)</f>
        <v>#N/A</v>
      </c>
    </row>
    <row r="5407" spans="1:14" ht="20.25" x14ac:dyDescent="0.25">
      <c r="A5407" s="1">
        <v>124</v>
      </c>
      <c r="B5407" s="159"/>
      <c r="C5407" s="1" t="s">
        <v>3081</v>
      </c>
      <c r="D5407" s="1"/>
      <c r="E5407" s="1"/>
      <c r="F5407" s="1" t="s">
        <v>5872</v>
      </c>
      <c r="G5407" s="1">
        <v>304</v>
      </c>
      <c r="H5407" s="1" t="s">
        <v>19</v>
      </c>
      <c r="I5407" s="1" t="s">
        <v>3034</v>
      </c>
      <c r="J5407" s="1">
        <v>0.01</v>
      </c>
      <c r="K5407" s="1">
        <v>3.04</v>
      </c>
      <c r="L5407" s="42">
        <v>7</v>
      </c>
      <c r="M5407" s="237">
        <v>46280</v>
      </c>
      <c r="N5407" s="1" t="e">
        <f>VLOOKUP(B5407,MICRO!E:L,8,0)</f>
        <v>#N/A</v>
      </c>
    </row>
    <row r="5408" spans="1:14" ht="20.25" x14ac:dyDescent="0.25">
      <c r="A5408" s="1">
        <v>125</v>
      </c>
      <c r="B5408" s="159"/>
      <c r="C5408" s="1" t="s">
        <v>3063</v>
      </c>
      <c r="D5408" s="1"/>
      <c r="E5408" s="1"/>
      <c r="F5408" s="1" t="s">
        <v>5873</v>
      </c>
      <c r="G5408" s="1">
        <v>16</v>
      </c>
      <c r="H5408" s="1" t="s">
        <v>19</v>
      </c>
      <c r="I5408" s="1" t="s">
        <v>3034</v>
      </c>
      <c r="J5408" s="1">
        <v>0.05</v>
      </c>
      <c r="K5408" s="1">
        <v>0.8</v>
      </c>
      <c r="L5408" s="42">
        <v>7</v>
      </c>
      <c r="M5408" s="237">
        <v>46280</v>
      </c>
      <c r="N5408" s="1" t="e">
        <f>VLOOKUP(B5408,MICRO!E:L,8,0)</f>
        <v>#N/A</v>
      </c>
    </row>
    <row r="5409" spans="1:14" ht="20.25" x14ac:dyDescent="0.25">
      <c r="A5409" s="1">
        <v>126</v>
      </c>
      <c r="B5409" s="159"/>
      <c r="C5409" s="1" t="s">
        <v>3063</v>
      </c>
      <c r="D5409" s="1"/>
      <c r="E5409" s="1"/>
      <c r="F5409" s="1" t="s">
        <v>5874</v>
      </c>
      <c r="G5409" s="1">
        <v>16</v>
      </c>
      <c r="H5409" s="1" t="s">
        <v>19</v>
      </c>
      <c r="I5409" s="1" t="s">
        <v>3034</v>
      </c>
      <c r="J5409" s="1">
        <v>0.01</v>
      </c>
      <c r="K5409" s="1">
        <v>0.16</v>
      </c>
      <c r="L5409" s="42">
        <v>7</v>
      </c>
      <c r="M5409" s="237">
        <v>46280</v>
      </c>
      <c r="N5409" s="1" t="e">
        <f>VLOOKUP(B5409,MICRO!E:L,8,0)</f>
        <v>#N/A</v>
      </c>
    </row>
    <row r="5410" spans="1:14" ht="20.25" x14ac:dyDescent="0.25">
      <c r="A5410" s="1">
        <v>127</v>
      </c>
      <c r="B5410" s="159"/>
      <c r="C5410" s="1" t="s">
        <v>3063</v>
      </c>
      <c r="D5410" s="1"/>
      <c r="E5410" s="1"/>
      <c r="F5410" s="1" t="s">
        <v>5861</v>
      </c>
      <c r="G5410" s="1">
        <v>16</v>
      </c>
      <c r="H5410" s="1" t="s">
        <v>19</v>
      </c>
      <c r="I5410" s="1" t="s">
        <v>3045</v>
      </c>
      <c r="J5410" s="1">
        <v>0.05</v>
      </c>
      <c r="K5410" s="1">
        <v>0.8</v>
      </c>
      <c r="L5410" s="42">
        <v>7</v>
      </c>
      <c r="M5410" s="237">
        <v>46280</v>
      </c>
      <c r="N5410" s="1" t="e">
        <f>VLOOKUP(B5410,MICRO!E:L,8,0)</f>
        <v>#N/A</v>
      </c>
    </row>
    <row r="5411" spans="1:14" ht="20.25" x14ac:dyDescent="0.25">
      <c r="A5411" s="1">
        <v>128</v>
      </c>
      <c r="B5411" s="159"/>
      <c r="C5411" s="1" t="s">
        <v>3063</v>
      </c>
      <c r="D5411" s="1"/>
      <c r="E5411" s="1"/>
      <c r="F5411" s="1" t="s">
        <v>5875</v>
      </c>
      <c r="G5411" s="1">
        <v>16</v>
      </c>
      <c r="H5411" s="1" t="s">
        <v>19</v>
      </c>
      <c r="I5411" s="1" t="s">
        <v>3045</v>
      </c>
      <c r="J5411" s="1">
        <v>0.01</v>
      </c>
      <c r="K5411" s="1">
        <v>0.16</v>
      </c>
      <c r="L5411" s="42">
        <v>7</v>
      </c>
      <c r="M5411" s="237">
        <v>46280</v>
      </c>
      <c r="N5411" s="1" t="e">
        <f>VLOOKUP(B5411,MICRO!E:L,8,0)</f>
        <v>#N/A</v>
      </c>
    </row>
    <row r="5412" spans="1:14" ht="20.25" x14ac:dyDescent="0.25">
      <c r="A5412" s="1">
        <v>129</v>
      </c>
      <c r="B5412" s="159"/>
      <c r="C5412" s="1" t="s">
        <v>3077</v>
      </c>
      <c r="D5412" s="1"/>
      <c r="E5412" s="1"/>
      <c r="F5412" s="1" t="s">
        <v>5876</v>
      </c>
      <c r="G5412" s="1">
        <v>8</v>
      </c>
      <c r="H5412" s="1" t="s">
        <v>19</v>
      </c>
      <c r="I5412" s="1" t="s">
        <v>3045</v>
      </c>
      <c r="J5412" s="1">
        <v>0.05</v>
      </c>
      <c r="K5412" s="1">
        <v>0.4</v>
      </c>
      <c r="L5412" s="42">
        <v>7</v>
      </c>
      <c r="M5412" s="237">
        <v>46280</v>
      </c>
      <c r="N5412" s="1" t="e">
        <f>VLOOKUP(B5412,MICRO!E:L,8,0)</f>
        <v>#N/A</v>
      </c>
    </row>
    <row r="5413" spans="1:14" ht="20.25" x14ac:dyDescent="0.25">
      <c r="A5413" s="1">
        <v>130</v>
      </c>
      <c r="B5413" s="159"/>
      <c r="C5413" s="1" t="s">
        <v>3077</v>
      </c>
      <c r="D5413" s="1"/>
      <c r="E5413" s="1"/>
      <c r="F5413" s="1" t="s">
        <v>5877</v>
      </c>
      <c r="G5413" s="1">
        <v>8</v>
      </c>
      <c r="H5413" s="1" t="s">
        <v>19</v>
      </c>
      <c r="I5413" s="1" t="s">
        <v>3045</v>
      </c>
      <c r="J5413" s="1">
        <v>0.02</v>
      </c>
      <c r="K5413" s="1">
        <v>0.16</v>
      </c>
      <c r="L5413" s="42">
        <v>7</v>
      </c>
      <c r="M5413" s="237">
        <v>46280</v>
      </c>
      <c r="N5413" s="1" t="e">
        <f>VLOOKUP(B5413,MICRO!E:L,8,0)</f>
        <v>#N/A</v>
      </c>
    </row>
    <row r="5414" spans="1:14" ht="20.25" x14ac:dyDescent="0.25">
      <c r="A5414" s="1">
        <v>131</v>
      </c>
      <c r="B5414" s="159"/>
      <c r="C5414" s="1" t="s">
        <v>3077</v>
      </c>
      <c r="D5414" s="1"/>
      <c r="E5414" s="1"/>
      <c r="F5414" s="1" t="s">
        <v>5878</v>
      </c>
      <c r="G5414" s="1">
        <v>8</v>
      </c>
      <c r="H5414" s="1" t="s">
        <v>19</v>
      </c>
      <c r="I5414" s="1" t="s">
        <v>3045</v>
      </c>
      <c r="J5414" s="1">
        <v>0.01</v>
      </c>
      <c r="K5414" s="1">
        <v>0.08</v>
      </c>
      <c r="L5414" s="42">
        <v>7</v>
      </c>
      <c r="M5414" s="237">
        <v>46280</v>
      </c>
      <c r="N5414" s="1" t="e">
        <f>VLOOKUP(B5414,MICRO!E:L,8,0)</f>
        <v>#N/A</v>
      </c>
    </row>
    <row r="5415" spans="1:14" ht="20.25" x14ac:dyDescent="0.25">
      <c r="A5415" s="1">
        <v>132</v>
      </c>
      <c r="B5415" s="159"/>
      <c r="C5415" s="1" t="s">
        <v>3112</v>
      </c>
      <c r="D5415" s="1"/>
      <c r="E5415" s="1"/>
      <c r="F5415" s="1" t="s">
        <v>5879</v>
      </c>
      <c r="G5415" s="1">
        <v>36</v>
      </c>
      <c r="H5415" s="1" t="s">
        <v>19</v>
      </c>
      <c r="I5415" s="1" t="s">
        <v>3034</v>
      </c>
      <c r="J5415" s="1">
        <v>0.05</v>
      </c>
      <c r="K5415" s="1">
        <v>1.8</v>
      </c>
      <c r="L5415" s="42">
        <v>7</v>
      </c>
      <c r="M5415" s="237">
        <v>46280</v>
      </c>
      <c r="N5415" s="1" t="e">
        <f>VLOOKUP(B5415,MICRO!E:L,8,0)</f>
        <v>#N/A</v>
      </c>
    </row>
    <row r="5416" spans="1:14" ht="20.25" x14ac:dyDescent="0.25">
      <c r="A5416" s="1">
        <v>133</v>
      </c>
      <c r="B5416" s="159"/>
      <c r="C5416" s="1" t="s">
        <v>3112</v>
      </c>
      <c r="D5416" s="1"/>
      <c r="E5416" s="1"/>
      <c r="F5416" s="1" t="s">
        <v>5880</v>
      </c>
      <c r="G5416" s="1">
        <v>36</v>
      </c>
      <c r="H5416" s="1" t="s">
        <v>19</v>
      </c>
      <c r="I5416" s="1" t="s">
        <v>3034</v>
      </c>
      <c r="J5416" s="1">
        <v>0.02</v>
      </c>
      <c r="K5416" s="1">
        <v>0.72</v>
      </c>
      <c r="L5416" s="42">
        <v>7</v>
      </c>
      <c r="M5416" s="237">
        <v>46280</v>
      </c>
      <c r="N5416" s="1" t="e">
        <f>VLOOKUP(B5416,MICRO!E:L,8,0)</f>
        <v>#N/A</v>
      </c>
    </row>
    <row r="5417" spans="1:14" ht="20.25" x14ac:dyDescent="0.25">
      <c r="A5417" s="1">
        <v>134</v>
      </c>
      <c r="B5417" s="159"/>
      <c r="C5417" s="1" t="s">
        <v>3112</v>
      </c>
      <c r="D5417" s="1"/>
      <c r="E5417" s="1"/>
      <c r="F5417" s="1" t="s">
        <v>5881</v>
      </c>
      <c r="G5417" s="1">
        <v>36</v>
      </c>
      <c r="H5417" s="1" t="s">
        <v>19</v>
      </c>
      <c r="I5417" s="1" t="s">
        <v>3034</v>
      </c>
      <c r="J5417" s="1">
        <v>0.01</v>
      </c>
      <c r="K5417" s="1">
        <v>0.36</v>
      </c>
      <c r="L5417" s="42">
        <v>7</v>
      </c>
      <c r="M5417" s="237">
        <v>46280</v>
      </c>
      <c r="N5417" s="1" t="e">
        <f>VLOOKUP(B5417,MICRO!E:L,8,0)</f>
        <v>#N/A</v>
      </c>
    </row>
    <row r="5418" spans="1:14" ht="20.25" x14ac:dyDescent="0.25">
      <c r="A5418" s="1">
        <v>135</v>
      </c>
      <c r="B5418" s="159"/>
      <c r="C5418" s="1" t="s">
        <v>3112</v>
      </c>
      <c r="D5418" s="1"/>
      <c r="E5418" s="1"/>
      <c r="F5418" s="1" t="s">
        <v>5882</v>
      </c>
      <c r="G5418" s="1">
        <v>48</v>
      </c>
      <c r="H5418" s="1" t="s">
        <v>19</v>
      </c>
      <c r="I5418" s="1" t="s">
        <v>3034</v>
      </c>
      <c r="J5418" s="1">
        <v>0.05</v>
      </c>
      <c r="K5418" s="1">
        <v>2.4000000000000004</v>
      </c>
      <c r="L5418" s="42">
        <v>7</v>
      </c>
      <c r="M5418" s="237">
        <v>46280</v>
      </c>
      <c r="N5418" s="1" t="e">
        <f>VLOOKUP(B5418,MICRO!E:L,8,0)</f>
        <v>#N/A</v>
      </c>
    </row>
    <row r="5419" spans="1:14" ht="20.25" x14ac:dyDescent="0.25">
      <c r="A5419" s="1">
        <v>136</v>
      </c>
      <c r="B5419" s="159"/>
      <c r="C5419" s="1" t="s">
        <v>3112</v>
      </c>
      <c r="D5419" s="1"/>
      <c r="E5419" s="1"/>
      <c r="F5419" s="1" t="s">
        <v>5883</v>
      </c>
      <c r="G5419" s="1">
        <v>48</v>
      </c>
      <c r="H5419" s="1" t="s">
        <v>19</v>
      </c>
      <c r="I5419" s="1" t="s">
        <v>3034</v>
      </c>
      <c r="J5419" s="1">
        <v>0.02</v>
      </c>
      <c r="K5419" s="1">
        <v>0.96</v>
      </c>
      <c r="L5419" s="42">
        <v>7</v>
      </c>
      <c r="M5419" s="237">
        <v>46280</v>
      </c>
      <c r="N5419" s="1" t="e">
        <f>VLOOKUP(B5419,MICRO!E:L,8,0)</f>
        <v>#N/A</v>
      </c>
    </row>
    <row r="5420" spans="1:14" ht="20.25" x14ac:dyDescent="0.25">
      <c r="A5420" s="1">
        <v>137</v>
      </c>
      <c r="B5420" s="159"/>
      <c r="C5420" s="1" t="s">
        <v>3112</v>
      </c>
      <c r="D5420" s="1"/>
      <c r="E5420" s="1"/>
      <c r="F5420" s="1" t="s">
        <v>5884</v>
      </c>
      <c r="G5420" s="1">
        <v>48</v>
      </c>
      <c r="H5420" s="1" t="s">
        <v>19</v>
      </c>
      <c r="I5420" s="1" t="s">
        <v>3034</v>
      </c>
      <c r="J5420" s="1">
        <v>0.01</v>
      </c>
      <c r="K5420" s="1">
        <v>0.48</v>
      </c>
      <c r="L5420" s="42">
        <v>7</v>
      </c>
      <c r="M5420" s="237">
        <v>46280</v>
      </c>
      <c r="N5420" s="1" t="e">
        <f>VLOOKUP(B5420,MICRO!E:L,8,0)</f>
        <v>#N/A</v>
      </c>
    </row>
    <row r="5421" spans="1:14" ht="20.25" x14ac:dyDescent="0.25">
      <c r="A5421" s="1">
        <v>138</v>
      </c>
      <c r="B5421" s="159"/>
      <c r="C5421" s="1" t="s">
        <v>3120</v>
      </c>
      <c r="D5421" s="1"/>
      <c r="E5421" s="1"/>
      <c r="F5421" s="1" t="s">
        <v>5885</v>
      </c>
      <c r="G5421" s="1">
        <v>16</v>
      </c>
      <c r="H5421" s="1" t="s">
        <v>19</v>
      </c>
      <c r="I5421" s="1" t="s">
        <v>3034</v>
      </c>
      <c r="J5421" s="1">
        <v>0.05</v>
      </c>
      <c r="K5421" s="1">
        <v>0.8</v>
      </c>
      <c r="L5421" s="42">
        <v>7</v>
      </c>
      <c r="M5421" s="237">
        <v>46280</v>
      </c>
      <c r="N5421" s="1" t="e">
        <f>VLOOKUP(B5421,MICRO!E:L,8,0)</f>
        <v>#N/A</v>
      </c>
    </row>
    <row r="5422" spans="1:14" ht="20.25" x14ac:dyDescent="0.25">
      <c r="A5422" s="1">
        <v>139</v>
      </c>
      <c r="B5422" s="159"/>
      <c r="C5422" s="1" t="s">
        <v>3120</v>
      </c>
      <c r="D5422" s="1"/>
      <c r="E5422" s="1"/>
      <c r="F5422" s="1" t="s">
        <v>5886</v>
      </c>
      <c r="G5422" s="1">
        <v>16</v>
      </c>
      <c r="H5422" s="1" t="s">
        <v>19</v>
      </c>
      <c r="I5422" s="1" t="s">
        <v>3034</v>
      </c>
      <c r="J5422" s="1">
        <v>0.02</v>
      </c>
      <c r="K5422" s="1">
        <v>0.32</v>
      </c>
      <c r="L5422" s="42">
        <v>7</v>
      </c>
      <c r="M5422" s="237">
        <v>46280</v>
      </c>
      <c r="N5422" s="1" t="e">
        <f>VLOOKUP(B5422,MICRO!E:L,8,0)</f>
        <v>#N/A</v>
      </c>
    </row>
    <row r="5423" spans="1:14" ht="20.25" x14ac:dyDescent="0.25">
      <c r="A5423" s="1">
        <v>140</v>
      </c>
      <c r="B5423" s="159"/>
      <c r="C5423" s="1" t="s">
        <v>3120</v>
      </c>
      <c r="D5423" s="1"/>
      <c r="E5423" s="1"/>
      <c r="F5423" s="1" t="s">
        <v>5887</v>
      </c>
      <c r="G5423" s="1">
        <v>16</v>
      </c>
      <c r="H5423" s="1" t="s">
        <v>19</v>
      </c>
      <c r="I5423" s="1" t="s">
        <v>3034</v>
      </c>
      <c r="J5423" s="1">
        <v>0.01</v>
      </c>
      <c r="K5423" s="1">
        <v>0.16</v>
      </c>
      <c r="L5423" s="42">
        <v>7</v>
      </c>
      <c r="M5423" s="237">
        <v>46280</v>
      </c>
      <c r="N5423" s="1" t="e">
        <f>VLOOKUP(B5423,MICRO!E:L,8,0)</f>
        <v>#N/A</v>
      </c>
    </row>
    <row r="5424" spans="1:14" ht="20.25" x14ac:dyDescent="0.25">
      <c r="A5424" s="1">
        <v>141</v>
      </c>
      <c r="B5424" s="159"/>
      <c r="C5424" s="1" t="s">
        <v>3124</v>
      </c>
      <c r="D5424" s="1"/>
      <c r="E5424" s="1"/>
      <c r="F5424" s="1" t="s">
        <v>5888</v>
      </c>
      <c r="G5424" s="1">
        <v>20</v>
      </c>
      <c r="H5424" s="1" t="s">
        <v>19</v>
      </c>
      <c r="I5424" s="1" t="s">
        <v>3034</v>
      </c>
      <c r="J5424" s="1">
        <v>0.05</v>
      </c>
      <c r="K5424" s="1">
        <v>1</v>
      </c>
      <c r="L5424" s="42">
        <v>7</v>
      </c>
      <c r="M5424" s="237">
        <v>46280</v>
      </c>
      <c r="N5424" s="1" t="e">
        <f>VLOOKUP(B5424,MICRO!E:L,8,0)</f>
        <v>#N/A</v>
      </c>
    </row>
    <row r="5425" spans="1:14" ht="20.25" x14ac:dyDescent="0.25">
      <c r="A5425" s="1">
        <v>142</v>
      </c>
      <c r="B5425" s="159"/>
      <c r="C5425" s="1" t="s">
        <v>3124</v>
      </c>
      <c r="D5425" s="1"/>
      <c r="E5425" s="1"/>
      <c r="F5425" s="1" t="s">
        <v>5889</v>
      </c>
      <c r="G5425" s="1">
        <v>20</v>
      </c>
      <c r="H5425" s="1" t="s">
        <v>19</v>
      </c>
      <c r="I5425" s="1" t="s">
        <v>3034</v>
      </c>
      <c r="J5425" s="1">
        <v>0.02</v>
      </c>
      <c r="K5425" s="1">
        <v>0.4</v>
      </c>
      <c r="L5425" s="42">
        <v>7</v>
      </c>
      <c r="M5425" s="237">
        <v>46280</v>
      </c>
      <c r="N5425" s="1" t="e">
        <f>VLOOKUP(B5425,MICRO!E:L,8,0)</f>
        <v>#N/A</v>
      </c>
    </row>
    <row r="5426" spans="1:14" ht="20.25" x14ac:dyDescent="0.25">
      <c r="A5426" s="1">
        <v>143</v>
      </c>
      <c r="B5426" s="159"/>
      <c r="C5426" s="1" t="s">
        <v>3124</v>
      </c>
      <c r="D5426" s="1"/>
      <c r="E5426" s="1"/>
      <c r="F5426" s="1" t="s">
        <v>5890</v>
      </c>
      <c r="G5426" s="1">
        <v>20</v>
      </c>
      <c r="H5426" s="1" t="s">
        <v>19</v>
      </c>
      <c r="I5426" s="1" t="s">
        <v>3034</v>
      </c>
      <c r="J5426" s="1">
        <v>0.01</v>
      </c>
      <c r="K5426" s="1">
        <v>0.2</v>
      </c>
      <c r="L5426" s="42">
        <v>7</v>
      </c>
      <c r="M5426" s="237">
        <v>46280</v>
      </c>
      <c r="N5426" s="1" t="e">
        <f>VLOOKUP(B5426,MICRO!E:L,8,0)</f>
        <v>#N/A</v>
      </c>
    </row>
    <row r="5427" spans="1:14" ht="20.25" x14ac:dyDescent="0.25">
      <c r="A5427" s="1">
        <v>144</v>
      </c>
      <c r="B5427" s="159"/>
      <c r="C5427" s="1" t="s">
        <v>3124</v>
      </c>
      <c r="D5427" s="1"/>
      <c r="E5427" s="1"/>
      <c r="F5427" s="1" t="s">
        <v>5891</v>
      </c>
      <c r="G5427" s="1">
        <v>8</v>
      </c>
      <c r="H5427" s="1" t="s">
        <v>19</v>
      </c>
      <c r="I5427" s="1" t="s">
        <v>3034</v>
      </c>
      <c r="J5427" s="1">
        <v>0.05</v>
      </c>
      <c r="K5427" s="1">
        <v>0.4</v>
      </c>
      <c r="L5427" s="42">
        <v>7</v>
      </c>
      <c r="M5427" s="237">
        <v>46280</v>
      </c>
      <c r="N5427" s="1" t="e">
        <f>VLOOKUP(B5427,MICRO!E:L,8,0)</f>
        <v>#N/A</v>
      </c>
    </row>
    <row r="5428" spans="1:14" ht="20.25" x14ac:dyDescent="0.25">
      <c r="A5428" s="1">
        <v>145</v>
      </c>
      <c r="B5428" s="159"/>
      <c r="C5428" s="1" t="s">
        <v>3124</v>
      </c>
      <c r="D5428" s="1"/>
      <c r="E5428" s="1"/>
      <c r="F5428" s="1" t="s">
        <v>5892</v>
      </c>
      <c r="G5428" s="1">
        <v>8</v>
      </c>
      <c r="H5428" s="1" t="s">
        <v>19</v>
      </c>
      <c r="I5428" s="1" t="s">
        <v>3034</v>
      </c>
      <c r="J5428" s="1">
        <v>0.02</v>
      </c>
      <c r="K5428" s="1">
        <v>0.16</v>
      </c>
      <c r="L5428" s="42">
        <v>7</v>
      </c>
      <c r="M5428" s="237">
        <v>46280</v>
      </c>
      <c r="N5428" s="1" t="e">
        <f>VLOOKUP(B5428,MICRO!E:L,8,0)</f>
        <v>#N/A</v>
      </c>
    </row>
    <row r="5429" spans="1:14" ht="20.25" x14ac:dyDescent="0.25">
      <c r="A5429" s="1">
        <v>146</v>
      </c>
      <c r="B5429" s="159"/>
      <c r="C5429" s="1" t="s">
        <v>3124</v>
      </c>
      <c r="D5429" s="1"/>
      <c r="E5429" s="1"/>
      <c r="F5429" s="1" t="s">
        <v>5893</v>
      </c>
      <c r="G5429" s="1">
        <v>8</v>
      </c>
      <c r="H5429" s="1" t="s">
        <v>19</v>
      </c>
      <c r="I5429" s="1" t="s">
        <v>3034</v>
      </c>
      <c r="J5429" s="1">
        <v>0.01</v>
      </c>
      <c r="K5429" s="1">
        <v>0.08</v>
      </c>
      <c r="L5429" s="42">
        <v>7</v>
      </c>
      <c r="M5429" s="237">
        <v>46280</v>
      </c>
      <c r="N5429" s="1" t="e">
        <f>VLOOKUP(B5429,MICRO!E:L,8,0)</f>
        <v>#N/A</v>
      </c>
    </row>
    <row r="5430" spans="1:14" ht="20.25" x14ac:dyDescent="0.25">
      <c r="A5430" s="1">
        <v>147</v>
      </c>
      <c r="B5430" s="159"/>
      <c r="C5430" s="1" t="s">
        <v>3152</v>
      </c>
      <c r="D5430" s="1"/>
      <c r="E5430" s="1"/>
      <c r="F5430" s="1" t="s">
        <v>5894</v>
      </c>
      <c r="G5430" s="1">
        <v>32</v>
      </c>
      <c r="H5430" s="1" t="s">
        <v>19</v>
      </c>
      <c r="I5430" s="1" t="s">
        <v>3140</v>
      </c>
      <c r="J5430" s="1">
        <v>0.02</v>
      </c>
      <c r="K5430" s="1">
        <v>0.64</v>
      </c>
      <c r="L5430" s="42">
        <v>7</v>
      </c>
      <c r="M5430" s="237">
        <v>46280</v>
      </c>
      <c r="N5430" s="1" t="e">
        <f>VLOOKUP(B5430,MICRO!E:L,8,0)</f>
        <v>#N/A</v>
      </c>
    </row>
    <row r="5431" spans="1:14" ht="20.25" x14ac:dyDescent="0.25">
      <c r="A5431" s="1">
        <v>148</v>
      </c>
      <c r="B5431" s="159"/>
      <c r="C5431" s="1" t="s">
        <v>3152</v>
      </c>
      <c r="D5431" s="1"/>
      <c r="E5431" s="1"/>
      <c r="F5431" s="1" t="s">
        <v>5895</v>
      </c>
      <c r="G5431" s="1">
        <v>16</v>
      </c>
      <c r="H5431" s="1" t="s">
        <v>19</v>
      </c>
      <c r="I5431" s="1" t="s">
        <v>3140</v>
      </c>
      <c r="J5431" s="1">
        <v>0.01</v>
      </c>
      <c r="K5431" s="1">
        <v>0.16</v>
      </c>
      <c r="L5431" s="42">
        <v>7</v>
      </c>
      <c r="M5431" s="237">
        <v>46280</v>
      </c>
      <c r="N5431" s="1" t="e">
        <f>VLOOKUP(B5431,MICRO!E:L,8,0)</f>
        <v>#N/A</v>
      </c>
    </row>
    <row r="5432" spans="1:14" ht="20.25" x14ac:dyDescent="0.25">
      <c r="A5432" s="1">
        <v>149</v>
      </c>
      <c r="B5432" s="159"/>
      <c r="C5432" s="1" t="s">
        <v>3154</v>
      </c>
      <c r="D5432" s="1"/>
      <c r="E5432" s="1"/>
      <c r="F5432" s="1" t="s">
        <v>5896</v>
      </c>
      <c r="G5432" s="1">
        <v>88</v>
      </c>
      <c r="H5432" s="1" t="s">
        <v>19</v>
      </c>
      <c r="I5432" s="1" t="s">
        <v>3140</v>
      </c>
      <c r="J5432" s="1">
        <v>0.05</v>
      </c>
      <c r="K5432" s="1">
        <v>4.4000000000000004</v>
      </c>
      <c r="L5432" s="42">
        <v>7</v>
      </c>
      <c r="M5432" s="237">
        <v>46280</v>
      </c>
      <c r="N5432" s="1" t="e">
        <f>VLOOKUP(B5432,MICRO!E:L,8,0)</f>
        <v>#N/A</v>
      </c>
    </row>
    <row r="5433" spans="1:14" ht="20.25" x14ac:dyDescent="0.25">
      <c r="A5433" s="1">
        <v>150</v>
      </c>
      <c r="B5433" s="159"/>
      <c r="C5433" s="1" t="s">
        <v>3154</v>
      </c>
      <c r="D5433" s="1"/>
      <c r="E5433" s="1"/>
      <c r="F5433" s="1" t="s">
        <v>5897</v>
      </c>
      <c r="G5433" s="1">
        <v>88</v>
      </c>
      <c r="H5433" s="1" t="s">
        <v>19</v>
      </c>
      <c r="I5433" s="1" t="s">
        <v>3140</v>
      </c>
      <c r="J5433" s="1">
        <v>0.02</v>
      </c>
      <c r="K5433" s="1">
        <v>1.76</v>
      </c>
      <c r="L5433" s="42">
        <v>7</v>
      </c>
      <c r="M5433" s="237">
        <v>46280</v>
      </c>
      <c r="N5433" s="1" t="e">
        <f>VLOOKUP(B5433,MICRO!E:L,8,0)</f>
        <v>#N/A</v>
      </c>
    </row>
    <row r="5434" spans="1:14" ht="20.25" x14ac:dyDescent="0.25">
      <c r="A5434" s="1">
        <v>151</v>
      </c>
      <c r="B5434" s="159"/>
      <c r="C5434" s="1" t="s">
        <v>3154</v>
      </c>
      <c r="D5434" s="1"/>
      <c r="E5434" s="1"/>
      <c r="F5434" s="1" t="s">
        <v>5898</v>
      </c>
      <c r="G5434" s="1">
        <v>88</v>
      </c>
      <c r="H5434" s="1" t="s">
        <v>19</v>
      </c>
      <c r="I5434" s="1" t="s">
        <v>3140</v>
      </c>
      <c r="J5434" s="1">
        <v>0.01</v>
      </c>
      <c r="K5434" s="1">
        <v>0.88</v>
      </c>
      <c r="L5434" s="42">
        <v>7</v>
      </c>
      <c r="M5434" s="237">
        <v>46280</v>
      </c>
      <c r="N5434" s="1" t="e">
        <f>VLOOKUP(B5434,MICRO!E:L,8,0)</f>
        <v>#N/A</v>
      </c>
    </row>
    <row r="5435" spans="1:14" ht="20.25" x14ac:dyDescent="0.25">
      <c r="A5435" s="1">
        <v>152</v>
      </c>
      <c r="B5435" s="159"/>
      <c r="C5435" s="1" t="s">
        <v>3063</v>
      </c>
      <c r="D5435" s="1"/>
      <c r="E5435" s="1"/>
      <c r="F5435" s="1" t="s">
        <v>5899</v>
      </c>
      <c r="G5435" s="1">
        <v>16</v>
      </c>
      <c r="H5435" s="1" t="s">
        <v>19</v>
      </c>
      <c r="I5435" s="1" t="s">
        <v>3140</v>
      </c>
      <c r="J5435" s="1">
        <v>0.01</v>
      </c>
      <c r="K5435" s="1">
        <v>0.16</v>
      </c>
      <c r="L5435" s="42">
        <v>7</v>
      </c>
      <c r="M5435" s="237">
        <v>46280</v>
      </c>
      <c r="N5435" s="1" t="e">
        <f>VLOOKUP(B5435,MICRO!E:L,8,0)</f>
        <v>#N/A</v>
      </c>
    </row>
    <row r="5436" spans="1:14" ht="20.25" x14ac:dyDescent="0.25">
      <c r="A5436" s="1">
        <v>153</v>
      </c>
      <c r="B5436" s="159"/>
      <c r="C5436" s="1" t="s">
        <v>3063</v>
      </c>
      <c r="D5436" s="1"/>
      <c r="E5436" s="1"/>
      <c r="F5436" s="1" t="s">
        <v>5900</v>
      </c>
      <c r="G5436" s="1">
        <v>16</v>
      </c>
      <c r="H5436" s="1" t="s">
        <v>19</v>
      </c>
      <c r="I5436" s="1" t="s">
        <v>3140</v>
      </c>
      <c r="J5436" s="1">
        <v>0.05</v>
      </c>
      <c r="K5436" s="1">
        <v>0.8</v>
      </c>
      <c r="L5436" s="42">
        <v>7</v>
      </c>
      <c r="M5436" s="237">
        <v>46280</v>
      </c>
      <c r="N5436" s="1" t="e">
        <f>VLOOKUP(B5436,MICRO!E:L,8,0)</f>
        <v>#N/A</v>
      </c>
    </row>
    <row r="5437" spans="1:14" ht="20.25" x14ac:dyDescent="0.25">
      <c r="A5437" s="1">
        <v>154</v>
      </c>
      <c r="B5437" s="159"/>
      <c r="C5437" s="1" t="s">
        <v>3039</v>
      </c>
      <c r="D5437" s="1"/>
      <c r="E5437" s="1"/>
      <c r="F5437" s="1" t="s">
        <v>5901</v>
      </c>
      <c r="G5437" s="1">
        <v>8</v>
      </c>
      <c r="H5437" s="1" t="s">
        <v>19</v>
      </c>
      <c r="I5437" s="1" t="s">
        <v>3034</v>
      </c>
      <c r="J5437" s="1">
        <v>0.02</v>
      </c>
      <c r="K5437" s="1">
        <v>0.16</v>
      </c>
      <c r="L5437" s="42">
        <v>7</v>
      </c>
      <c r="M5437" s="237">
        <v>46280</v>
      </c>
      <c r="N5437" s="1" t="e">
        <f>VLOOKUP(B5437,MICRO!E:L,8,0)</f>
        <v>#N/A</v>
      </c>
    </row>
    <row r="5438" spans="1:14" ht="20.25" x14ac:dyDescent="0.25">
      <c r="A5438" s="1">
        <v>155</v>
      </c>
      <c r="B5438" s="159"/>
      <c r="C5438" s="1" t="s">
        <v>5796</v>
      </c>
      <c r="D5438" s="1"/>
      <c r="E5438" s="1"/>
      <c r="F5438" s="1" t="s">
        <v>5902</v>
      </c>
      <c r="G5438" s="1">
        <v>210</v>
      </c>
      <c r="H5438" s="1" t="s">
        <v>19</v>
      </c>
      <c r="I5438" s="1" t="s">
        <v>3034</v>
      </c>
      <c r="J5438" s="1">
        <v>0.02</v>
      </c>
      <c r="K5438" s="1">
        <v>4.2</v>
      </c>
      <c r="L5438" s="42">
        <v>7</v>
      </c>
      <c r="M5438" s="237">
        <v>46280</v>
      </c>
      <c r="N5438" s="1" t="e">
        <f>VLOOKUP(B5438,MICRO!E:L,8,0)</f>
        <v>#N/A</v>
      </c>
    </row>
    <row r="5439" spans="1:14" ht="20.25" x14ac:dyDescent="0.25">
      <c r="A5439" s="1">
        <v>156</v>
      </c>
      <c r="B5439" s="159"/>
      <c r="C5439" s="1" t="s">
        <v>5796</v>
      </c>
      <c r="D5439" s="1"/>
      <c r="E5439" s="1"/>
      <c r="F5439" s="1" t="s">
        <v>5903</v>
      </c>
      <c r="G5439" s="1">
        <v>210</v>
      </c>
      <c r="H5439" s="1" t="s">
        <v>19</v>
      </c>
      <c r="I5439" s="1" t="s">
        <v>3034</v>
      </c>
      <c r="J5439" s="1">
        <v>0.01</v>
      </c>
      <c r="K5439" s="1">
        <v>2.1</v>
      </c>
      <c r="L5439" s="42">
        <v>7</v>
      </c>
      <c r="M5439" s="237">
        <v>46280</v>
      </c>
      <c r="N5439" s="1" t="e">
        <f>VLOOKUP(B5439,MICRO!E:L,8,0)</f>
        <v>#N/A</v>
      </c>
    </row>
    <row r="5440" spans="1:14" ht="20.25" x14ac:dyDescent="0.25">
      <c r="A5440" s="1">
        <v>157</v>
      </c>
      <c r="B5440" s="159"/>
      <c r="C5440" s="1" t="s">
        <v>5796</v>
      </c>
      <c r="D5440" s="1"/>
      <c r="E5440" s="1"/>
      <c r="F5440" s="1" t="s">
        <v>5904</v>
      </c>
      <c r="G5440" s="1">
        <v>174</v>
      </c>
      <c r="H5440" s="1" t="s">
        <v>19</v>
      </c>
      <c r="I5440" s="1" t="s">
        <v>3034</v>
      </c>
      <c r="J5440" s="1">
        <v>0.05</v>
      </c>
      <c r="K5440" s="1">
        <v>8.7000000000000011</v>
      </c>
      <c r="L5440" s="42">
        <v>7</v>
      </c>
      <c r="M5440" s="237">
        <v>46280</v>
      </c>
      <c r="N5440" s="1" t="e">
        <f>VLOOKUP(B5440,MICRO!E:L,8,0)</f>
        <v>#N/A</v>
      </c>
    </row>
    <row r="5441" spans="1:14" ht="20.25" x14ac:dyDescent="0.25">
      <c r="A5441" s="1">
        <v>158</v>
      </c>
      <c r="B5441" s="159"/>
      <c r="C5441" s="1" t="s">
        <v>5796</v>
      </c>
      <c r="D5441" s="1"/>
      <c r="E5441" s="1"/>
      <c r="F5441" s="1" t="s">
        <v>5905</v>
      </c>
      <c r="G5441" s="1">
        <v>174</v>
      </c>
      <c r="H5441" s="1" t="s">
        <v>19</v>
      </c>
      <c r="I5441" s="1" t="s">
        <v>3034</v>
      </c>
      <c r="J5441" s="1">
        <v>0.02</v>
      </c>
      <c r="K5441" s="1">
        <v>3.48</v>
      </c>
      <c r="L5441" s="42">
        <v>7</v>
      </c>
      <c r="M5441" s="237">
        <v>46280</v>
      </c>
      <c r="N5441" s="1" t="e">
        <f>VLOOKUP(B5441,MICRO!E:L,8,0)</f>
        <v>#N/A</v>
      </c>
    </row>
    <row r="5442" spans="1:14" ht="20.25" x14ac:dyDescent="0.25">
      <c r="A5442" s="1">
        <v>159</v>
      </c>
      <c r="B5442" s="159"/>
      <c r="C5442" s="1" t="s">
        <v>5796</v>
      </c>
      <c r="D5442" s="1"/>
      <c r="E5442" s="1"/>
      <c r="F5442" s="1" t="s">
        <v>5906</v>
      </c>
      <c r="G5442" s="1">
        <v>174</v>
      </c>
      <c r="H5442" s="1" t="s">
        <v>19</v>
      </c>
      <c r="I5442" s="1" t="s">
        <v>3034</v>
      </c>
      <c r="J5442" s="1">
        <v>0.01</v>
      </c>
      <c r="K5442" s="1">
        <v>1.74</v>
      </c>
      <c r="L5442" s="42">
        <v>7</v>
      </c>
      <c r="M5442" s="237">
        <v>46280</v>
      </c>
      <c r="N5442" s="1" t="e">
        <f>VLOOKUP(B5442,MICRO!E:L,8,0)</f>
        <v>#N/A</v>
      </c>
    </row>
    <row r="5443" spans="1:14" ht="20.25" x14ac:dyDescent="0.25">
      <c r="A5443" s="1">
        <v>160</v>
      </c>
      <c r="B5443" s="159"/>
      <c r="C5443" s="1" t="s">
        <v>3127</v>
      </c>
      <c r="D5443" s="1"/>
      <c r="E5443" s="1"/>
      <c r="F5443" s="1" t="s">
        <v>5907</v>
      </c>
      <c r="G5443" s="1">
        <v>132</v>
      </c>
      <c r="H5443" s="1" t="s">
        <v>19</v>
      </c>
      <c r="I5443" s="1" t="s">
        <v>3034</v>
      </c>
      <c r="J5443" s="1">
        <v>0.02</v>
      </c>
      <c r="K5443" s="1">
        <v>2.64</v>
      </c>
      <c r="L5443" s="42">
        <v>7</v>
      </c>
      <c r="M5443" s="237">
        <v>46280</v>
      </c>
      <c r="N5443" s="1" t="e">
        <f>VLOOKUP(B5443,MICRO!E:L,8,0)</f>
        <v>#N/A</v>
      </c>
    </row>
    <row r="5444" spans="1:14" ht="20.25" x14ac:dyDescent="0.25">
      <c r="A5444" s="1">
        <v>161</v>
      </c>
      <c r="B5444" s="159"/>
      <c r="C5444" s="1" t="s">
        <v>3127</v>
      </c>
      <c r="D5444" s="1"/>
      <c r="E5444" s="1"/>
      <c r="F5444" s="1" t="s">
        <v>5908</v>
      </c>
      <c r="G5444" s="1">
        <v>132</v>
      </c>
      <c r="H5444" s="1" t="s">
        <v>19</v>
      </c>
      <c r="I5444" s="1" t="s">
        <v>3034</v>
      </c>
      <c r="J5444" s="1">
        <v>0.01</v>
      </c>
      <c r="K5444" s="1">
        <v>1.32</v>
      </c>
      <c r="L5444" s="42">
        <v>7</v>
      </c>
      <c r="M5444" s="237">
        <v>46280</v>
      </c>
      <c r="N5444" s="1" t="e">
        <f>VLOOKUP(B5444,MICRO!E:L,8,0)</f>
        <v>#N/A</v>
      </c>
    </row>
    <row r="5445" spans="1:14" ht="20.25" x14ac:dyDescent="0.25">
      <c r="A5445" s="1">
        <v>162</v>
      </c>
      <c r="B5445" s="159"/>
      <c r="C5445" s="1" t="s">
        <v>5796</v>
      </c>
      <c r="D5445" s="1"/>
      <c r="E5445" s="1"/>
      <c r="F5445" s="1" t="s">
        <v>5909</v>
      </c>
      <c r="G5445" s="1">
        <v>210</v>
      </c>
      <c r="H5445" s="1" t="s">
        <v>19</v>
      </c>
      <c r="I5445" s="1" t="s">
        <v>3034</v>
      </c>
      <c r="J5445" s="1">
        <v>0.05</v>
      </c>
      <c r="K5445" s="1">
        <v>10.5</v>
      </c>
      <c r="L5445" s="42">
        <v>7</v>
      </c>
      <c r="M5445" s="237">
        <v>46280</v>
      </c>
      <c r="N5445" s="1" t="e">
        <f>VLOOKUP(B5445,MICRO!E:L,8,0)</f>
        <v>#N/A</v>
      </c>
    </row>
    <row r="5446" spans="1:14" ht="20.25" x14ac:dyDescent="0.25">
      <c r="A5446" s="1">
        <v>163</v>
      </c>
      <c r="B5446" s="159"/>
      <c r="C5446" s="1" t="s">
        <v>3127</v>
      </c>
      <c r="D5446" s="1"/>
      <c r="E5446" s="1"/>
      <c r="F5446" s="1" t="s">
        <v>5910</v>
      </c>
      <c r="G5446" s="1">
        <v>132</v>
      </c>
      <c r="H5446" s="1" t="s">
        <v>19</v>
      </c>
      <c r="I5446" s="1" t="s">
        <v>3034</v>
      </c>
      <c r="J5446" s="1">
        <v>0.05</v>
      </c>
      <c r="K5446" s="1">
        <v>6.6000000000000005</v>
      </c>
      <c r="L5446" s="42">
        <v>7</v>
      </c>
      <c r="M5446" s="237">
        <v>46280</v>
      </c>
      <c r="N5446" s="1" t="e">
        <f>VLOOKUP(B5446,MICRO!E:L,8,0)</f>
        <v>#N/A</v>
      </c>
    </row>
    <row r="5447" spans="1:14" ht="20.25" x14ac:dyDescent="0.25">
      <c r="A5447" s="1">
        <v>164</v>
      </c>
      <c r="B5447" s="159"/>
      <c r="C5447" s="1" t="s">
        <v>5911</v>
      </c>
      <c r="D5447" s="1"/>
      <c r="E5447" s="1"/>
      <c r="F5447" s="1" t="s">
        <v>5912</v>
      </c>
      <c r="G5447" s="1">
        <v>36</v>
      </c>
      <c r="H5447" s="1" t="s">
        <v>19</v>
      </c>
      <c r="I5447" s="1" t="s">
        <v>3140</v>
      </c>
      <c r="J5447" s="1">
        <v>0.05</v>
      </c>
      <c r="K5447" s="1">
        <v>1.8</v>
      </c>
      <c r="L5447" s="42">
        <v>7</v>
      </c>
      <c r="M5447" s="237">
        <v>46280</v>
      </c>
      <c r="N5447" s="1" t="e">
        <f>VLOOKUP(B5447,MICRO!E:L,8,0)</f>
        <v>#N/A</v>
      </c>
    </row>
    <row r="5448" spans="1:14" ht="20.25" x14ac:dyDescent="0.25">
      <c r="A5448" s="1">
        <v>165</v>
      </c>
      <c r="B5448" s="159"/>
      <c r="C5448" s="1" t="s">
        <v>5911</v>
      </c>
      <c r="D5448" s="1"/>
      <c r="E5448" s="1"/>
      <c r="F5448" s="1" t="s">
        <v>5913</v>
      </c>
      <c r="G5448" s="1">
        <v>36</v>
      </c>
      <c r="H5448" s="1" t="s">
        <v>19</v>
      </c>
      <c r="I5448" s="1" t="s">
        <v>3140</v>
      </c>
      <c r="J5448" s="1">
        <v>0.01</v>
      </c>
      <c r="K5448" s="1">
        <v>0.36</v>
      </c>
      <c r="L5448" s="42">
        <v>7</v>
      </c>
      <c r="M5448" s="237">
        <v>46280</v>
      </c>
      <c r="N5448" s="1" t="e">
        <f>VLOOKUP(B5448,MICRO!E:L,8,0)</f>
        <v>#N/A</v>
      </c>
    </row>
    <row r="5449" spans="1:14" ht="20.25" x14ac:dyDescent="0.25">
      <c r="A5449" s="1">
        <v>166</v>
      </c>
      <c r="B5449" s="159"/>
      <c r="C5449" s="1" t="s">
        <v>3124</v>
      </c>
      <c r="D5449" s="1"/>
      <c r="E5449" s="1"/>
      <c r="F5449" s="1" t="s">
        <v>5914</v>
      </c>
      <c r="G5449" s="1">
        <v>2</v>
      </c>
      <c r="H5449" s="1" t="s">
        <v>19</v>
      </c>
      <c r="I5449" s="1" t="s">
        <v>3034</v>
      </c>
      <c r="J5449" s="1">
        <v>0.05</v>
      </c>
      <c r="K5449" s="1">
        <v>0.1</v>
      </c>
      <c r="L5449" s="42">
        <v>7</v>
      </c>
      <c r="M5449" s="237">
        <v>46280</v>
      </c>
      <c r="N5449" s="1" t="e">
        <f>VLOOKUP(B5449,MICRO!E:L,8,0)</f>
        <v>#N/A</v>
      </c>
    </row>
    <row r="5450" spans="1:14" ht="20.25" x14ac:dyDescent="0.25">
      <c r="A5450" s="1">
        <v>167</v>
      </c>
      <c r="B5450" s="159"/>
      <c r="C5450" s="1" t="s">
        <v>3124</v>
      </c>
      <c r="D5450" s="1"/>
      <c r="E5450" s="1"/>
      <c r="F5450" s="1" t="s">
        <v>5915</v>
      </c>
      <c r="G5450" s="1">
        <v>4</v>
      </c>
      <c r="H5450" s="1" t="s">
        <v>19</v>
      </c>
      <c r="I5450" s="1" t="s">
        <v>3034</v>
      </c>
      <c r="J5450" s="1">
        <v>0.02</v>
      </c>
      <c r="K5450" s="1">
        <v>0.08</v>
      </c>
      <c r="L5450" s="42">
        <v>7</v>
      </c>
      <c r="M5450" s="237">
        <v>46280</v>
      </c>
      <c r="N5450" s="1" t="e">
        <f>VLOOKUP(B5450,MICRO!E:L,8,0)</f>
        <v>#N/A</v>
      </c>
    </row>
    <row r="5451" spans="1:14" ht="20.25" x14ac:dyDescent="0.25">
      <c r="A5451" s="1">
        <v>168</v>
      </c>
      <c r="B5451" s="159"/>
      <c r="C5451" s="1" t="s">
        <v>3127</v>
      </c>
      <c r="D5451" s="1"/>
      <c r="E5451" s="1"/>
      <c r="F5451" s="1" t="s">
        <v>5916</v>
      </c>
      <c r="G5451" s="1">
        <v>140</v>
      </c>
      <c r="H5451" s="1" t="s">
        <v>19</v>
      </c>
      <c r="I5451" s="1" t="s">
        <v>3034</v>
      </c>
      <c r="J5451" s="1">
        <v>0.05</v>
      </c>
      <c r="K5451" s="1">
        <v>7</v>
      </c>
      <c r="L5451" s="42">
        <v>7</v>
      </c>
      <c r="M5451" s="237">
        <v>46280</v>
      </c>
      <c r="N5451" s="1" t="e">
        <f>VLOOKUP(B5451,MICRO!E:L,8,0)</f>
        <v>#N/A</v>
      </c>
    </row>
    <row r="5452" spans="1:14" ht="20.25" x14ac:dyDescent="0.25">
      <c r="A5452" s="1">
        <v>169</v>
      </c>
      <c r="B5452" s="159"/>
      <c r="C5452" s="1" t="s">
        <v>3127</v>
      </c>
      <c r="D5452" s="1"/>
      <c r="E5452" s="1"/>
      <c r="F5452" s="1" t="s">
        <v>5917</v>
      </c>
      <c r="G5452" s="1">
        <v>140</v>
      </c>
      <c r="H5452" s="1" t="s">
        <v>19</v>
      </c>
      <c r="I5452" s="1" t="s">
        <v>3034</v>
      </c>
      <c r="J5452" s="1">
        <v>0.02</v>
      </c>
      <c r="K5452" s="1">
        <v>2.8000000000000003</v>
      </c>
      <c r="L5452" s="42">
        <v>7</v>
      </c>
      <c r="M5452" s="237">
        <v>46280</v>
      </c>
      <c r="N5452" s="1" t="e">
        <f>VLOOKUP(B5452,MICRO!E:L,8,0)</f>
        <v>#N/A</v>
      </c>
    </row>
    <row r="5453" spans="1:14" ht="20.25" x14ac:dyDescent="0.25">
      <c r="A5453" s="1">
        <v>170</v>
      </c>
      <c r="B5453" s="159"/>
      <c r="C5453" s="1" t="s">
        <v>3127</v>
      </c>
      <c r="D5453" s="1"/>
      <c r="E5453" s="1"/>
      <c r="F5453" s="1" t="s">
        <v>5918</v>
      </c>
      <c r="G5453" s="1">
        <v>140</v>
      </c>
      <c r="H5453" s="1" t="s">
        <v>19</v>
      </c>
      <c r="I5453" s="1" t="s">
        <v>3034</v>
      </c>
      <c r="J5453" s="1">
        <v>0.01</v>
      </c>
      <c r="K5453" s="1">
        <v>1.4000000000000001</v>
      </c>
      <c r="L5453" s="42">
        <v>7</v>
      </c>
      <c r="M5453" s="237">
        <v>46280</v>
      </c>
      <c r="N5453" s="1" t="e">
        <f>VLOOKUP(B5453,MICRO!E:L,8,0)</f>
        <v>#N/A</v>
      </c>
    </row>
    <row r="5454" spans="1:14" ht="20.25" x14ac:dyDescent="0.25">
      <c r="A5454" s="1">
        <v>171</v>
      </c>
      <c r="B5454" s="159"/>
      <c r="C5454" s="1" t="s">
        <v>3296</v>
      </c>
      <c r="D5454" s="1"/>
      <c r="E5454" s="1"/>
      <c r="F5454" s="1" t="s">
        <v>5919</v>
      </c>
      <c r="G5454" s="1">
        <v>1</v>
      </c>
      <c r="H5454" s="1" t="s">
        <v>19</v>
      </c>
      <c r="I5454" s="1" t="s">
        <v>3034</v>
      </c>
      <c r="J5454" s="1">
        <v>0.05</v>
      </c>
      <c r="K5454" s="1">
        <v>0.05</v>
      </c>
      <c r="L5454" s="42">
        <v>7</v>
      </c>
      <c r="M5454" s="237">
        <v>46280</v>
      </c>
      <c r="N5454" s="1" t="e">
        <f>VLOOKUP(B5454,MICRO!E:L,8,0)</f>
        <v>#N/A</v>
      </c>
    </row>
    <row r="5455" spans="1:14" ht="20.25" x14ac:dyDescent="0.25">
      <c r="A5455" s="1">
        <v>172</v>
      </c>
      <c r="B5455" s="159"/>
      <c r="C5455" s="1" t="s">
        <v>3296</v>
      </c>
      <c r="D5455" s="1"/>
      <c r="E5455" s="1"/>
      <c r="F5455" s="1" t="s">
        <v>5920</v>
      </c>
      <c r="G5455" s="1">
        <v>2</v>
      </c>
      <c r="H5455" s="1" t="s">
        <v>19</v>
      </c>
      <c r="I5455" s="1" t="s">
        <v>3034</v>
      </c>
      <c r="J5455" s="1">
        <v>0.02</v>
      </c>
      <c r="K5455" s="1">
        <v>0.04</v>
      </c>
      <c r="L5455" s="42">
        <v>7</v>
      </c>
      <c r="M5455" s="237">
        <v>46280</v>
      </c>
      <c r="N5455" s="1" t="e">
        <f>VLOOKUP(B5455,MICRO!E:L,8,0)</f>
        <v>#N/A</v>
      </c>
    </row>
    <row r="5456" spans="1:14" ht="20.25" x14ac:dyDescent="0.25">
      <c r="A5456" s="1">
        <v>173</v>
      </c>
      <c r="B5456" s="159"/>
      <c r="C5456" s="1" t="s">
        <v>3296</v>
      </c>
      <c r="D5456" s="1"/>
      <c r="E5456" s="1"/>
      <c r="F5456" s="1" t="s">
        <v>5921</v>
      </c>
      <c r="G5456" s="1">
        <v>3</v>
      </c>
      <c r="H5456" s="1" t="s">
        <v>19</v>
      </c>
      <c r="I5456" s="1" t="s">
        <v>3034</v>
      </c>
      <c r="J5456" s="1">
        <v>0.01</v>
      </c>
      <c r="K5456" s="1">
        <v>0.03</v>
      </c>
      <c r="L5456" s="42">
        <v>7</v>
      </c>
      <c r="M5456" s="237">
        <v>46280</v>
      </c>
      <c r="N5456" s="1" t="e">
        <f>VLOOKUP(B5456,MICRO!E:L,8,0)</f>
        <v>#N/A</v>
      </c>
    </row>
    <row r="5457" spans="1:14" ht="20.25" x14ac:dyDescent="0.25">
      <c r="A5457" s="1">
        <v>174</v>
      </c>
      <c r="B5457" s="159"/>
      <c r="C5457" s="1" t="s">
        <v>3301</v>
      </c>
      <c r="D5457" s="1"/>
      <c r="E5457" s="1"/>
      <c r="F5457" s="1" t="s">
        <v>5922</v>
      </c>
      <c r="G5457" s="1">
        <v>6</v>
      </c>
      <c r="H5457" s="1" t="s">
        <v>19</v>
      </c>
      <c r="I5457" s="1" t="s">
        <v>3034</v>
      </c>
      <c r="J5457" s="1">
        <v>0.05</v>
      </c>
      <c r="K5457" s="1">
        <v>0.30000000000000004</v>
      </c>
      <c r="L5457" s="42">
        <v>7</v>
      </c>
      <c r="M5457" s="237">
        <v>46280</v>
      </c>
      <c r="N5457" s="1" t="e">
        <f>VLOOKUP(B5457,MICRO!E:L,8,0)</f>
        <v>#N/A</v>
      </c>
    </row>
    <row r="5458" spans="1:14" ht="20.25" x14ac:dyDescent="0.25">
      <c r="A5458" s="1">
        <v>175</v>
      </c>
      <c r="B5458" s="159"/>
      <c r="C5458" s="1" t="s">
        <v>3301</v>
      </c>
      <c r="D5458" s="1"/>
      <c r="E5458" s="1"/>
      <c r="F5458" s="1" t="s">
        <v>5923</v>
      </c>
      <c r="G5458" s="1">
        <v>6</v>
      </c>
      <c r="H5458" s="1" t="s">
        <v>19</v>
      </c>
      <c r="I5458" s="1" t="s">
        <v>3034</v>
      </c>
      <c r="J5458" s="1">
        <v>0.02</v>
      </c>
      <c r="K5458" s="1">
        <v>0.12</v>
      </c>
      <c r="L5458" s="42">
        <v>7</v>
      </c>
      <c r="M5458" s="237">
        <v>46280</v>
      </c>
      <c r="N5458" s="1" t="e">
        <f>VLOOKUP(B5458,MICRO!E:L,8,0)</f>
        <v>#N/A</v>
      </c>
    </row>
    <row r="5459" spans="1:14" ht="20.25" x14ac:dyDescent="0.25">
      <c r="A5459" s="1">
        <v>176</v>
      </c>
      <c r="B5459" s="159"/>
      <c r="C5459" s="1" t="s">
        <v>3301</v>
      </c>
      <c r="D5459" s="1"/>
      <c r="E5459" s="1"/>
      <c r="F5459" s="1" t="s">
        <v>5924</v>
      </c>
      <c r="G5459" s="1">
        <v>6</v>
      </c>
      <c r="H5459" s="1" t="s">
        <v>19</v>
      </c>
      <c r="I5459" s="1" t="s">
        <v>3034</v>
      </c>
      <c r="J5459" s="1">
        <v>0.01</v>
      </c>
      <c r="K5459" s="1">
        <v>0.06</v>
      </c>
      <c r="L5459" s="42">
        <v>7</v>
      </c>
      <c r="M5459" s="237">
        <v>46280</v>
      </c>
      <c r="N5459" s="1" t="e">
        <f>VLOOKUP(B5459,MICRO!E:L,8,0)</f>
        <v>#N/A</v>
      </c>
    </row>
    <row r="5460" spans="1:14" ht="20.25" x14ac:dyDescent="0.25">
      <c r="A5460" s="1">
        <v>177</v>
      </c>
      <c r="B5460" s="159"/>
      <c r="C5460" s="1" t="s">
        <v>5925</v>
      </c>
      <c r="D5460" s="1"/>
      <c r="E5460" s="1"/>
      <c r="F5460" s="1" t="s">
        <v>5926</v>
      </c>
      <c r="G5460" s="1">
        <v>29</v>
      </c>
      <c r="H5460" s="1" t="s">
        <v>19</v>
      </c>
      <c r="I5460" s="1" t="s">
        <v>3034</v>
      </c>
      <c r="J5460" s="1">
        <v>0.05</v>
      </c>
      <c r="K5460" s="1">
        <v>1.4500000000000002</v>
      </c>
      <c r="L5460" s="42">
        <v>7</v>
      </c>
      <c r="M5460" s="237">
        <v>46280</v>
      </c>
      <c r="N5460" s="1" t="e">
        <f>VLOOKUP(B5460,MICRO!E:L,8,0)</f>
        <v>#N/A</v>
      </c>
    </row>
    <row r="5461" spans="1:14" ht="20.25" x14ac:dyDescent="0.25">
      <c r="A5461" s="1">
        <v>178</v>
      </c>
      <c r="B5461" s="159"/>
      <c r="C5461" s="1" t="s">
        <v>5925</v>
      </c>
      <c r="D5461" s="1"/>
      <c r="E5461" s="1"/>
      <c r="F5461" s="1" t="s">
        <v>5927</v>
      </c>
      <c r="G5461" s="1">
        <v>29</v>
      </c>
      <c r="H5461" s="1" t="s">
        <v>19</v>
      </c>
      <c r="I5461" s="1" t="s">
        <v>3034</v>
      </c>
      <c r="J5461" s="1">
        <v>0.02</v>
      </c>
      <c r="K5461" s="1">
        <v>0.57999999999999996</v>
      </c>
      <c r="L5461" s="42">
        <v>7</v>
      </c>
      <c r="M5461" s="237">
        <v>46280</v>
      </c>
      <c r="N5461" s="1" t="e">
        <f>VLOOKUP(B5461,MICRO!E:L,8,0)</f>
        <v>#N/A</v>
      </c>
    </row>
    <row r="5462" spans="1:14" ht="20.25" x14ac:dyDescent="0.25">
      <c r="A5462" s="1">
        <v>179</v>
      </c>
      <c r="B5462" s="159"/>
      <c r="C5462" s="1" t="s">
        <v>5925</v>
      </c>
      <c r="D5462" s="1"/>
      <c r="E5462" s="1"/>
      <c r="F5462" s="1" t="s">
        <v>5928</v>
      </c>
      <c r="G5462" s="1">
        <v>29</v>
      </c>
      <c r="H5462" s="1" t="s">
        <v>19</v>
      </c>
      <c r="I5462" s="1" t="s">
        <v>3034</v>
      </c>
      <c r="J5462" s="1">
        <v>0.01</v>
      </c>
      <c r="K5462" s="1">
        <v>0.28999999999999998</v>
      </c>
      <c r="L5462" s="42">
        <v>7</v>
      </c>
      <c r="M5462" s="237">
        <v>46280</v>
      </c>
      <c r="N5462" s="1" t="e">
        <f>VLOOKUP(B5462,MICRO!E:L,8,0)</f>
        <v>#N/A</v>
      </c>
    </row>
    <row r="5463" spans="1:14" ht="20.25" x14ac:dyDescent="0.25">
      <c r="A5463" s="1">
        <v>180</v>
      </c>
      <c r="B5463" s="159"/>
      <c r="C5463" s="1" t="s">
        <v>5925</v>
      </c>
      <c r="D5463" s="1"/>
      <c r="E5463" s="1"/>
      <c r="F5463" s="1" t="s">
        <v>5929</v>
      </c>
      <c r="G5463" s="1">
        <v>12</v>
      </c>
      <c r="H5463" s="1" t="s">
        <v>19</v>
      </c>
      <c r="I5463" s="1" t="s">
        <v>3034</v>
      </c>
      <c r="J5463" s="1">
        <v>0.05</v>
      </c>
      <c r="K5463" s="1">
        <v>0.60000000000000009</v>
      </c>
      <c r="L5463" s="42">
        <v>7</v>
      </c>
      <c r="M5463" s="237">
        <v>46280</v>
      </c>
      <c r="N5463" s="1" t="e">
        <f>VLOOKUP(B5463,MICRO!E:L,8,0)</f>
        <v>#N/A</v>
      </c>
    </row>
    <row r="5464" spans="1:14" ht="20.25" x14ac:dyDescent="0.25">
      <c r="A5464" s="1">
        <v>181</v>
      </c>
      <c r="B5464" s="159"/>
      <c r="C5464" s="1" t="s">
        <v>5925</v>
      </c>
      <c r="D5464" s="1"/>
      <c r="E5464" s="1"/>
      <c r="F5464" s="1" t="s">
        <v>5930</v>
      </c>
      <c r="G5464" s="1">
        <v>12</v>
      </c>
      <c r="H5464" s="1" t="s">
        <v>19</v>
      </c>
      <c r="I5464" s="1" t="s">
        <v>3034</v>
      </c>
      <c r="J5464" s="1">
        <v>0.02</v>
      </c>
      <c r="K5464" s="1">
        <v>0.24</v>
      </c>
      <c r="L5464" s="42">
        <v>7</v>
      </c>
      <c r="M5464" s="237">
        <v>46280</v>
      </c>
      <c r="N5464" s="1" t="e">
        <f>VLOOKUP(B5464,MICRO!E:L,8,0)</f>
        <v>#N/A</v>
      </c>
    </row>
    <row r="5465" spans="1:14" ht="20.25" x14ac:dyDescent="0.25">
      <c r="A5465" s="1">
        <v>182</v>
      </c>
      <c r="B5465" s="159"/>
      <c r="C5465" s="1" t="s">
        <v>5925</v>
      </c>
      <c r="D5465" s="1"/>
      <c r="E5465" s="1"/>
      <c r="F5465" s="1" t="s">
        <v>5931</v>
      </c>
      <c r="G5465" s="1">
        <v>12</v>
      </c>
      <c r="H5465" s="1" t="s">
        <v>19</v>
      </c>
      <c r="I5465" s="1" t="s">
        <v>3034</v>
      </c>
      <c r="J5465" s="1">
        <v>0.01</v>
      </c>
      <c r="K5465" s="1">
        <v>0.12</v>
      </c>
      <c r="L5465" s="42">
        <v>7</v>
      </c>
      <c r="M5465" s="237">
        <v>46280</v>
      </c>
      <c r="N5465" s="1" t="e">
        <f>VLOOKUP(B5465,MICRO!E:L,8,0)</f>
        <v>#N/A</v>
      </c>
    </row>
    <row r="5466" spans="1:14" ht="20.25" x14ac:dyDescent="0.25">
      <c r="A5466" s="1">
        <v>183</v>
      </c>
      <c r="B5466" s="159"/>
      <c r="C5466" s="1" t="s">
        <v>3296</v>
      </c>
      <c r="D5466" s="1"/>
      <c r="E5466" s="1"/>
      <c r="F5466" s="1" t="s">
        <v>5932</v>
      </c>
      <c r="G5466" s="1">
        <v>2</v>
      </c>
      <c r="H5466" s="1" t="s">
        <v>19</v>
      </c>
      <c r="I5466" s="1" t="s">
        <v>3034</v>
      </c>
      <c r="J5466" s="1">
        <v>0.03</v>
      </c>
      <c r="K5466" s="1">
        <v>0.06</v>
      </c>
      <c r="L5466" s="42">
        <v>7</v>
      </c>
      <c r="M5466" s="237">
        <v>46280</v>
      </c>
      <c r="N5466" s="1" t="e">
        <f>VLOOKUP(B5466,MICRO!E:L,8,0)</f>
        <v>#N/A</v>
      </c>
    </row>
    <row r="5467" spans="1:14" ht="20.25" x14ac:dyDescent="0.25">
      <c r="A5467" s="1">
        <v>1</v>
      </c>
      <c r="B5467" s="159">
        <v>4531</v>
      </c>
      <c r="C5467" s="1" t="s">
        <v>5051</v>
      </c>
      <c r="D5467" s="1" t="s">
        <v>5052</v>
      </c>
      <c r="E5467" s="1" t="s">
        <v>2</v>
      </c>
      <c r="F5467" s="1" t="s">
        <v>5053</v>
      </c>
      <c r="G5467" s="1">
        <v>1</v>
      </c>
      <c r="H5467" s="1" t="s">
        <v>5933</v>
      </c>
      <c r="I5467" s="1" t="s">
        <v>3140</v>
      </c>
      <c r="J5467" s="1">
        <v>368.4</v>
      </c>
      <c r="K5467" s="1">
        <v>368.4</v>
      </c>
      <c r="L5467" s="42">
        <v>8</v>
      </c>
      <c r="M5467" s="237">
        <v>46280</v>
      </c>
      <c r="N5467" s="1" t="str">
        <f>VLOOKUP(B5467,MICRO!E:L,8,0)</f>
        <v>P-198</v>
      </c>
    </row>
    <row r="5468" spans="1:14" ht="20.25" x14ac:dyDescent="0.25">
      <c r="A5468" s="1">
        <v>2</v>
      </c>
      <c r="B5468" s="159">
        <v>4532</v>
      </c>
      <c r="C5468" s="1" t="s">
        <v>5051</v>
      </c>
      <c r="D5468" s="1" t="s">
        <v>5052</v>
      </c>
      <c r="E5468" s="1" t="s">
        <v>43</v>
      </c>
      <c r="F5468" s="1" t="s">
        <v>5054</v>
      </c>
      <c r="G5468" s="1">
        <v>1</v>
      </c>
      <c r="H5468" s="1" t="s">
        <v>5933</v>
      </c>
      <c r="I5468" s="1" t="s">
        <v>3140</v>
      </c>
      <c r="J5468" s="1">
        <v>368.7</v>
      </c>
      <c r="K5468" s="1">
        <v>368.7</v>
      </c>
      <c r="L5468" s="42">
        <v>8</v>
      </c>
      <c r="M5468" s="237">
        <v>46280</v>
      </c>
      <c r="N5468" s="1" t="str">
        <f>VLOOKUP(B5468,MICRO!E:L,8,0)</f>
        <v>P-198</v>
      </c>
    </row>
    <row r="5469" spans="1:14" ht="20.25" x14ac:dyDescent="0.25">
      <c r="A5469" s="1">
        <v>3</v>
      </c>
      <c r="B5469" s="159">
        <v>4530</v>
      </c>
      <c r="C5469" s="1" t="s">
        <v>5048</v>
      </c>
      <c r="D5469" s="1" t="s">
        <v>5049</v>
      </c>
      <c r="E5469" s="1" t="s">
        <v>2</v>
      </c>
      <c r="F5469" s="1" t="s">
        <v>5050</v>
      </c>
      <c r="G5469" s="1">
        <v>1</v>
      </c>
      <c r="H5469" s="1" t="s">
        <v>5933</v>
      </c>
      <c r="I5469" s="1" t="s">
        <v>3140</v>
      </c>
      <c r="J5469" s="1">
        <v>643.4</v>
      </c>
      <c r="K5469" s="1">
        <v>643.4</v>
      </c>
      <c r="L5469" s="42">
        <v>8</v>
      </c>
      <c r="M5469" s="237">
        <v>46280</v>
      </c>
      <c r="N5469" s="1" t="str">
        <f>VLOOKUP(B5469,MICRO!E:L,8,0)</f>
        <v>P-198</v>
      </c>
    </row>
    <row r="5470" spans="1:14" ht="20.25" x14ac:dyDescent="0.25">
      <c r="A5470" s="1">
        <v>4</v>
      </c>
      <c r="B5470" s="159">
        <v>4529</v>
      </c>
      <c r="C5470" s="1" t="s">
        <v>5045</v>
      </c>
      <c r="D5470" s="1" t="s">
        <v>5046</v>
      </c>
      <c r="E5470" s="1" t="s">
        <v>2</v>
      </c>
      <c r="F5470" s="1" t="s">
        <v>5047</v>
      </c>
      <c r="G5470" s="1">
        <v>1</v>
      </c>
      <c r="H5470" s="1" t="s">
        <v>5933</v>
      </c>
      <c r="I5470" s="1" t="s">
        <v>3140</v>
      </c>
      <c r="J5470" s="1">
        <v>886.6</v>
      </c>
      <c r="K5470" s="1">
        <v>886.6</v>
      </c>
      <c r="L5470" s="42">
        <v>8</v>
      </c>
      <c r="M5470" s="237">
        <v>46280</v>
      </c>
      <c r="N5470" s="1" t="str">
        <f>VLOOKUP(B5470,MICRO!E:L,8,0)</f>
        <v>P-198</v>
      </c>
    </row>
    <row r="5471" spans="1:14" ht="20.25" x14ac:dyDescent="0.25">
      <c r="A5471" s="1">
        <v>5</v>
      </c>
      <c r="B5471" s="159">
        <v>4527</v>
      </c>
      <c r="C5471" s="1" t="s">
        <v>5041</v>
      </c>
      <c r="D5471" s="1" t="s">
        <v>5042</v>
      </c>
      <c r="E5471" s="1" t="s">
        <v>2</v>
      </c>
      <c r="F5471" s="1" t="s">
        <v>5043</v>
      </c>
      <c r="G5471" s="1">
        <v>1</v>
      </c>
      <c r="H5471" s="1" t="s">
        <v>5933</v>
      </c>
      <c r="I5471" s="1" t="s">
        <v>3140</v>
      </c>
      <c r="J5471" s="1">
        <v>297.8</v>
      </c>
      <c r="K5471" s="1">
        <v>297.8</v>
      </c>
      <c r="L5471" s="42">
        <v>8</v>
      </c>
      <c r="M5471" s="237">
        <v>46280</v>
      </c>
      <c r="N5471" s="1" t="str">
        <f>VLOOKUP(B5471,MICRO!E:L,8,0)</f>
        <v>P-198</v>
      </c>
    </row>
    <row r="5472" spans="1:14" ht="20.25" x14ac:dyDescent="0.25">
      <c r="A5472" s="1">
        <v>6</v>
      </c>
      <c r="B5472" s="159">
        <v>4528</v>
      </c>
      <c r="C5472" s="1" t="s">
        <v>5041</v>
      </c>
      <c r="D5472" s="1" t="s">
        <v>5042</v>
      </c>
      <c r="E5472" s="1" t="s">
        <v>43</v>
      </c>
      <c r="F5472" s="1" t="s">
        <v>5044</v>
      </c>
      <c r="G5472" s="1">
        <v>1</v>
      </c>
      <c r="H5472" s="1" t="s">
        <v>5933</v>
      </c>
      <c r="I5472" s="1" t="s">
        <v>3140</v>
      </c>
      <c r="J5472" s="1">
        <v>297.8</v>
      </c>
      <c r="K5472" s="1">
        <v>297.8</v>
      </c>
      <c r="L5472" s="42">
        <v>8</v>
      </c>
      <c r="M5472" s="237">
        <v>46280</v>
      </c>
      <c r="N5472" s="1" t="str">
        <f>VLOOKUP(B5472,MICRO!E:L,8,0)</f>
        <v>P-198</v>
      </c>
    </row>
    <row r="5473" spans="1:14" ht="20.25" x14ac:dyDescent="0.25">
      <c r="A5473" s="1">
        <v>7</v>
      </c>
      <c r="B5473" s="159">
        <v>4633</v>
      </c>
      <c r="C5473" s="1" t="s">
        <v>5416</v>
      </c>
      <c r="D5473" s="1" t="s">
        <v>5229</v>
      </c>
      <c r="E5473" s="1" t="s">
        <v>2</v>
      </c>
      <c r="F5473" s="1" t="s">
        <v>5230</v>
      </c>
      <c r="G5473" s="1">
        <v>1</v>
      </c>
      <c r="H5473" s="1" t="s">
        <v>5933</v>
      </c>
      <c r="I5473" s="1" t="s">
        <v>3045</v>
      </c>
      <c r="J5473" s="1">
        <v>408.6</v>
      </c>
      <c r="K5473" s="1">
        <v>408.6</v>
      </c>
      <c r="L5473" s="42">
        <v>8</v>
      </c>
      <c r="M5473" s="237">
        <v>46280</v>
      </c>
      <c r="N5473" s="1" t="str">
        <f>VLOOKUP(B5473,MICRO!E:L,8,0)</f>
        <v>P-198</v>
      </c>
    </row>
    <row r="5474" spans="1:14" ht="20.25" x14ac:dyDescent="0.25">
      <c r="A5474" s="1">
        <v>8</v>
      </c>
      <c r="B5474" s="159">
        <v>4640</v>
      </c>
      <c r="C5474" s="1" t="s">
        <v>5282</v>
      </c>
      <c r="D5474" s="1" t="s">
        <v>5238</v>
      </c>
      <c r="E5474" s="1" t="s">
        <v>2</v>
      </c>
      <c r="F5474" s="1" t="s">
        <v>5239</v>
      </c>
      <c r="G5474" s="1">
        <v>1</v>
      </c>
      <c r="H5474" s="1" t="s">
        <v>5933</v>
      </c>
      <c r="I5474" s="1" t="s">
        <v>3045</v>
      </c>
      <c r="J5474" s="1">
        <v>204.2</v>
      </c>
      <c r="K5474" s="1">
        <v>204.2</v>
      </c>
      <c r="L5474" s="42">
        <v>8</v>
      </c>
      <c r="M5474" s="237">
        <v>46280</v>
      </c>
      <c r="N5474" s="1" t="str">
        <f>VLOOKUP(B5474,MICRO!E:L,8,0)</f>
        <v>P-198</v>
      </c>
    </row>
    <row r="5475" spans="1:14" ht="20.25" x14ac:dyDescent="0.25">
      <c r="A5475" s="1">
        <v>9</v>
      </c>
      <c r="B5475" s="159">
        <v>4661</v>
      </c>
      <c r="C5475" s="1" t="s">
        <v>5282</v>
      </c>
      <c r="D5475" s="1" t="s">
        <v>5238</v>
      </c>
      <c r="E5475" s="1" t="s">
        <v>43</v>
      </c>
      <c r="F5475" s="1" t="s">
        <v>5240</v>
      </c>
      <c r="G5475" s="1">
        <v>1</v>
      </c>
      <c r="H5475" s="1" t="s">
        <v>5933</v>
      </c>
      <c r="I5475" s="1" t="s">
        <v>3045</v>
      </c>
      <c r="J5475" s="1">
        <v>168.6</v>
      </c>
      <c r="K5475" s="1">
        <v>168.6</v>
      </c>
      <c r="L5475" s="42">
        <v>8</v>
      </c>
      <c r="M5475" s="237">
        <v>46280</v>
      </c>
      <c r="N5475" s="1" t="str">
        <f>VLOOKUP(B5475,MICRO!E:L,8,0)</f>
        <v>P-198</v>
      </c>
    </row>
    <row r="5476" spans="1:14" ht="20.25" x14ac:dyDescent="0.25">
      <c r="A5476" s="1">
        <v>10</v>
      </c>
      <c r="B5476" s="159">
        <v>4750</v>
      </c>
      <c r="C5476" s="1" t="s">
        <v>5282</v>
      </c>
      <c r="D5476" s="1" t="s">
        <v>5238</v>
      </c>
      <c r="E5476" s="1" t="s">
        <v>746</v>
      </c>
      <c r="F5476" s="1" t="s">
        <v>5417</v>
      </c>
      <c r="G5476" s="1">
        <v>1</v>
      </c>
      <c r="H5476" s="1" t="s">
        <v>5933</v>
      </c>
      <c r="I5476" s="1" t="s">
        <v>3045</v>
      </c>
      <c r="J5476" s="1">
        <v>36.4</v>
      </c>
      <c r="K5476" s="1">
        <v>36.4</v>
      </c>
      <c r="L5476" s="42">
        <v>8</v>
      </c>
      <c r="M5476" s="237">
        <v>46280</v>
      </c>
      <c r="N5476" s="1" t="str">
        <f>VLOOKUP(B5476,MICRO!E:L,8,0)</f>
        <v>P-198</v>
      </c>
    </row>
    <row r="5477" spans="1:14" ht="20.25" x14ac:dyDescent="0.25">
      <c r="A5477" s="1">
        <v>11</v>
      </c>
      <c r="B5477" s="159">
        <v>4627</v>
      </c>
      <c r="C5477" s="1" t="s">
        <v>5220</v>
      </c>
      <c r="D5477" s="1" t="s">
        <v>5221</v>
      </c>
      <c r="E5477" s="1" t="s">
        <v>2</v>
      </c>
      <c r="F5477" s="1" t="s">
        <v>5222</v>
      </c>
      <c r="G5477" s="1">
        <v>1</v>
      </c>
      <c r="H5477" s="1" t="s">
        <v>5933</v>
      </c>
      <c r="I5477" s="1" t="s">
        <v>3045</v>
      </c>
      <c r="J5477" s="1">
        <v>372</v>
      </c>
      <c r="K5477" s="1">
        <v>372</v>
      </c>
      <c r="L5477" s="42">
        <v>8</v>
      </c>
      <c r="M5477" s="237">
        <v>46280</v>
      </c>
      <c r="N5477" s="1" t="str">
        <f>VLOOKUP(B5477,MICRO!E:L,8,0)</f>
        <v>P-198</v>
      </c>
    </row>
    <row r="5478" spans="1:14" ht="20.25" x14ac:dyDescent="0.25">
      <c r="A5478" s="1">
        <v>12</v>
      </c>
      <c r="B5478" s="159">
        <v>4629</v>
      </c>
      <c r="C5478" s="1" t="s">
        <v>5220</v>
      </c>
      <c r="D5478" s="1" t="s">
        <v>5221</v>
      </c>
      <c r="E5478" s="1" t="s">
        <v>746</v>
      </c>
      <c r="F5478" s="1" t="s">
        <v>5224</v>
      </c>
      <c r="G5478" s="1">
        <v>8</v>
      </c>
      <c r="H5478" s="1" t="s">
        <v>5933</v>
      </c>
      <c r="I5478" s="1" t="s">
        <v>3045</v>
      </c>
      <c r="J5478" s="1">
        <v>2.1</v>
      </c>
      <c r="K5478" s="1">
        <v>16.8</v>
      </c>
      <c r="L5478" s="42">
        <v>8</v>
      </c>
      <c r="M5478" s="237">
        <v>46280</v>
      </c>
      <c r="N5478" s="1" t="str">
        <f>VLOOKUP(B5478,MICRO!E:L,8,0)</f>
        <v>P-198</v>
      </c>
    </row>
    <row r="5479" spans="1:14" ht="20.25" x14ac:dyDescent="0.25">
      <c r="A5479" s="1">
        <v>13</v>
      </c>
      <c r="B5479" s="159">
        <v>4630</v>
      </c>
      <c r="C5479" s="1" t="s">
        <v>5220</v>
      </c>
      <c r="D5479" s="1" t="s">
        <v>5221</v>
      </c>
      <c r="E5479" s="1" t="s">
        <v>1101</v>
      </c>
      <c r="F5479" s="1" t="s">
        <v>5225</v>
      </c>
      <c r="G5479" s="1">
        <v>2</v>
      </c>
      <c r="H5479" s="1" t="s">
        <v>5933</v>
      </c>
      <c r="I5479" s="1" t="s">
        <v>3045</v>
      </c>
      <c r="J5479" s="1">
        <v>3.2</v>
      </c>
      <c r="K5479" s="1">
        <v>3.2</v>
      </c>
      <c r="L5479" s="42">
        <v>8</v>
      </c>
      <c r="M5479" s="237">
        <v>46280</v>
      </c>
      <c r="N5479" s="1" t="str">
        <f>VLOOKUP(B5479,MICRO!E:L,8,0)</f>
        <v>P-198</v>
      </c>
    </row>
    <row r="5480" spans="1:14" ht="20.25" x14ac:dyDescent="0.25">
      <c r="A5480" s="1">
        <v>14</v>
      </c>
      <c r="B5480" s="159">
        <v>4631</v>
      </c>
      <c r="C5480" s="1" t="s">
        <v>5220</v>
      </c>
      <c r="D5480" s="1" t="s">
        <v>5221</v>
      </c>
      <c r="E5480" s="1" t="s">
        <v>100</v>
      </c>
      <c r="F5480" s="1" t="s">
        <v>5226</v>
      </c>
      <c r="G5480" s="1">
        <v>4</v>
      </c>
      <c r="H5480" s="1" t="s">
        <v>5933</v>
      </c>
      <c r="I5480" s="1" t="s">
        <v>3045</v>
      </c>
      <c r="J5480" s="1">
        <v>0.3</v>
      </c>
      <c r="K5480" s="1">
        <v>1.2</v>
      </c>
      <c r="L5480" s="42">
        <v>8</v>
      </c>
      <c r="M5480" s="237">
        <v>46280</v>
      </c>
      <c r="N5480" s="1" t="str">
        <f>VLOOKUP(B5480,MICRO!E:L,8,0)</f>
        <v>P-198</v>
      </c>
    </row>
    <row r="5481" spans="1:14" ht="20.25" x14ac:dyDescent="0.25">
      <c r="A5481" s="1">
        <v>15</v>
      </c>
      <c r="B5481" s="159">
        <v>4632</v>
      </c>
      <c r="C5481" s="1" t="s">
        <v>5220</v>
      </c>
      <c r="D5481" s="1" t="s">
        <v>5221</v>
      </c>
      <c r="E5481" s="1" t="s">
        <v>173</v>
      </c>
      <c r="F5481" s="1" t="s">
        <v>5227</v>
      </c>
      <c r="G5481" s="1">
        <v>2</v>
      </c>
      <c r="H5481" s="1" t="s">
        <v>5933</v>
      </c>
      <c r="I5481" s="1" t="s">
        <v>3045</v>
      </c>
      <c r="J5481" s="1">
        <v>14.4</v>
      </c>
      <c r="K5481" s="1">
        <v>28.8</v>
      </c>
      <c r="L5481" s="42">
        <v>8</v>
      </c>
      <c r="M5481" s="237">
        <v>46280</v>
      </c>
      <c r="N5481" s="1" t="str">
        <f>VLOOKUP(B5481,MICRO!E:L,8,0)</f>
        <v>P-198</v>
      </c>
    </row>
  </sheetData>
  <autoFilter ref="A1:O5283" xr:uid="{E826462E-1715-45FB-827E-B16DF1FB20B2}"/>
  <phoneticPr fontId="6" type="noConversion"/>
  <conditionalFormatting sqref="B764:B4406">
    <cfRule type="expression" dxfId="156" priority="5">
      <formula>$AH764="OK"</formula>
    </cfRule>
  </conditionalFormatting>
  <conditionalFormatting sqref="B4407:B4408 B4749:B5481">
    <cfRule type="expression" dxfId="155" priority="4">
      <formula>$AI4407="OK"</formula>
    </cfRule>
  </conditionalFormatting>
  <conditionalFormatting sqref="B4409:B4748">
    <cfRule type="expression" dxfId="154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1074</v>
      </c>
      <c r="I333" s="113">
        <f>SUMIF(MICRO!AP:AP,O:O,MICRO!T:T)</f>
        <v>0</v>
      </c>
      <c r="J333" s="114">
        <f t="shared" si="120"/>
        <v>1</v>
      </c>
      <c r="K333" s="113">
        <f>SUMIF(MICRO!AP:AP,O:O,MICRO!X:X)</f>
        <v>1074</v>
      </c>
      <c r="L333" s="114">
        <f t="shared" si="121"/>
        <v>1</v>
      </c>
      <c r="M333" s="113">
        <f t="shared" si="122"/>
        <v>0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1074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1074</v>
      </c>
      <c r="I334" s="113">
        <f>SUMIF(MICRO!AP:AP,O:O,MICRO!T:T)</f>
        <v>0</v>
      </c>
      <c r="J334" s="114">
        <f t="shared" si="105"/>
        <v>1</v>
      </c>
      <c r="K334" s="113">
        <f>SUMIF(MICRO!AP:AP,O:O,MICRO!X:X)</f>
        <v>1074</v>
      </c>
      <c r="L334" s="114">
        <f t="shared" si="106"/>
        <v>1</v>
      </c>
      <c r="M334" s="113">
        <f t="shared" si="107"/>
        <v>0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1074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1332.5</v>
      </c>
      <c r="I335" s="113">
        <f>SUMIF(MICRO!AP:AP,O:O,MICRO!T:T)</f>
        <v>0</v>
      </c>
      <c r="J335" s="114">
        <f t="shared" ref="J335:J395" si="125">IF(G335 = 0,0,H335/G335)</f>
        <v>1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1332.5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1332.5</v>
      </c>
      <c r="I336" s="113">
        <f>SUMIF(MICRO!AP:AP,O:O,MICRO!T:T)</f>
        <v>0</v>
      </c>
      <c r="J336" s="114">
        <f t="shared" si="125"/>
        <v>1</v>
      </c>
      <c r="K336" s="113">
        <f>SUMIF(MICRO!AP:AP,O:O,MICRO!X:X)</f>
        <v>1512.1</v>
      </c>
      <c r="L336" s="114">
        <f t="shared" si="126"/>
        <v>1.1347842401500938</v>
      </c>
      <c r="M336" s="113">
        <f t="shared" si="127"/>
        <v>-179.59999999999991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1332.5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5705.5637499999993</v>
      </c>
      <c r="I357" s="113">
        <f>SUMIF(MICRO!AP:AP,O:O,MICRO!T:T)</f>
        <v>-1403.1</v>
      </c>
      <c r="J357" s="114">
        <f t="shared" si="130"/>
        <v>0.88755580704374348</v>
      </c>
      <c r="K357" s="113">
        <f>SUMIF(MICRO!AP:AP,O:O,MICRO!X:X)</f>
        <v>4808.9000000000005</v>
      </c>
      <c r="L357" s="114">
        <f t="shared" si="131"/>
        <v>0.7480710596727026</v>
      </c>
      <c r="M357" s="113">
        <f t="shared" si="132"/>
        <v>1619.4999999999982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215.80000000000004</v>
      </c>
      <c r="R357">
        <f>SUMIF(MICRO!AP:AP,O:O,MICRO!AU:AU)</f>
        <v>4809.5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0</v>
      </c>
      <c r="R366">
        <f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97.199999999999989</v>
      </c>
      <c r="L382" s="114">
        <f t="shared" si="136"/>
        <v>1</v>
      </c>
      <c r="M382" s="113">
        <f t="shared" si="137"/>
        <v>0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0</v>
      </c>
      <c r="R382">
        <f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135</v>
      </c>
      <c r="I383" s="113">
        <f>SUMIF(MICRO!AP:AP,O:O,MICRO!T:T)</f>
        <v>0</v>
      </c>
      <c r="J383" s="114">
        <f t="shared" si="135"/>
        <v>1</v>
      </c>
      <c r="K383" s="113">
        <f>SUMIF(MICRO!AP:AP,O:O,MICRO!X:X)</f>
        <v>135</v>
      </c>
      <c r="L383" s="114">
        <f t="shared" si="136"/>
        <v>1</v>
      </c>
      <c r="M383" s="113">
        <f t="shared" si="137"/>
        <v>0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0</v>
      </c>
      <c r="R383">
        <f>SUMIF(MICRO!AP:AP,O:O,MICRO!AU:AU)</f>
        <v>135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100.16499999999999</v>
      </c>
      <c r="I384" s="113">
        <f>SUMIF(MICRO!AP:AP,O:O,MICRO!T:T)</f>
        <v>-119.6</v>
      </c>
      <c r="J384" s="114">
        <f t="shared" si="135"/>
        <v>0.83750000000000002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8" t="s">
        <v>4834</v>
      </c>
      <c r="E385" s="111" t="str">
        <f>VLOOKUP(Tabela2[[#This Row],[TAG]],MICRO!J:L,3,0)</f>
        <v>P-207</v>
      </c>
      <c r="F385" s="109" t="s">
        <v>23</v>
      </c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str">
        <f t="shared" si="138"/>
        <v>P-207ROLOS</v>
      </c>
      <c r="O385" s="56" t="str">
        <f t="shared" si="139"/>
        <v>0102-TC09P-207ROLOS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8" t="s">
        <v>4834</v>
      </c>
      <c r="E386" s="111" t="str">
        <f>VLOOKUP(Tabela2[[#This Row],[TAG]],MICRO!J:L,3,0)</f>
        <v>P-207</v>
      </c>
      <c r="F386" s="109" t="s">
        <v>31</v>
      </c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str">
        <f t="shared" si="138"/>
        <v>P-207ESTRUTURA</v>
      </c>
      <c r="O386" s="56" t="str">
        <f t="shared" si="139"/>
        <v>0102-TC09P-207ESTRUTURA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8" t="s">
        <v>4834</v>
      </c>
      <c r="E387" s="111" t="str">
        <f>VLOOKUP(Tabela2[[#This Row],[TAG]],MICRO!J:L,3,0)</f>
        <v>P-207</v>
      </c>
      <c r="F387" s="109" t="s">
        <v>33</v>
      </c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str">
        <f t="shared" si="138"/>
        <v>P-207BASES ROLETES</v>
      </c>
      <c r="O387" s="56" t="str">
        <f t="shared" si="139"/>
        <v>0102-TC09P-207BASES ROLETES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59" priority="4">
      <formula>$AI366="OK"</formula>
    </cfRule>
  </conditionalFormatting>
  <conditionalFormatting sqref="D385:D387">
    <cfRule type="expression" dxfId="158" priority="1">
      <formula>$AI385="OK"</formula>
    </cfRule>
  </conditionalFormatting>
  <conditionalFormatting sqref="F192">
    <cfRule type="expression" dxfId="157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MICRO!Área_de_Impressão</vt:lpstr>
      <vt:lpstr>MICRO!Títulos_de_Impressão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Leandro Rocha</cp:lastModifiedBy>
  <cp:lastPrinted>2026-09-01T14:26:19Z</cp:lastPrinted>
  <dcterms:created xsi:type="dcterms:W3CDTF">2022-04-15T01:30:45Z</dcterms:created>
  <dcterms:modified xsi:type="dcterms:W3CDTF">2026-09-15T18:39:09Z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