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8378" documentId="8_{FDD42E6F-94E1-48F3-8613-54A91AB43A68}" xr6:coauthVersionLast="47" xr6:coauthVersionMax="47" xr10:uidLastSave="{A712B992-F6B9-41FE-B05A-E6C3A8991A6F}"/>
  <bookViews>
    <workbookView xWindow="-120" yWindow="-120" windowWidth="21840" windowHeight="1314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46" i="1" l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Y1246" i="1" l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3" i="1"/>
  <c r="U1083" i="1"/>
  <c r="Y1083" i="1" s="1"/>
  <c r="V1083" i="1"/>
  <c r="W1083" i="1"/>
  <c r="H1083" i="1"/>
  <c r="S1083" i="1" s="1"/>
  <c r="T1083" i="1" s="1"/>
  <c r="Q1082" i="1"/>
  <c r="U1082" i="1"/>
  <c r="Y1082" i="1" s="1"/>
  <c r="V1082" i="1"/>
  <c r="W1082" i="1"/>
  <c r="H1082" i="1"/>
  <c r="R1082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3" i="1"/>
  <c r="X1083" i="1"/>
  <c r="Z1083" i="1" s="1"/>
  <c r="X1082" i="1"/>
  <c r="Z1082" i="1" s="1"/>
  <c r="S1082" i="1"/>
  <c r="T1082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W1161" i="1"/>
  <c r="V1161" i="1"/>
  <c r="U1161" i="1"/>
  <c r="X1161" i="1" s="1"/>
  <c r="W1160" i="1"/>
  <c r="V1160" i="1"/>
  <c r="U1160" i="1"/>
  <c r="W1159" i="1"/>
  <c r="V1159" i="1"/>
  <c r="U1159" i="1"/>
  <c r="W1158" i="1"/>
  <c r="V1158" i="1"/>
  <c r="U1158" i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Y1109" i="1" s="1"/>
  <c r="W1108" i="1"/>
  <c r="V1108" i="1"/>
  <c r="U1108" i="1"/>
  <c r="X1108" i="1" s="1"/>
  <c r="W1107" i="1"/>
  <c r="V1107" i="1"/>
  <c r="U1107" i="1"/>
  <c r="X1107" i="1" s="1"/>
  <c r="W1106" i="1"/>
  <c r="V1106" i="1"/>
  <c r="U1106" i="1"/>
  <c r="Y1106" i="1" s="1"/>
  <c r="W1105" i="1"/>
  <c r="V1105" i="1"/>
  <c r="U1105" i="1"/>
  <c r="X1105" i="1" s="1"/>
  <c r="W1104" i="1"/>
  <c r="V1104" i="1"/>
  <c r="U1104" i="1"/>
  <c r="Y1104" i="1" s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U873" i="1"/>
  <c r="W872" i="1"/>
  <c r="V872" i="1"/>
  <c r="U872" i="1"/>
  <c r="W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6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1" i="1"/>
  <c r="H1111" i="1"/>
  <c r="S1111" i="1" s="1"/>
  <c r="T1111" i="1" s="1"/>
  <c r="Q1110" i="1"/>
  <c r="H1110" i="1"/>
  <c r="R1110" i="1" s="1"/>
  <c r="Q1109" i="1"/>
  <c r="H1109" i="1"/>
  <c r="R1109" i="1" s="1"/>
  <c r="Q1108" i="1"/>
  <c r="H1108" i="1"/>
  <c r="S1108" i="1" s="1"/>
  <c r="T1108" i="1" s="1"/>
  <c r="Q1107" i="1"/>
  <c r="H1107" i="1"/>
  <c r="R1107" i="1" s="1"/>
  <c r="Q1106" i="1"/>
  <c r="H1106" i="1"/>
  <c r="S1106" i="1" s="1"/>
  <c r="T1106" i="1" s="1"/>
  <c r="Q1105" i="1"/>
  <c r="H1105" i="1"/>
  <c r="R1105" i="1" s="1"/>
  <c r="Q1104" i="1"/>
  <c r="H1104" i="1"/>
  <c r="R1104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3" i="1"/>
  <c r="H1113" i="1"/>
  <c r="Q1162" i="1"/>
  <c r="X1162" i="1"/>
  <c r="H1162" i="1"/>
  <c r="S1162" i="1" s="1"/>
  <c r="T1162" i="1" s="1"/>
  <c r="Q1161" i="1"/>
  <c r="H1161" i="1"/>
  <c r="S1161" i="1" s="1"/>
  <c r="T1161" i="1" s="1"/>
  <c r="Q1160" i="1"/>
  <c r="X1160" i="1"/>
  <c r="H1160" i="1"/>
  <c r="R1160" i="1" s="1"/>
  <c r="Q1159" i="1"/>
  <c r="X1159" i="1"/>
  <c r="H1159" i="1"/>
  <c r="S1159" i="1" s="1"/>
  <c r="T1159" i="1" s="1"/>
  <c r="Q1158" i="1"/>
  <c r="X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X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7" i="1"/>
  <c r="R1111" i="1"/>
  <c r="X1111" i="1"/>
  <c r="Z1111" i="1" s="1"/>
  <c r="X1110" i="1"/>
  <c r="Z1110" i="1" s="1"/>
  <c r="Z1108" i="1"/>
  <c r="S1110" i="1"/>
  <c r="T1110" i="1" s="1"/>
  <c r="S1109" i="1"/>
  <c r="T1109" i="1" s="1"/>
  <c r="X1109" i="1"/>
  <c r="Z1109" i="1" s="1"/>
  <c r="R1108" i="1"/>
  <c r="Y1108" i="1"/>
  <c r="S1107" i="1"/>
  <c r="T1107" i="1" s="1"/>
  <c r="Y1107" i="1"/>
  <c r="R1106" i="1"/>
  <c r="X1106" i="1"/>
  <c r="Z1106" i="1" s="1"/>
  <c r="Y1105" i="1"/>
  <c r="S1105" i="1"/>
  <c r="T1105" i="1" s="1"/>
  <c r="Z1105" i="1"/>
  <c r="X1104" i="1"/>
  <c r="Z1104" i="1" s="1"/>
  <c r="S1104" i="1"/>
  <c r="T1104" i="1" s="1"/>
  <c r="Z1162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3" i="1"/>
  <c r="Z1113" i="1" s="1"/>
  <c r="Y1113" i="1"/>
  <c r="R1113" i="1"/>
  <c r="S1113" i="1"/>
  <c r="T1113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R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R1133" i="1" s="1"/>
  <c r="Q1132" i="1"/>
  <c r="Y1132" i="1"/>
  <c r="H1132" i="1"/>
  <c r="S1132" i="1" s="1"/>
  <c r="T1132" i="1" s="1"/>
  <c r="Q1131" i="1"/>
  <c r="Y1131" i="1"/>
  <c r="H1131" i="1"/>
  <c r="S1131" i="1" s="1"/>
  <c r="T1131" i="1" s="1"/>
  <c r="Q1130" i="1"/>
  <c r="Y1130" i="1"/>
  <c r="H1130" i="1"/>
  <c r="R1130" i="1" s="1"/>
  <c r="Q1129" i="1"/>
  <c r="Y1129" i="1"/>
  <c r="H1129" i="1"/>
  <c r="R1129" i="1" s="1"/>
  <c r="Q1128" i="1"/>
  <c r="Y1128" i="1"/>
  <c r="H1128" i="1"/>
  <c r="S1128" i="1" s="1"/>
  <c r="T1128" i="1" s="1"/>
  <c r="Q1127" i="1"/>
  <c r="Y1127" i="1"/>
  <c r="H1127" i="1"/>
  <c r="S1127" i="1" s="1"/>
  <c r="T1127" i="1" s="1"/>
  <c r="Q1126" i="1"/>
  <c r="Y1126" i="1"/>
  <c r="H1126" i="1"/>
  <c r="R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R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2" i="1"/>
  <c r="Y1112" i="1"/>
  <c r="H1112" i="1"/>
  <c r="R1112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3" i="1"/>
  <c r="Q1103" i="1"/>
  <c r="H1103" i="1"/>
  <c r="Y1102" i="1"/>
  <c r="Q1102" i="1"/>
  <c r="H1102" i="1"/>
  <c r="Y1101" i="1"/>
  <c r="Q1101" i="1"/>
  <c r="H1101" i="1"/>
  <c r="R1101" i="1" s="1"/>
  <c r="Y1100" i="1"/>
  <c r="Q1100" i="1"/>
  <c r="H1100" i="1"/>
  <c r="Y1099" i="1"/>
  <c r="Q1099" i="1"/>
  <c r="H1099" i="1"/>
  <c r="R1099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41" i="1"/>
  <c r="X1141" i="1"/>
  <c r="Z1141" i="1" s="1"/>
  <c r="R1137" i="1"/>
  <c r="R1140" i="1"/>
  <c r="X1140" i="1"/>
  <c r="Z1140" i="1" s="1"/>
  <c r="R1139" i="1"/>
  <c r="X1139" i="1"/>
  <c r="Z1139" i="1" s="1"/>
  <c r="X1137" i="1"/>
  <c r="Z1137" i="1" s="1"/>
  <c r="X1138" i="1"/>
  <c r="Z1138" i="1" s="1"/>
  <c r="S1138" i="1"/>
  <c r="T1138" i="1" s="1"/>
  <c r="X1136" i="1"/>
  <c r="Z1136" i="1" s="1"/>
  <c r="S1136" i="1"/>
  <c r="T1136" i="1" s="1"/>
  <c r="R1135" i="1"/>
  <c r="X1135" i="1"/>
  <c r="Z1135" i="1" s="1"/>
  <c r="X1134" i="1"/>
  <c r="Z1134" i="1" s="1"/>
  <c r="S1134" i="1"/>
  <c r="T1134" i="1" s="1"/>
  <c r="X1133" i="1"/>
  <c r="Z1133" i="1" s="1"/>
  <c r="S1133" i="1"/>
  <c r="T1133" i="1" s="1"/>
  <c r="R1132" i="1"/>
  <c r="X1132" i="1"/>
  <c r="Z1132" i="1" s="1"/>
  <c r="R1131" i="1"/>
  <c r="X1131" i="1"/>
  <c r="Z1131" i="1" s="1"/>
  <c r="X1130" i="1"/>
  <c r="Z1130" i="1" s="1"/>
  <c r="S1130" i="1"/>
  <c r="T1130" i="1" s="1"/>
  <c r="X1129" i="1"/>
  <c r="Z1129" i="1" s="1"/>
  <c r="S1129" i="1"/>
  <c r="T1129" i="1" s="1"/>
  <c r="R1128" i="1"/>
  <c r="X1128" i="1"/>
  <c r="Z1128" i="1" s="1"/>
  <c r="R1127" i="1"/>
  <c r="X1127" i="1"/>
  <c r="Z1127" i="1" s="1"/>
  <c r="X1126" i="1"/>
  <c r="Z1126" i="1" s="1"/>
  <c r="S1126" i="1"/>
  <c r="T1126" i="1" s="1"/>
  <c r="R1125" i="1"/>
  <c r="X1125" i="1"/>
  <c r="Z1125" i="1" s="1"/>
  <c r="X1124" i="1"/>
  <c r="Z1124" i="1" s="1"/>
  <c r="R1124" i="1"/>
  <c r="R1123" i="1"/>
  <c r="X1123" i="1"/>
  <c r="Z1123" i="1" s="1"/>
  <c r="R1122" i="1"/>
  <c r="X1122" i="1"/>
  <c r="Z1122" i="1" s="1"/>
  <c r="X1121" i="1"/>
  <c r="Z1121" i="1" s="1"/>
  <c r="S1121" i="1"/>
  <c r="T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R1114" i="1"/>
  <c r="X1114" i="1"/>
  <c r="Z1114" i="1" s="1"/>
  <c r="X1112" i="1"/>
  <c r="Z1112" i="1" s="1"/>
  <c r="S1112" i="1"/>
  <c r="T1112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3" i="1"/>
  <c r="S1103" i="1"/>
  <c r="T1103" i="1" s="1"/>
  <c r="X1103" i="1"/>
  <c r="Z1103" i="1" s="1"/>
  <c r="R1102" i="1"/>
  <c r="S1102" i="1"/>
  <c r="T1102" i="1" s="1"/>
  <c r="X1102" i="1"/>
  <c r="Z1102" i="1" s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8" i="1"/>
  <c r="X1098" i="1"/>
  <c r="Z1098" i="1" s="1"/>
  <c r="R1098" i="1"/>
  <c r="S1098" i="1"/>
  <c r="T1098" i="1" s="1"/>
  <c r="Y1097" i="1"/>
  <c r="X1097" i="1"/>
  <c r="Z1097" i="1" s="1"/>
  <c r="R1097" i="1"/>
  <c r="S1097" i="1"/>
  <c r="T1097" i="1" s="1"/>
  <c r="X1096" i="1"/>
  <c r="Z1096" i="1" s="1"/>
  <c r="Y1096" i="1"/>
  <c r="R1096" i="1"/>
  <c r="S1096" i="1"/>
  <c r="T1096" i="1" s="1"/>
  <c r="Y1095" i="1"/>
  <c r="X1095" i="1"/>
  <c r="Z1095" i="1" s="1"/>
  <c r="R1095" i="1"/>
  <c r="S1095" i="1"/>
  <c r="T1095" i="1" s="1"/>
  <c r="Y1094" i="1"/>
  <c r="X1094" i="1"/>
  <c r="Z1094" i="1" s="1"/>
  <c r="R1094" i="1"/>
  <c r="S1094" i="1"/>
  <c r="T1094" i="1" s="1"/>
  <c r="X1093" i="1"/>
  <c r="Z1093" i="1" s="1"/>
  <c r="Y1093" i="1"/>
  <c r="R1093" i="1"/>
  <c r="S1093" i="1"/>
  <c r="T1093" i="1" s="1"/>
  <c r="X1092" i="1"/>
  <c r="Z1092" i="1" s="1"/>
  <c r="Y1092" i="1"/>
  <c r="R1092" i="1"/>
  <c r="S1092" i="1"/>
  <c r="T1092" i="1" s="1"/>
  <c r="Y1091" i="1"/>
  <c r="X1091" i="1"/>
  <c r="Z1091" i="1" s="1"/>
  <c r="R1091" i="1"/>
  <c r="S1091" i="1"/>
  <c r="T1091" i="1" s="1"/>
  <c r="Y1090" i="1"/>
  <c r="X1090" i="1"/>
  <c r="Z1090" i="1" s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X1087" i="1"/>
  <c r="Z1087" i="1" s="1"/>
  <c r="Y1087" i="1"/>
  <c r="R1087" i="1"/>
  <c r="S1087" i="1"/>
  <c r="T1087" i="1" s="1"/>
  <c r="Y1086" i="1"/>
  <c r="X1086" i="1"/>
  <c r="Z1086" i="1" s="1"/>
  <c r="R1086" i="1"/>
  <c r="S1086" i="1"/>
  <c r="T1086" i="1" s="1"/>
  <c r="Y1085" i="1"/>
  <c r="X1085" i="1"/>
  <c r="Z1085" i="1" s="1"/>
  <c r="R1085" i="1"/>
  <c r="S1085" i="1"/>
  <c r="T1085" i="1" s="1"/>
  <c r="X1084" i="1"/>
  <c r="Z1084" i="1" s="1"/>
  <c r="Y1084" i="1"/>
  <c r="R1084" i="1"/>
  <c r="S1084" i="1"/>
  <c r="T1084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AU439" i="1" s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0" i="1" l="1"/>
  <c r="AT440" i="1" s="1"/>
  <c r="AV443" i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<sst xmlns="http://schemas.openxmlformats.org/spreadsheetml/2006/main" count="34879" uniqueCount="5964">
  <si>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</si>
  <si>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</si>
  <si>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</si>
  <si>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</si>
  <si>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</si>
  <si>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</si>
  <si>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</si>
  <si>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</si>
  <si>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</si>
  <si>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</si>
  <si>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</si>
  <si>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</si>
  <si>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</si>
  <si>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</si>
  <si>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</si>
  <si>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</si>
  <si>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</si>
  <si>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</si>
  <si>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</si>
  <si>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</si>
  <si>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</si>
  <si>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</si>
  <si>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</si>
  <si>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</si>
  <si>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</si>
  <si>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</si>
  <si>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</si>
  <si>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</si>
  <si>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</si>
  <si>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</si>
  <si>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</si>
  <si>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</si>
  <si>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</si>
  <si>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</si>
  <si>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</si>
  <si>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</si>
  <si>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</si>
  <si>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</si>
  <si>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</si>
  <si>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</si>
  <si>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</si>
  <si>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</si>
  <si>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</si>
  <si>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</si>
  <si>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</si>
  <si>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</si>
  <si>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</si>
  <si>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</si>
  <si>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</si>
  <si>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</si>
  <si>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</si>
  <si>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</si>
  <si>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</si>
  <si>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</si>
  <si>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</si>
  <si>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</si>
  <si>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</si>
  <si>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</si>
  <si>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</si>
  <si>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</si>
  <si>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</si>
  <si>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</si>
  <si>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</si>
  <si>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</si>
  <si>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</si>
  <si>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</si>
  <si>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</si>
  <si>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</si>
  <si>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</si>
  <si>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</si>
  <si>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</si>
  <si>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</si>
  <si>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</si>
  <si>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</si>
  <si>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</si>
  <si>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</si>
  <si>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</si>
  <si>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</si>
  <si>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</si>
  <si>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</si>
  <si>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</si>
  <si>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</si>
  <si>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</si>
  <si>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</si>
  <si>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</si>
  <si>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</si>
  <si>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</si>
  <si>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</si>
  <si>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</si>
  <si>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</si>
  <si>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</si>
  <si>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</si>
  <si>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</si>
  <si>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</si>
  <si>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</si>
  <si>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</si>
  <si>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</si>
  <si>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</si>
  <si>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</si>
  <si>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</si>
  <si>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</si>
  <si>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</si>
  <si>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</si>
  <si>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</si>
  <si>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</si>
  <si>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</si>
  <si>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</si>
  <si>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</si>
  <si>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</si>
  <si>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</si>
  <si>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</si>
  <si>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</si>
  <si>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</si>
  <si>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</si>
  <si>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</si>
  <si>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</si>
  <si>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</si>
  <si>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</si>
  <si>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</si>
  <si>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</si>
  <si>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</si>
  <si>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</si>
  <si>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</si>
  <si>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</si>
  <si>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</si>
  <si>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</si>
  <si>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</si>
  <si>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</si>
  <si>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</si>
  <si>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</si>
  <si>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</si>
  <si>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</si>
  <si>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</si>
  <si>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</si>
  <si>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</si>
  <si>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</si>
  <si>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</si>
  <si>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</si>
  <si>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</si>
  <si>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</si>
  <si>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</si>
  <si>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</si>
  <si>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</si>
  <si>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</si>
  <si>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</si>
  <si>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</si>
  <si>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</si>
  <si>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</si>
  <si>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</si>
  <si>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</si>
  <si>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</si>
  <si>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</si>
  <si>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</si>
  <si>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</si>
  <si>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</si>
  <si>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</si>
  <si>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</si>
  <si>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</si>
  <si>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</si>
  <si>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</si>
  <si>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</si>
  <si>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</si>
  <si>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</si>
  <si>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</si>
  <si>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</si>
  <si>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</si>
  <si>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</si>
  <si>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</si>
  <si>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</si>
  <si>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</si>
  <si>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</si>
  <si>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</si>
  <si>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</si>
  <si>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</si>
  <si>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</si>
  <si>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</si>
  <si>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</si>
  <si>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</si>
  <si>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</si>
  <si>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</si>
  <si>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</si>
  <si>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</si>
  <si>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</si>
  <si>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</si>
  <si>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</si>
  <si>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</si>
  <si>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</si>
  <si>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</si>
  <si>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</si>
  <si>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</si>
  <si>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</si>
  <si>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</si>
  <si>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</si>
  <si>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</si>
  <si>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</si>
  <si>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</si>
  <si>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</si>
  <si>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</si>
  <si>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</si>
  <si>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</si>
  <si>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</si>
  <si>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</si>
  <si>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</si>
  <si>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</si>
  <si>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</si>
  <si>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</si>
  <si>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</si>
  <si>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</si>
  <si>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</si>
  <si>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</si>
  <si>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</si>
  <si>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</si>
  <si>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</si>
  <si>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</si>
  <si>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</si>
  <si>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</si>
  <si>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</si>
  <si>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</si>
  <si>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</si>
  <si>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</si>
  <si>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</si>
  <si>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</si>
  <si>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</si>
  <si>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</si>
  <si>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</si>
  <si>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</si>
  <si>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</si>
  <si>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</si>
  <si>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</si>
  <si>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</si>
  <si>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</si>
  <si>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</si>
  <si>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</si>
  <si>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</si>
  <si>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</si>
  <si>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</si>
  <si>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</si>
  <si>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</si>
  <si>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</si>
  <si>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</si>
  <si>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</si>
  <si>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</si>
  <si>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</si>
  <si>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</si>
  <si>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</si>
  <si>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</si>
  <si>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</si>
  <si>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</si>
  <si>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</si>
  <si>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</si>
  <si>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</si>
  <si>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</si>
  <si>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</si>
  <si>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</si>
  <si>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</si>
  <si>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</si>
  <si>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</si>
  <si>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</si>
  <si>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</si>
  <si>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</si>
  <si>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</si>
  <si>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</si>
  <si>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</si>
  <si>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</si>
  <si>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</si>
  <si>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</si>
  <si>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</si>
  <si>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</si>
  <si>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</si>
  <si>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</si>
  <si>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</si>
  <si>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</si>
  <si>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</si>
  <si>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</si>
  <si>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</si>
  <si>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</si>
  <si>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</si>
  <si>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</si>
  <si>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</si>
  <si>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</si>
  <si>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</si>
  <si>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</si>
  <si>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</si>
  <si>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</si>
  <si>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</si>
  <si>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</si>
  <si>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</si>
  <si>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</si>
  <si>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</si>
  <si>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</si>
  <si>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</si>
  <si>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</si>
  <si>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</si>
  <si>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</si>
  <si>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</si>
  <si>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</si>
  <si>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</si>
  <si>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</si>
  <si>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</si>
  <si>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</si>
  <si>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</si>
  <si>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</si>
  <si>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</si>
  <si>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</si>
  <si>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</si>
  <si>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</si>
  <si>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</si>
  <si>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</si>
  <si>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</si>
  <si>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</si>
  <si>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</si>
  <si>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</si>
  <si>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</si>
  <si>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</si>
  <si>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</si>
  <si>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</si>
  <si>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</si>
  <si>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</si>
  <si>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</si>
  <si>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</si>
  <si>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</si>
  <si>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</si>
  <si>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</si>
  <si>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</si>
  <si>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</si>
  <si>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</si>
  <si>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</si>
  <si>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</si>
  <si>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</si>
  <si>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</si>
  <si>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</si>
  <si>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</si>
  <si>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</si>
  <si>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</si>
  <si>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</si>
  <si>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</si>
  <si>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</si>
  <si>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</si>
  <si>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</si>
  <si>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</si>
  <si>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</si>
  <si>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</si>
  <si>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</si>
  <si>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</si>
  <si>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</si>
  <si>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</si>
  <si>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</si>
  <si>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</si>
  <si>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</si>
  <si>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</si>
  <si>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</si>
  <si>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</si>
  <si>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</si>
  <si>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</si>
  <si>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</si>
  <si>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</si>
  <si>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</si>
  <si>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</si>
  <si>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</si>
  <si>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</si>
  <si>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</si>
  <si>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</si>
  <si>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</si>
  <si>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</si>
  <si>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</si>
  <si>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</si>
  <si>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</si>
  <si>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</si>
  <si>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</si>
  <si>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</si>
  <si>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</si>
  <si>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</si>
  <si>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</si>
  <si>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</si>
  <si>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</si>
  <si>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</si>
  <si>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</si>
  <si>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</si>
  <si>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</si>
  <si>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</si>
  <si>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</si>
  <si>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</si>
  <si>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</si>
  <si>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</si>
  <si>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</si>
  <si>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</si>
  <si>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</si>
  <si>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</si>
  <si>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</si>
  <si>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</si>
  <si>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</si>
  <si>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</si>
  <si>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</si>
  <si>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</si>
  <si>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</si>
  <si>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</si>
  <si>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</si>
  <si>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</si>
  <si>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</si>
  <si>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</si>
  <si>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</si>
  <si>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</si>
  <si>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</si>
  <si>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</si>
  <si>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</si>
  <si>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</si>
  <si>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</si>
  <si>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</si>
  <si>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</si>
  <si>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</si>
  <si>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</si>
  <si>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</si>
  <si>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</si>
  <si>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</si>
  <si>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</si>
  <si>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</si>
  <si>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</si>
  <si>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</si>
  <si>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</si>
  <si>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</si>
  <si>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</si>
  <si>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</si>
  <si>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</si>
  <si>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</si>
  <si>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</si>
  <si>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</si>
  <si>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</si>
  <si>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</si>
  <si>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</si>
  <si>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</si>
  <si>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</si>
  <si>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</si>
  <si>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</si>
  <si>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</si>
  <si>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</si>
  <si>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</si>
  <si>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</si>
  <si>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</si>
  <si>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</si>
  <si>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</si>
  <si>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</si>
  <si>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</si>
  <si>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</si>
  <si>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</si>
  <si>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</si>
  <si>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</si>
  <si>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</si>
  <si>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</si>
  <si>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</si>
  <si>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</si>
  <si>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</si>
  <si>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</si>
  <si>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</si>
  <si>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</si>
  <si>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</si>
  <si>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</si>
  <si>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</si>
  <si>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</si>
  <si>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</si>
  <si>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</si>
  <si>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</si>
  <si>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</si>
  <si>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</si>
  <si>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</si>
  <si>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</si>
  <si>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</si>
  <si>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</si>
  <si>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</si>
  <si>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</si>
  <si>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</si>
  <si>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</si>
  <si>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</si>
  <si>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</si>
  <si>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</si>
  <si>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</si>
  <si>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</si>
  <si>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</si>
  <si>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</si>
  <si>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</si>
  <si>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</si>
  <si>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</si>
  <si>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</si>
  <si>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</si>
  <si>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</si>
  <si>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</si>
  <si>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</si>
  <si>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</si>
  <si>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</si>
  <si>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</si>
  <si>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</si>
  <si>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</si>
  <si>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</si>
  <si>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</si>
  <si>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</si>
  <si>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</si>
  <si>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</si>
  <si>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</si>
  <si>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</si>
  <si>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</si>
  <si>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</si>
  <si>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</si>
  <si>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</si>
  <si>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</si>
  <si>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</si>
  <si>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</si>
  <si>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</si>
  <si>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</si>
  <si>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</si>
  <si>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</si>
  <si>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</si>
  <si>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</si>
  <si>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</si>
  <si>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</si>
  <si>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</si>
  <si>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</si>
  <si>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</si>
  <si>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</si>
  <si>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</si>
  <si>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</si>
  <si>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</si>
  <si>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</si>
  <si>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</si>
  <si>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</si>
  <si>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</si>
  <si>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</si>
  <si>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</si>
  <si>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</si>
  <si>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</si>
  <si>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</si>
  <si>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</si>
  <si>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</si>
  <si>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</si>
  <si>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</si>
  <si>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</si>
  <si>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</si>
  <si>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</si>
  <si>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</si>
  <si>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</si>
  <si>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</si>
  <si>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</si>
  <si>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</si>
  <si>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</si>
  <si>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</si>
  <si>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</si>
  <si>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</si>
  <si>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</si>
  <si>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</si>
  <si>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</si>
  <si>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</si>
  <si>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</si>
  <si>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</si>
  <si>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</si>
  <si>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</si>
  <si>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</si>
  <si>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</si>
  <si>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</si>
  <si>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</si>
  <si>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</si>
  <si>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</si>
  <si>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</si>
  <si>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</si>
  <si>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</si>
  <si>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</si>
  <si>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</si>
  <si>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</si>
  <si>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</si>
  <si>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</si>
  <si>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</si>
  <si>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</si>
  <si>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</si>
  <si>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</si>
  <si>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</si>
  <si>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</si>
  <si>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</si>
  <si>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</si>
  <si>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</si>
  <si>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</si>
  <si>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</si>
  <si>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</si>
  <si>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</si>
  <si>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</si>
  <si>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</si>
  <si>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</si>
  <si>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</si>
  <si>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</si>
  <si>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</si>
  <si>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</si>
  <si>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</si>
  <si>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</si>
  <si>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</si>
  <si>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</si>
  <si>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</si>
  <si>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</si>
  <si>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</si>
  <si>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</si>
  <si>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</si>
  <si>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</si>
  <si>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</si>
  <si>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</si>
  <si>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</si>
  <si>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</si>
  <si>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</si>
  <si>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</si>
  <si>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</si>
  <si>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</si>
  <si>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</si>
  <si>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</si>
  <si>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</si>
  <si>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</si>
  <si>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</si>
  <si>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</si>
  <si>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</si>
  <si>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</si>
  <si>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</si>
  <si>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</si>
  <si>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</si>
  <si>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</si>
  <si>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</si>
  <si>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</si>
  <si>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</si>
  <si>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</si>
  <si>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</si>
  <si>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</si>
  <si>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</si>
  <si>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</si>
  <si>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</si>
  <si>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</si>
  <si>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</si>
  <si>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</si>
  <si>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</si>
  <si>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</si>
  <si>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</si>
  <si>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</si>
  <si>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</si>
  <si>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</si>
  <si>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</si>
  <si>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</si>
  <si>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</si>
  <si>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</si>
  <si>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</si>
  <si>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</si>
  <si>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</si>
  <si>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</si>
  <si>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</si>
  <si>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</si>
  <si>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</si>
  <si>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</si>
  <si>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</si>
  <si>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</si>
  <si>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</si>
  <si>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</si>
  <si>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</si>
  <si>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</si>
  <si>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</si>
  <si>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</si>
  <si>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</si>
  <si>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</si>
  <si>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</si>
  <si>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</si>
  <si>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</si>
  <si>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</si>
  <si>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</si>
  <si>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</si>
  <si>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</si>
  <si>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</si>
  <si>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</si>
  <si>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</si>
  <si>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</si>
  <si>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</si>
  <si>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</si>
  <si>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</si>
  <si>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</si>
  <si>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</si>
  <si>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</si>
  <si>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</si>
  <si>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</si>
  <si>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</si>
  <si>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</si>
  <si>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</si>
  <si>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</si>
  <si>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</si>
  <si>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</si>
  <si>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</si>
  <si>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</si>
  <si>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</si>
  <si>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</si>
  <si>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</si>
  <si>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</si>
  <si>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</si>
  <si>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</si>
  <si>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</si>
  <si>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</si>
  <si>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</si>
  <si>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</si>
  <si>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</si>
  <si>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</si>
  <si>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</si>
  <si>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</si>
  <si>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</si>
  <si>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</si>
  <si>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</si>
  <si>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</si>
  <si>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</si>
  <si>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</si>
  <si>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</si>
  <si>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</si>
  <si>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</si>
  <si>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</si>
  <si>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</si>
  <si>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</si>
  <si>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</si>
  <si>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</si>
  <si>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</si>
  <si>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</si>
  <si>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</si>
  <si>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</si>
  <si>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</si>
  <si>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</si>
  <si>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</si>
  <si>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</si>
  <si>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</si>
  <si>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</si>
  <si>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</si>
  <si>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</si>
  <si>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</si>
  <si>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</si>
  <si>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</si>
  <si>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</si>
  <si>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</si>
  <si>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</si>
  <si>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</si>
  <si>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</si>
  <si>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</si>
  <si>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</si>
  <si>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</si>
  <si>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</si>
  <si>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</si>
  <si>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</si>
  <si>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</si>
  <si>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</si>
  <si>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</si>
  <si>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</si>
  <si>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</si>
  <si>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</si>
  <si>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</si>
  <si>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</si>
  <si>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</si>
  <si>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</si>
  <si>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</si>
  <si>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</si>
  <si>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</si>
  <si>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</si>
  <si>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</si>
  <si>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</si>
  <si>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</si>
  <si>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</si>
  <si>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</si>
  <si>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</si>
  <si>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</si>
  <si>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</si>
  <si>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</si>
  <si>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</si>
  <si>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</si>
  <si>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</si>
  <si>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</si>
  <si>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</si>
  <si>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</si>
  <si>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</si>
  <si>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</si>
  <si>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</si>
  <si>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</si>
  <si>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</si>
  <si>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</si>
  <si>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</si>
  <si>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</si>
  <si>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</si>
  <si>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</si>
  <si>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</si>
  <si>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</si>
  <si>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</si>
  <si>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</si>
  <si>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</si>
  <si>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</si>
  <si>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</si>
  <si>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</si>
  <si>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</si>
  <si>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</si>
  <si>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</si>
  <si>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</si>
  <si>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</si>
  <si>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</si>
  <si>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</si>
  <si>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</si>
  <si>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</si>
  <si>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</si>
  <si>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</si>
  <si>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</si>
  <si>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</si>
  <si>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</si>
  <si>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</si>
  <si>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</si>
  <si>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</si>
  <si>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</si>
  <si>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</si>
  <si>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</si>
  <si>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</si>
  <si>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</si>
  <si>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</si>
  <si>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</si>
  <si>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</si>
  <si>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</si>
  <si>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</si>
  <si>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</si>
  <si>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</si>
  <si>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</si>
  <si>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</si>
  <si>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</si>
  <si>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</si>
  <si>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</si>
  <si>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</si>
  <si>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</si>
  <si>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</si>
  <si>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</si>
  <si>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</si>
  <si>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</si>
  <si>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</si>
  <si>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</si>
  <si>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</si>
  <si>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</si>
  <si>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</si>
  <si>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</si>
  <si>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</si>
  <si>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</si>
  <si>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</si>
  <si>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</si>
  <si>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</si>
  <si>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</si>
  <si>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</si>
  <si>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</si>
  <si>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</si>
  <si>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</si>
  <si>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</si>
  <si>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</si>
  <si>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</si>
  <si>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</si>
  <si>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</si>
  <si>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</si>
  <si>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</si>
  <si>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</si>
  <si>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</si>
  <si>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</si>
  <si>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</si>
  <si>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</si>
  <si>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</si>
  <si>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</si>
  <si>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</si>
  <si>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</si>
  <si>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</si>
  <si>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</si>
  <si>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</si>
  <si>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</si>
  <si>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</si>
  <si>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</si>
  <si>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</si>
  <si>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</si>
  <si>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</si>
  <si>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</si>
  <si>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</si>
  <si>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</si>
  <si>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</si>
  <si>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</si>
  <si>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</si>
  <si>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</si>
  <si>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</si>
  <si>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</si>
  <si>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</si>
  <si>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</si>
  <si>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</si>
  <si>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</si>
  <si>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</si>
  <si>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</si>
  <si>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</si>
  <si>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</si>
  <si>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</si>
  <si>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</si>
  <si>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</si>
  <si>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</si>
  <si>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</si>
  <si>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</si>
  <si>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</si>
  <si>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</si>
  <si>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</si>
  <si>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</si>
  <si>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</si>
  <si>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</si>
  <si>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</si>
  <si>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</si>
  <si>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</si>
  <si>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</si>
  <si>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</si>
  <si>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</si>
  <si>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</si>
  <si>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</si>
  <si>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</si>
  <si>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</si>
  <si>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</si>
  <si>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</si>
  <si>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</si>
  <si>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</si>
  <si>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</si>
  <si>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</si>
  <si>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</si>
  <si>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</si>
  <si>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</si>
  <si>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</si>
  <si>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</si>
  <si>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</si>
  <si>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</si>
  <si>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</si>
  <si>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</si>
  <si>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</si>
  <si>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</si>
  <si>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</si>
  <si>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</si>
  <si>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</si>
  <si>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</si>
  <si>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</si>
  <si>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</si>
  <si>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</si>
  <si>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</si>
  <si>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</si>
  <si>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</si>
  <si>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</si>
  <si>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</si>
  <si>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</si>
  <si>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</si>
  <si>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</si>
  <si>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</si>
  <si>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</si>
  <si>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</si>
  <si>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</si>
  <si>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</si>
  <si>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</si>
  <si>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</si>
  <si>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</si>
  <si>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</si>
  <si>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</si>
  <si>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</si>
  <si>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</si>
  <si>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</si>
  <si>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</si>
  <si>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</si>
  <si>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</si>
  <si>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</si>
  <si>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</si>
  <si>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</si>
  <si>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</si>
  <si>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</si>
  <si>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</si>
  <si>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</si>
  <si>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</si>
  <si>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</si>
  <si>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</si>
  <si>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</si>
  <si>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</si>
  <si>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</si>
  <si>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</si>
  <si>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</si>
  <si>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</si>
  <si>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</si>
  <si>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</si>
  <si>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</si>
  <si>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</si>
  <si>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</si>
  <si>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</si>
  <si>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</si>
  <si>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</si>
  <si>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</si>
  <si>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</si>
  <si>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</si>
  <si>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</si>
  <si>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</si>
  <si>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</si>
  <si>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</si>
  <si>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</si>
  <si>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</si>
  <si>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</si>
  <si>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</si>
  <si>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</si>
  <si>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</si>
  <si>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</si>
  <si>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</si>
  <si>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</si>
  <si>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</si>
  <si>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</si>
  <si>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</si>
  <si>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</si>
  <si>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</si>
  <si>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</si>
  <si>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</si>
  <si>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</si>
  <si>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</si>
  <si>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</si>
  <si>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</si>
  <si>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</si>
  <si>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</si>
  <si>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</si>
  <si>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</si>
  <si>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</si>
  <si>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</si>
  <si>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</si>
  <si>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</si>
  <si>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</si>
  <si>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</si>
  <si>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</si>
  <si>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</si>
  <si>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</si>
  <si>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</si>
  <si>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</si>
  <si>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</si>
  <si>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</si>
  <si>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</si>
  <si>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</si>
  <si>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</si>
  <si>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</si>
  <si>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</si>
  <si>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</si>
  <si>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</si>
  <si>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</si>
  <si>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</si>
  <si>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</si>
  <si>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</si>
  <si>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</si>
  <si>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</si>
  <si>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</si>
  <si>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</si>
  <si>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</si>
  <si>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</si>
  <si>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</si>
  <si>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</si>
  <si>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</si>
  <si>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</si>
  <si>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</si>
  <si>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</si>
  <si>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</si>
  <si>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</si>
  <si>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</si>
  <si>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</si>
  <si>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</si>
  <si>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</si>
  <si>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</si>
  <si>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</si>
  <si>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</si>
  <si>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</si>
  <si>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</si>
  <si>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</si>
  <si>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</si>
  <si>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</si>
  <si>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</si>
  <si>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</si>
  <si>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</si>
  <si>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</si>
  <si>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</si>
  <si>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</si>
  <si>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</si>
  <si>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</si>
  <si>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</si>
  <si>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</si>
  <si>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</si>
  <si>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</si>
  <si>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</si>
  <si>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</si>
  <si>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</si>
  <si>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</si>
  <si>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</si>
  <si>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</si>
  <si>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</si>
  <si>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</si>
  <si>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</si>
  <si>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</si>
  <si>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</si>
  <si>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</si>
  <si>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</si>
  <si>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</si>
  <si>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</si>
  <si>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</si>
  <si>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</si>
  <si>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</si>
  <si>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</si>
  <si>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</si>
  <si>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</si>
  <si>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</si>
  <si>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</si>
  <si>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</si>
  <si>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</si>
  <si>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</si>
  <si>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</si>
  <si>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</si>
  <si>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</si>
  <si>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</si>
  <si>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</si>
  <si>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</si>
  <si>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</si>
  <si>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</si>
  <si>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</si>
  <si>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</si>
  <si>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</si>
  <si>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</si>
  <si>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</si>
  <si>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</si>
  <si>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</si>
  <si>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</si>
  <si>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</si>
  <si>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</si>
  <si>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</si>
  <si>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</si>
  <si>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</si>
  <si>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</si>
  <si>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</si>
  <si>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</si>
  <si>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</si>
  <si>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</si>
  <si>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</si>
  <si>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</si>
  <si>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</si>
  <si>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</si>
  <si>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</si>
  <si>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</si>
  <si>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</si>
  <si>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</si>
  <si>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</si>
  <si>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</si>
  <si>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</si>
  <si>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</si>
  <si>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</si>
  <si>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</si>
  <si>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</si>
  <si>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</si>
  <si>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</si>
  <si>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</si>
  <si>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</si>
  <si>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</si>
  <si>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</si>
  <si>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</si>
  <si>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</si>
  <si>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</si>
  <si>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</si>
  <si>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</si>
  <si>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</si>
  <si>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</si>
  <si>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</si>
  <si>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</si>
  <si>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</si>
  <si>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</si>
  <si>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</si>
  <si>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</si>
  <si>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</si>
  <si>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</si>
  <si>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</si>
  <si>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</si>
  <si>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</si>
  <si>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</si>
  <si>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</si>
  <si>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</si>
  <si>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</si>
  <si>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</si>
  <si>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</si>
  <si>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</si>
  <si>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</si>
  <si>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</si>
  <si>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</si>
  <si>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</si>
  <si>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</si>
  <si>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</si>
  <si>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</si>
  <si>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</si>
  <si>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</si>
  <si>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</si>
  <si>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</si>
  <si>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</si>
  <si>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</si>
  <si>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</si>
  <si>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</si>
  <si>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</si>
  <si>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</si>
  <si>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</si>
  <si>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</si>
  <si>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</si>
  <si>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</si>
  <si>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</si>
  <si>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</si>
  <si>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</si>
  <si>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</si>
  <si>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</si>
  <si>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</si>
  <si>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</si>
  <si>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</si>
  <si>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</si>
  <si>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</si>
  <si>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</si>
  <si>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</si>
  <si>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</si>
  <si>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</si>
  <si>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</si>
  <si>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</si>
  <si>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</si>
  <si>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</si>
  <si>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</si>
  <si>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</si>
  <si>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</si>
  <si>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</si>
  <si>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</si>
  <si>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</si>
  <si>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</si>
  <si>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</si>
  <si>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</si>
  <si>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</si>
  <si>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</si>
  <si>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</si>
  <si>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</si>
  <si>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</si>
  <si>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</si>
  <si>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</si>
  <si>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</si>
  <si>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</si>
  <si>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</si>
  <si>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</si>
  <si>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</si>
  <si>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</si>
  <si>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</si>
  <si>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</si>
  <si>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</si>
  <si>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</si>
  <si>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</si>
  <si>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</si>
  <si>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</si>
  <si>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</si>
  <si>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</si>
  <si>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</si>
  <si>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</si>
  <si>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</si>
  <si>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</si>
  <si>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</si>
  <si>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</si>
  <si>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</si>
  <si>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</si>
  <si>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</si>
  <si>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</si>
  <si>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</si>
  <si>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</si>
  <si>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</si>
  <si>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</si>
  <si>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</si>
  <si>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</si>
  <si>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</si>
  <si>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</si>
  <si>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</si>
  <si>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</si>
  <si>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</si>
  <si>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</si>
  <si>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</si>
  <si>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</si>
  <si>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</si>
  <si>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</si>
  <si>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</si>
  <si>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</si>
  <si>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</si>
  <si>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</si>
  <si>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</si>
  <si>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</si>
  <si>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</si>
  <si>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</si>
  <si>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</si>
  <si>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</si>
  <si>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</si>
  <si>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</si>
  <si>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</si>
  <si>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</si>
  <si>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</si>
  <si>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</si>
  <si>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</si>
  <si>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</si>
  <si>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</si>
  <si>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</si>
  <si>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</si>
  <si>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</si>
  <si>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</si>
  <si>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</si>
  <si>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</si>
  <si>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</si>
  <si>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</si>
  <si>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</si>
  <si>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</si>
  <si>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</si>
  <si>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</si>
  <si>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</si>
  <si>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</si>
  <si>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</si>
  <si>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</si>
  <si>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</si>
  <si>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</si>
  <si>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</si>
  <si>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</si>
  <si>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</si>
  <si>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</si>
  <si>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</si>
  <si>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</si>
  <si>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</si>
  <si>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</si>
  <si>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</si>
  <si>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</si>
  <si>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</si>
  <si>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</si>
  <si>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</si>
  <si>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</si>
  <si>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</si>
  <si>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</si>
  <si>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</si>
  <si>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</si>
  <si>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</si>
  <si>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</si>
  <si>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</si>
  <si>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</si>
  <si>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</si>
  <si>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</si>
  <si>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</si>
  <si>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</si>
  <si>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</si>
  <si>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</si>
  <si>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</si>
  <si>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</si>
  <si>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</si>
  <si>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</si>
  <si>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</si>
  <si>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</si>
  <si>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</si>
  <si>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</si>
  <si>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</si>
  <si>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</si>
  <si>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</si>
  <si>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</si>
  <si>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</si>
  <si>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</si>
  <si>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</si>
  <si>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</si>
  <si>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</si>
  <si>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</si>
  <si>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</si>
  <si>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</si>
  <si>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</si>
  <si>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</si>
  <si>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</si>
  <si>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</si>
  <si>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</si>
  <si>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</si>
  <si>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</si>
  <si>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</si>
  <si>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</si>
  <si>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</si>
  <si>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</si>
  <si>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</si>
  <si>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</si>
  <si>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</si>
  <si>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</si>
  <si>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</si>
  <si>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</si>
  <si>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</si>
  <si>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</si>
  <si>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</si>
  <si>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</si>
  <si>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</si>
  <si>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</si>
  <si>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</si>
  <si>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</si>
  <si>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</si>
  <si>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</si>
  <si>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</si>
  <si>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</si>
  <si>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</si>
  <si>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</si>
  <si>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</si>
  <si>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</si>
  <si>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</si>
  <si>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</si>
  <si>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</si>
  <si>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</si>
  <si>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</si>
  <si>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</si>
  <si>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</si>
  <si>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</si>
  <si>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</si>
  <si>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</si>
  <si>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</si>
  <si>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</si>
  <si>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</si>
  <si>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</si>
  <si>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</si>
  <si>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</si>
  <si>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</si>
  <si>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</si>
  <si>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</si>
  <si>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</si>
  <si>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</si>
  <si>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</si>
  <si>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</si>
  <si>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</si>
  <si>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</si>
  <si>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</si>
  <si>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</si>
  <si>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</si>
  <si>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</si>
  <si>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</si>
  <si>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</si>
  <si>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</si>
  <si>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</si>
  <si>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</si>
  <si>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</si>
  <si>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</si>
  <si>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</si>
  <si>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</si>
  <si>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</si>
  <si>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</si>
  <si>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</si>
  <si>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</si>
  <si>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</si>
  <si>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</si>
  <si>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</si>
  <si>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</si>
  <si>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</si>
  <si>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</si>
  <si>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</si>
  <si>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</si>
  <si>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</si>
  <si>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</si>
  <si>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</si>
  <si>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</si>
  <si>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</si>
  <si>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</si>
  <si>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</si>
  <si>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</si>
  <si>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</si>
  <si>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</si>
  <si>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</si>
  <si>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</si>
  <si>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</si>
  <si>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</si>
  <si>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</si>
  <si>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</si>
  <si>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</si>
  <si>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</si>
  <si>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</si>
  <si>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</si>
  <si>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</si>
  <si>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</si>
  <si>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</si>
  <si>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</si>
  <si>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</si>
  <si>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</si>
  <si>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</si>
  <si>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</si>
  <si>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</si>
  <si>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</si>
  <si>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</si>
  <si>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</si>
  <si>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</si>
  <si>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</si>
  <si>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</si>
  <si>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</si>
  <si>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</si>
  <si>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</si>
  <si>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</si>
  <si>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</si>
  <si>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</si>
  <si>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</si>
  <si>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</si>
  <si>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</si>
  <si>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</si>
  <si>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</si>
  <si>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</si>
  <si>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</si>
  <si>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</si>
  <si>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</si>
  <si>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</si>
  <si>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</si>
  <si>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</si>
  <si>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</si>
  <si>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</si>
  <si>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</si>
  <si>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</si>
  <si>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</si>
  <si>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</si>
  <si>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</si>
  <si>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</si>
  <si>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</si>
  <si>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</si>
  <si>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</si>
  <si>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</si>
  <si>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</si>
  <si>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</si>
  <si>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</si>
  <si>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</si>
  <si>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</si>
  <si>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</si>
  <si>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</si>
  <si>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</si>
  <si>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</si>
  <si>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</si>
  <si>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</si>
  <si>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</si>
  <si>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</si>
  <si>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</si>
  <si>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</si>
  <si>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</si>
  <si>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</si>
  <si>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</si>
  <si>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</si>
  <si>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</si>
  <si>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</si>
  <si>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</si>
  <si>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</si>
  <si>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</si>
  <si>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</si>
  <si>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</si>
  <si>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</si>
  <si>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</si>
  <si>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</si>
  <si>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</si>
  <si>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</si>
  <si>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</si>
  <si>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</si>
  <si>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</si>
  <si>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</si>
  <si>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</si>
  <si>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</si>
  <si>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</si>
  <si>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</si>
  <si>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</si>
  <si>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</si>
  <si>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</si>
  <si>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</si>
  <si>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</si>
  <si>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</si>
  <si>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</si>
  <si>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</si>
  <si>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</si>
  <si>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</si>
  <si>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</si>
  <si>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</si>
  <si>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</si>
  <si>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</si>
  <si>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</si>
  <si>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</si>
  <si>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</si>
  <si>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</si>
  <si>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</si>
  <si>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</si>
  <si>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</si>
  <si>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</si>
  <si>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</si>
  <si>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</si>
  <si>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</si>
  <si>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</si>
  <si>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</si>
  <si>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</si>
  <si>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</si>
  <si>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</si>
  <si>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</si>
  <si>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</si>
  <si>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</si>
  <si>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</si>
  <si>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</si>
  <si>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</si>
  <si>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</si>
  <si>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</si>
  <si>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</si>
  <si>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</si>
  <si>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</si>
  <si>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</si>
  <si>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</si>
  <si>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</si>
  <si>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</si>
  <si>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</si>
  <si>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</si>
  <si>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</si>
  <si>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</si>
  <si>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</si>
  <si>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</si>
  <si>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</si>
  <si>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</si>
  <si>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</si>
  <si>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</si>
  <si>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</si>
  <si>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</si>
  <si>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</si>
  <si>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</si>
  <si>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</si>
  <si>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</si>
  <si>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</si>
  <si>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</si>
  <si>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</si>
  <si>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</si>
  <si>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</si>
  <si>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</si>
  <si>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</si>
  <si>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</si>
  <si>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</si>
  <si>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</si>
  <si>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</si>
  <si>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</si>
  <si>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</si>
  <si>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</si>
  <si>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</si>
  <si>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</si>
  <si>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</si>
  <si>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</si>
  <si>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</si>
  <si>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</si>
  <si>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</si>
  <si>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</si>
  <si>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</si>
  <si>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</si>
  <si>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</si>
  <si>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</si>
  <si>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</si>
  <si>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</si>
  <si>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</si>
  <si>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</si>
  <si>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</si>
  <si>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</si>
  <si>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</si>
  <si>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</si>
  <si>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</si>
  <si>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</si>
  <si>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</si>
  <si>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</si>
  <si>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</si>
  <si>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</si>
  <si>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</si>
  <si>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</si>
  <si>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</si>
  <si>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</si>
  <si>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</si>
  <si>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</si>
  <si>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</si>
  <si>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</si>
  <si>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</si>
  <si>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</si>
  <si>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</si>
  <si>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</si>
  <si>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</si>
  <si>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</si>
  <si>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</si>
  <si>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</si>
  <si>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</si>
  <si>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</si>
  <si>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</si>
  <si>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</si>
  <si>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</si>
  <si>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</si>
  <si>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</si>
  <si>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</si>
  <si>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</si>
  <si>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</si>
  <si>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</si>
  <si>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</si>
  <si>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</si>
  <si>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</si>
  <si>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</si>
  <si>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</si>
  <si>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</si>
  <si>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</si>
  <si>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</si>
  <si>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</si>
  <si>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</si>
  <si>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</si>
  <si>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</si>
  <si>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</si>
  <si>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</si>
  <si>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</si>
  <si>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</si>
  <si>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</si>
  <si>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</si>
  <si>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</si>
  <si>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</si>
  <si>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</si>
  <si>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</si>
  <si>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</si>
  <si>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</si>
  <si>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</si>
  <si>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</si>
  <si>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</si>
  <si>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</si>
  <si>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</si>
  <si>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</si>
  <si>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</si>
  <si>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</si>
  <si>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</si>
  <si>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</si>
  <si>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</si>
  <si>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</si>
  <si>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</si>
  <si>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</si>
  <si>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</si>
  <si>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</si>
  <si>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</si>
  <si>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</si>
  <si>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</si>
  <si>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</si>
  <si>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</si>
  <si>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</si>
  <si>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</si>
  <si>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</si>
  <si>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</si>
  <si>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</si>
  <si>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</si>
  <si>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</si>
  <si>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</si>
  <si>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</si>
  <si>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</si>
  <si>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</si>
  <si>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</si>
  <si>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</si>
  <si>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</si>
  <si>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</si>
  <si>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</si>
  <si>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</si>
  <si>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</si>
  <si>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</si>
  <si>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</si>
  <si>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</si>
  <si>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</si>
  <si>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</si>
  <si>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</si>
  <si>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</si>
  <si>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</si>
  <si>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</si>
  <si>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</si>
  <si>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</si>
  <si>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</si>
  <si>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</si>
  <si>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</si>
  <si>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</si>
  <si>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</si>
  <si>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</si>
  <si>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</si>
  <si>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</si>
  <si>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</si>
  <si>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</si>
  <si>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</si>
  <si>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</si>
  <si>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</si>
  <si>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</si>
  <si>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</si>
  <si>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</si>
  <si>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</si>
  <si>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</si>
  <si>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</si>
  <si>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</si>
  <si>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</si>
  <si>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</si>
  <si>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</si>
  <si>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</si>
  <si>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</si>
  <si>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</si>
  <si>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</si>
  <si>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</si>
  <si>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</si>
  <si>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</si>
  <si>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</si>
  <si>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</si>
  <si>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</si>
  <si>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</si>
  <si>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</si>
  <si>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</si>
  <si>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</si>
  <si>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</si>
  <si>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</si>
  <si>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</si>
  <si>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</si>
  <si>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</si>
  <si>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</si>
  <si>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</si>
  <si>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</si>
  <si>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</si>
  <si>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</si>
  <si>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</si>
  <si>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</si>
  <si>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</si>
  <si>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</si>
  <si>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</si>
  <si>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</si>
  <si>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</si>
  <si>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</si>
  <si>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</si>
  <si>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</si>
  <si>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</si>
  <si>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</si>
  <si>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</si>
  <si>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</si>
  <si>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</si>
  <si>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</si>
  <si>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</si>
  <si>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</si>
  <si>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</si>
  <si>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</si>
  <si>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</si>
  <si>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</si>
  <si>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</si>
  <si>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</si>
  <si>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</si>
  <si>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</si>
  <si>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</si>
  <si>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</si>
  <si>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</si>
  <si>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</si>
  <si>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</si>
  <si>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</si>
  <si>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</si>
  <si>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</si>
  <si>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</si>
  <si>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</si>
  <si>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</si>
  <si>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</si>
  <si>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</si>
  <si>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</si>
  <si>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</si>
  <si>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</si>
  <si>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</si>
  <si>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</si>
  <si>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</si>
  <si>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</si>
  <si>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</si>
  <si>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</si>
  <si>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</si>
  <si>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</si>
  <si>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</si>
  <si>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</si>
  <si>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</si>
  <si>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</si>
  <si>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</si>
  <si>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</si>
  <si>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</si>
  <si>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</si>
  <si>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</si>
  <si>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</si>
  <si>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</si>
  <si>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</si>
  <si>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</si>
  <si>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</si>
  <si>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</si>
  <si>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</si>
  <si>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</si>
  <si>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</si>
  <si>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</si>
  <si>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</si>
  <si>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</si>
  <si>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</si>
  <si>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</si>
  <si>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</si>
  <si>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</si>
  <si>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</si>
  <si>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</si>
  <si>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</si>
  <si>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</si>
  <si>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</si>
  <si>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</si>
  <si>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</si>
  <si>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</si>
  <si>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</si>
  <si>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</si>
  <si>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</si>
  <si>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</si>
  <si>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</si>
  <si>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</si>
  <si>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</si>
  <si>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</si>
  <si>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</si>
  <si>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</si>
  <si>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</si>
  <si>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</si>
  <si>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</si>
  <si>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</si>
  <si>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</si>
  <si>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</si>
  <si>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</si>
  <si>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</si>
  <si>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</si>
  <si>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</si>
  <si>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</si>
  <si>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</si>
  <si>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</si>
  <si>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</si>
  <si>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</si>
  <si>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</si>
  <si>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</si>
  <si>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</si>
  <si>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</si>
  <si>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</si>
  <si>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</si>
  <si>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</si>
  <si>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</si>
  <si>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</si>
  <si>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</si>
  <si>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</si>
  <si>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</si>
  <si>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</si>
  <si>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</si>
  <si>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</si>
  <si>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</si>
  <si>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</si>
  <si>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</si>
  <si>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</si>
  <si>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</si>
  <si>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</si>
  <si>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</si>
  <si>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</si>
  <si>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</si>
  <si>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</si>
  <si>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</si>
  <si>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</si>
  <si>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</si>
  <si>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</si>
  <si>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</si>
  <si>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</si>
  <si>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</si>
  <si>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</si>
  <si>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</si>
  <si>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</si>
  <si>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</si>
  <si>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</si>
  <si>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</si>
  <si>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</si>
  <si>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</si>
  <si>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</si>
  <si>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</si>
  <si>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</si>
  <si>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</si>
  <si>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</si>
  <si>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</si>
  <si>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</si>
  <si>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</si>
  <si>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</si>
  <si>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</si>
  <si>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</si>
  <si>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</si>
  <si>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</si>
  <si>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</si>
  <si>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</si>
  <si>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</si>
  <si>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</si>
  <si>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</si>
  <si>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</si>
  <si>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</si>
  <si>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</si>
  <si>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</si>
  <si>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</si>
  <si>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</si>
  <si>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</si>
  <si>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</si>
  <si>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</si>
  <si>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</si>
  <si>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</si>
  <si>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</si>
  <si>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</si>
  <si>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</si>
  <si>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</si>
  <si>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</si>
  <si>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</si>
  <si>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</si>
  <si>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</si>
  <si>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</si>
  <si>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</si>
  <si>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</si>
  <si>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</si>
  <si>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</si>
  <si>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</si>
  <si>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</si>
  <si>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</si>
  <si>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</si>
  <si>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</si>
  <si>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</si>
  <si>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</si>
  <si>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</si>
  <si>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</si>
  <si>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</si>
  <si>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</si>
  <si>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</si>
  <si>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</si>
  <si>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</si>
  <si>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</si>
  <si>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</si>
  <si>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</si>
  <si>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</si>
  <si>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</si>
  <si>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</si>
  <si>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</si>
  <si>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</si>
  <si>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</si>
  <si>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</si>
  <si>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</si>
  <si>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</si>
  <si>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</si>
  <si>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</si>
  <si>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</si>
  <si>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</si>
  <si>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</si>
  <si>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</si>
  <si>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</si>
  <si>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</si>
  <si>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</si>
  <si>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</si>
  <si>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</si>
  <si>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</si>
  <si>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</si>
  <si>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</si>
  <si>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</si>
  <si>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</si>
  <si>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</si>
  <si>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</si>
  <si>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</si>
  <si>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</si>
  <si>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</si>
  <si>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</si>
  <si>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</si>
  <si>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</si>
  <si>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</si>
  <si>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</si>
  <si>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</si>
  <si>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</si>
  <si>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</si>
  <si>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</si>
  <si>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</si>
  <si>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</si>
  <si>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</si>
  <si>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</si>
  <si>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</si>
  <si>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</si>
  <si>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</si>
  <si>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</si>
  <si>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</si>
  <si>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</si>
  <si>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</si>
  <si>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</si>
  <si>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</si>
  <si>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</si>
  <si>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</si>
  <si>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</si>
  <si>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</si>
  <si>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</si>
  <si>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</si>
  <si>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</si>
  <si>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</si>
  <si>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</si>
  <si>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</si>
  <si>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</si>
  <si>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</si>
  <si>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</si>
  <si>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</si>
  <si>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</si>
  <si>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</si>
  <si>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</si>
  <si>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</si>
  <si>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</si>
  <si>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</si>
  <si>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</si>
  <si>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</si>
  <si>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</si>
  <si>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</si>
  <si>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</si>
  <si>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</si>
  <si>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</si>
  <si>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</si>
  <si>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</si>
  <si>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</si>
  <si>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</si>
  <si>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</si>
  <si>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</si>
  <si>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</si>
  <si>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</si>
  <si>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</si>
  <si>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</si>
  <si>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</si>
  <si>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</si>
  <si>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</si>
  <si>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</si>
  <si>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</si>
  <si>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</si>
  <si>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</si>
  <si>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</si>
  <si>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</si>
  <si>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</si>
  <si>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</si>
  <si>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</si>
  <si>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</si>
  <si>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</si>
  <si>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</si>
  <si>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</si>
  <si>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</si>
  <si>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</si>
  <si>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</si>
  <si>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</si>
  <si>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</si>
  <si>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</si>
  <si>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</si>
  <si>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</si>
  <si>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</si>
  <si>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</si>
  <si>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</si>
  <si>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</si>
  <si>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</si>
  <si>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</si>
  <si>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</si>
  <si>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</si>
  <si>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</si>
  <si>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</si>
  <si>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</si>
  <si>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</si>
  <si>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</si>
  <si>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</si>
  <si>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</si>
  <si>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</si>
  <si>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</si>
  <si>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</si>
  <si>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</si>
  <si>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</si>
  <si>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</si>
  <si>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</si>
  <si>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</si>
  <si>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</si>
  <si>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</si>
  <si>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</si>
  <si>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</si>
  <si>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</si>
  <si>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</si>
  <si>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</si>
  <si>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</si>
  <si>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</si>
  <si>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</si>
  <si>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</si>
  <si>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</si>
  <si>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</si>
  <si>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</si>
  <si>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</si>
  <si>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</si>
  <si>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</si>
  <si>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</si>
  <si>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</si>
  <si>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</si>
  <si>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</si>
  <si>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</si>
  <si>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</si>
  <si>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</si>
  <si>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</si>
  <si>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</si>
  <si>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</si>
  <si>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</si>
  <si>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</si>
  <si>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</si>
  <si>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</si>
  <si>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</si>
  <si>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</si>
  <si>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</si>
  <si>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</si>
  <si>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</si>
  <si>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</si>
  <si>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</si>
  <si>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</si>
  <si>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</si>
  <si>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</si>
  <si>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</si>
  <si>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</si>
  <si>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</si>
  <si>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</si>
  <si>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</si>
  <si>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</si>
  <si>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</si>
  <si>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</si>
  <si>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</si>
  <si>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</si>
  <si>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</si>
  <si>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</si>
  <si>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</si>
  <si>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</si>
  <si>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</si>
  <si>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</si>
  <si>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</si>
  <si>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</si>
  <si>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</si>
  <si>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</si>
  <si>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</si>
  <si>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</si>
  <si>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</si>
  <si>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</si>
  <si>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</si>
  <si>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</si>
  <si>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</si>
  <si>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</si>
  <si>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</si>
  <si>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</si>
  <si>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</si>
  <si>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</si>
  <si>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</si>
  <si>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</si>
  <si>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</si>
  <si>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</si>
  <si>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</si>
  <si>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</si>
  <si>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</si>
  <si>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</si>
  <si>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</si>
  <si>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</si>
  <si>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</si>
  <si>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</si>
  <si>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</si>
  <si>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</si>
  <si>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</si>
  <si>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</si>
  <si>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</si>
  <si>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</si>
  <si>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</si>
  <si>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</si>
  <si>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</si>
  <si>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</si>
  <si>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</si>
  <si>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</si>
  <si>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</si>
  <si>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</si>
  <si>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</si>
  <si>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</si>
  <si>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</si>
  <si>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</si>
  <si>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</si>
  <si>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</si>
  <si>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</si>
  <si>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</si>
  <si>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</si>
  <si>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</si>
  <si>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</si>
  <si>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</si>
  <si>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</si>
  <si>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</si>
  <si>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</si>
  <si>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</si>
  <si>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</si>
  <si>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</si>
  <si>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</si>
  <si>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</si>
  <si>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</si>
  <si>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</si>
  <si>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</si>
  <si>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</si>
  <si>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</si>
  <si>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</si>
  <si>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</si>
  <si>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</si>
  <si>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</si>
  <si>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</si>
  <si>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</si>
  <si>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</si>
  <si>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</si>
  <si>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</si>
  <si>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</si>
  <si>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</si>
  <si>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</si>
  <si>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</si>
  <si>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</si>
  <si>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</si>
  <si>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</si>
  <si>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</si>
  <si>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</si>
  <si>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</si>
  <si>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</si>
  <si>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</si>
  <si>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</si>
  <si>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</si>
  <si>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</si>
  <si>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</si>
  <si>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</si>
  <si>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</si>
  <si>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</si>
  <si>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</si>
  <si>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</si>
  <si>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</si>
  <si>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</si>
  <si>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</si>
  <si>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</si>
  <si>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</si>
  <si>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</si>
  <si>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</si>
  <si>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</si>
  <si>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</si>
  <si>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</si>
  <si>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</si>
  <si>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</si>
  <si>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</si>
  <si>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</si>
  <si>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</si>
  <si>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</si>
  <si>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</si>
  <si>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</si>
  <si>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</si>
  <si>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</si>
  <si>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</si>
  <si>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</si>
  <si>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</si>
  <si>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</si>
  <si>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</si>
  <si>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</si>
  <si>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</si>
  <si>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</si>
  <si>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</si>
  <si>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</si>
  <si>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</si>
  <si>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</si>
  <si>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</si>
  <si>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</si>
  <si>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</si>
  <si>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</si>
  <si>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</si>
  <si>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</si>
  <si>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</si>
  <si>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</si>
  <si>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</si>
  <si>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</si>
  <si>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</si>
  <si>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</si>
  <si>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</si>
  <si>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</si>
  <si>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</si>
  <si>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</si>
  <si>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</si>
  <si>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</si>
  <si>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</si>
  <si>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</si>
  <si>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</si>
  <si>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</si>
  <si>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</si>
  <si>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</si>
  <si>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</si>
  <si>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</si>
  <si>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</si>
  <si>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</si>
  <si>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</si>
  <si>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</si>
  <si>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</si>
  <si>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</si>
  <si>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</si>
  <si>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</si>
  <si>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</si>
  <si>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</si>
  <si>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</si>
  <si>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</si>
  <si>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</si>
  <si>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</si>
  <si>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</si>
  <si>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</si>
  <si>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</si>
  <si>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</si>
  <si>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</si>
  <si>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</si>
  <si>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</si>
  <si>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</si>
  <si>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</si>
  <si>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</si>
  <si>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</si>
  <si>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</si>
  <si>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</si>
  <si>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</si>
  <si>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</si>
  <si>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</si>
  <si>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</si>
  <si>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</si>
  <si>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</si>
  <si>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</si>
  <si>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</si>
  <si>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</si>
  <si>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</si>
  <si>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</si>
  <si>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</si>
  <si>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</si>
  <si>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</si>
  <si>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</si>
  <si>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</si>
  <si>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</si>
  <si>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</si>
  <si>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</si>
  <si>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</si>
  <si>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</si>
  <si>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</si>
  <si>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</si>
  <si>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</si>
  <si>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</si>
  <si>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</si>
  <si>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</si>
  <si>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</si>
  <si>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</si>
  <si>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</si>
  <si>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</si>
  <si>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</si>
  <si>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</si>
  <si>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</si>
  <si>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</si>
  <si>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</si>
  <si>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</si>
  <si>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</si>
  <si>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</si>
  <si>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</si>
  <si>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</si>
  <si>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</si>
  <si>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</si>
  <si>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</si>
  <si>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</si>
  <si>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</si>
  <si>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</si>
  <si>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</si>
  <si>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</si>
  <si>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</si>
  <si>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</si>
  <si>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</si>
  <si>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</si>
  <si>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</si>
  <si>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</si>
  <si>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</si>
  <si>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</si>
  <si>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</si>
  <si>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</si>
  <si>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</si>
  <si>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</si>
  <si>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</si>
  <si>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</si>
  <si>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</si>
  <si>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</si>
  <si>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</si>
  <si>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</si>
  <si>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</si>
  <si>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</si>
  <si>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</si>
  <si>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</si>
  <si>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</si>
  <si>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</si>
  <si>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</si>
  <si>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</si>
  <si>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</si>
  <si>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</si>
  <si>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</si>
  <si>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</si>
  <si>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</si>
  <si>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</si>
  <si>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</si>
  <si>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</si>
  <si>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</si>
  <si>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</si>
  <si>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</si>
  <si>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</si>
  <si>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</si>
  <si>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</si>
  <si>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</si>
  <si>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</si>
  <si>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</si>
  <si>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</si>
  <si>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</si>
  <si>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</si>
  <si>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</si>
  <si>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</si>
  <si>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</si>
  <si>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</si>
  <si>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</si>
  <si>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</si>
  <si>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</si>
  <si>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</si>
  <si>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</si>
  <si>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</si>
  <si>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</si>
  <si>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</si>
  <si>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</si>
  <si>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</si>
  <si>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</si>
  <si>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</si>
  <si>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</si>
  <si>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</si>
  <si>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</si>
  <si>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</si>
  <si>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</si>
  <si>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</si>
  <si>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</si>
  <si>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</si>
  <si>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</si>
  <si>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</si>
  <si>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</si>
  <si>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</si>
  <si>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</si>
  <si>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</si>
  <si>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</si>
  <si>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</si>
  <si>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</si>
  <si>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</si>
  <si>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</si>
  <si>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</si>
  <si>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</si>
  <si>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</si>
  <si>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</si>
  <si>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</si>
  <si>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</si>
  <si>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</si>
  <si>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</si>
  <si>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</si>
  <si>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</si>
  <si>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</si>
  <si>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</si>
  <si>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</si>
  <si>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</si>
  <si>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</si>
  <si>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</si>
  <si>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</si>
  <si>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</si>
  <si>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</si>
  <si>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</si>
  <si>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</si>
  <si>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</si>
  <si>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</si>
  <si>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</si>
  <si>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</si>
  <si>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</si>
  <si>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</si>
  <si>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</si>
  <si>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</si>
  <si>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</si>
  <si>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</si>
  <si>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</si>
  <si>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</si>
  <si>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</si>
  <si>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</si>
  <si>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</si>
  <si>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</si>
  <si>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</si>
  <si>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</si>
  <si>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</si>
  <si>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</si>
  <si>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</si>
  <si>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</si>
  <si>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</si>
  <si>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</si>
  <si>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</si>
  <si>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</si>
  <si>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</si>
  <si>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</si>
  <si>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</si>
  <si>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</si>
  <si>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</si>
  <si>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</si>
  <si>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</si>
  <si>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</si>
  <si>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</si>
  <si>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</si>
  <si>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</si>
  <si>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</si>
  <si>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</si>
  <si>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</si>
  <si>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</si>
  <si>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</si>
  <si>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</si>
  <si>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</si>
  <si>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</si>
  <si>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</si>
  <si>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</si>
  <si>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</si>
  <si>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</si>
  <si>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</si>
  <si>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</si>
  <si>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</si>
  <si>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</si>
  <si>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</si>
  <si>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</si>
  <si>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</si>
  <si>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</si>
  <si>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</si>
  <si>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</si>
  <si>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</si>
  <si>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</si>
  <si>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</si>
  <si>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</si>
  <si>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</si>
  <si>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</si>
  <si>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</si>
  <si>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</si>
  <si>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</si>
  <si>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</si>
  <si>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</si>
  <si>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</si>
  <si>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</si>
  <si>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</si>
  <si>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</si>
  <si>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</si>
  <si>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</si>
  <si>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</si>
  <si>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</si>
  <si>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</si>
  <si>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</si>
  <si>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</si>
  <si>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</si>
  <si>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</si>
  <si>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</si>
  <si>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</si>
  <si>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</si>
  <si>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</si>
  <si>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</si>
  <si>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</si>
  <si>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</si>
  <si>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</si>
  <si>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</si>
  <si>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</si>
  <si>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</si>
  <si>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</si>
  <si>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</si>
  <si>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</si>
  <si>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</si>
  <si>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</si>
  <si>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</si>
  <si>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</si>
  <si>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</si>
  <si>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</si>
  <si>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</si>
  <si>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</si>
  <si>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</si>
  <si>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</si>
  <si>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</si>
  <si>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</si>
  <si>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</si>
  <si>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</si>
  <si>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</si>
  <si>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</si>
  <si>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</si>
  <si>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</si>
  <si>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</si>
  <si>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</si>
  <si>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</si>
  <si>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</si>
  <si>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</si>
  <si>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</si>
  <si>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</si>
  <si>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</si>
  <si>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</si>
  <si>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</si>
  <si>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</si>
  <si>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</si>
  <si>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</si>
  <si>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</si>
  <si>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</si>
  <si>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</si>
  <si>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</si>
  <si>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</si>
  <si>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</si>
  <si>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</si>
  <si>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</si>
  <si>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</si>
  <si>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</si>
  <si>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</si>
  <si>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</si>
  <si>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</si>
  <si>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</si>
  <si>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</si>
  <si>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</si>
  <si>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</si>
  <si>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</si>
  <si>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</si>
  <si>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</si>
  <si>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</si>
  <si>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</si>
  <si>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</si>
  <si>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</si>
  <si>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</si>
  <si>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</si>
  <si>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</si>
  <si>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</si>
  <si>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</si>
  <si>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</si>
  <si>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</si>
  <si>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</si>
  <si>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</si>
  <si>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</si>
  <si>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</si>
  <si>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</si>
  <si>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</si>
  <si>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</si>
  <si>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</si>
  <si>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</si>
  <si>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</si>
  <si>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</si>
  <si>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</si>
  <si>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</si>
  <si>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</si>
  <si>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</si>
  <si>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</si>
  <si>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</si>
  <si>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</si>
  <si>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</si>
  <si>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</si>
  <si>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</si>
  <si>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</si>
  <si>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</si>
  <si>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</si>
  <si>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</si>
  <si>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</si>
  <si>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</si>
  <si>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</si>
  <si>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</si>
  <si>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</si>
  <si>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</si>
  <si>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</si>
  <si>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</si>
  <si>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</si>
  <si>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</si>
  <si>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</si>
  <si>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</si>
  <si>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</si>
  <si>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</si>
  <si>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</si>
  <si>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</si>
  <si>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</si>
  <si>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</si>
  <si>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</si>
  <si>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</si>
  <si>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</si>
  <si>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</si>
  <si>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</si>
  <si>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</si>
  <si>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</si>
  <si>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</si>
  <si>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</si>
  <si>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</si>
  <si>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</si>
  <si>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</si>
  <si>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</si>
  <si>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</si>
  <si>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</si>
  <si>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</si>
  <si>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</si>
  <si>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</si>
  <si>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</si>
  <si>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</si>
  <si>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</si>
  <si>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</si>
  <si>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</si>
  <si>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</si>
  <si>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</si>
  <si>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</si>
  <si>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</si>
  <si>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</si>
  <si>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</si>
  <si>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</si>
  <si>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</si>
  <si>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</si>
  <si>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</si>
  <si>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</si>
  <si>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</si>
  <si>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</si>
  <si>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</si>
  <si>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</si>
  <si>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</si>
  <si>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</si>
  <si>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</si>
  <si>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</si>
  <si>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</si>
  <si>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</si>
  <si>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</si>
  <si>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</si>
  <si>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</si>
  <si>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</si>
  <si>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</si>
  <si>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</si>
  <si>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</si>
  <si>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</si>
  <si>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</si>
  <si>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</si>
  <si>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</si>
  <si>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</si>
  <si>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</si>
  <si>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</si>
  <si>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</si>
  <si>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</si>
  <si>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</si>
  <si>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</si>
  <si>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</si>
  <si>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</si>
  <si>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</si>
  <si>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</si>
  <si>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</si>
  <si>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</si>
  <si>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</si>
  <si>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</si>
  <si>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</si>
  <si>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</si>
  <si>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</si>
  <si>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</si>
  <si>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</si>
  <si>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</si>
  <si>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</si>
  <si>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</si>
  <si>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</si>
  <si>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</si>
  <si>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</si>
  <si>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</si>
  <si>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</si>
  <si>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</si>
  <si>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</si>
  <si>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</si>
  <si>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</si>
  <si>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</si>
  <si>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</si>
  <si>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</si>
  <si>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</si>
  <si>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</si>
  <si>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</si>
  <si>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</si>
  <si>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</si>
  <si>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</si>
  <si>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</si>
  <si>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</si>
  <si>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</si>
  <si>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</si>
  <si>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</si>
  <si>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</si>
  <si>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</si>
  <si>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</si>
  <si>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</si>
  <si>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</si>
  <si>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</si>
  <si>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</si>
  <si>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</si>
  <si>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</si>
  <si>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</si>
  <si>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</si>
  <si>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</si>
  <si>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</si>
  <si>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</si>
  <si>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</si>
  <si>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</si>
  <si>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</si>
  <si>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</si>
  <si>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</si>
  <si>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</si>
  <si>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</si>
  <si>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</si>
  <si>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</si>
  <si>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</si>
  <si>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</si>
  <si>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</si>
  <si>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</si>
  <si>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</si>
  <si>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</si>
  <si>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</si>
  <si>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</si>
  <si>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</si>
  <si>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</si>
  <si>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</si>
  <si>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</si>
  <si>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</si>
  <si>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</si>
  <si>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</si>
  <si>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</si>
  <si>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</si>
  <si>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</si>
  <si>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</si>
  <si>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</si>
  <si>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</si>
  <si>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</si>
  <si>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</si>
  <si>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</si>
  <si>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</si>
  <si>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</si>
  <si>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</si>
  <si>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</si>
  <si>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</si>
  <si>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</si>
  <si>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</si>
  <si>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</si>
  <si>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</si>
  <si>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</si>
  <si>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</si>
  <si>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</si>
  <si>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</si>
  <si>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</si>
  <si>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</si>
  <si>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</si>
  <si>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</si>
  <si>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</si>
  <si>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</si>
  <si>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</si>
  <si>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</si>
  <si>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</si>
  <si>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</si>
  <si>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</si>
  <si>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</si>
  <si>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</si>
  <si>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</si>
  <si>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</si>
  <si>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</si>
  <si>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</si>
  <si>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</si>
  <si>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</si>
  <si>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</si>
  <si>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</si>
  <si>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</si>
  <si>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</si>
  <si>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</si>
  <si>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</si>
  <si>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</si>
  <si>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</si>
  <si>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</si>
  <si>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</si>
  <si>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</si>
  <si>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</si>
  <si>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</si>
  <si>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</si>
  <si>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</si>
  <si>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</si>
  <si>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</si>
  <si>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</si>
  <si>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</si>
  <si>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</si>
  <si>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</si>
  <si>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</si>
  <si>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</si>
  <si>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</si>
  <si>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</si>
  <si>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</si>
  <si>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</si>
  <si>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</si>
  <si>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</si>
  <si>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</si>
  <si>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</si>
  <si>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</si>
  <si>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</si>
  <si>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</si>
  <si>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</si>
  <si>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</si>
  <si>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</si>
  <si>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</si>
  <si>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</si>
  <si>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</si>
  <si>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</si>
  <si>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</si>
  <si>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</si>
  <si>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</si>
  <si>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</si>
  <si>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</si>
  <si>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</si>
  <si>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</si>
  <si>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</si>
  <si>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</si>
  <si>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</si>
  <si>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</si>
  <si>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</si>
  <si>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</si>
  <si>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</si>
  <si>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</si>
  <si>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</si>
  <si>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</si>
  <si>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</si>
  <si>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</si>
  <si>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</si>
  <si>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</si>
  <si>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</si>
  <si>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</si>
  <si>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</si>
  <si>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</si>
  <si>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</si>
  <si>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</si>
  <si>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</si>
  <si>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</si>
  <si>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</si>
  <si>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</si>
  <si>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</si>
  <si>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</si>
  <si>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</si>
  <si>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</si>
  <si>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</si>
  <si>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</si>
  <si>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</si>
  <si>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</si>
  <si>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</si>
  <si>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</si>
  <si>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</si>
  <si>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</si>
  <si>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</si>
  <si>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</si>
  <si>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</si>
  <si>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</si>
  <si>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</si>
  <si>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</si>
  <si>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</si>
  <si>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</si>
  <si>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</si>
  <si>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</si>
  <si>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</si>
  <si>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</si>
  <si>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</si>
  <si>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</si>
  <si>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</si>
  <si>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</si>
  <si>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</si>
  <si>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</si>
  <si>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</si>
  <si>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</si>
  <si>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</si>
  <si>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</si>
  <si>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</si>
  <si>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</si>
  <si>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</si>
  <si>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</si>
  <si>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</si>
  <si>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</si>
  <si>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</si>
  <si>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</si>
  <si>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</si>
  <si>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</si>
  <si>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</si>
  <si>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</si>
  <si>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</si>
  <si>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</si>
  <si>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</si>
  <si>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</si>
  <si>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</si>
  <si>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</si>
  <si>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</si>
  <si>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</si>
  <si>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</si>
  <si>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</si>
  <si>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</si>
  <si>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</si>
  <si>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</si>
  <si>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</si>
  <si>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</si>
  <si>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</si>
  <si>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</si>
  <si>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</si>
  <si>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</si>
  <si>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</si>
  <si>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</si>
  <si>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</si>
  <si>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</si>
  <si>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</si>
  <si>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</si>
  <si>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</si>
  <si>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</si>
  <si>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</si>
  <si>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</si>
  <si>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</si>
  <si>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</si>
  <si>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</si>
  <si>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</si>
  <si>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</si>
  <si>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</si>
  <si>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</si>
  <si>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</si>
  <si>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</si>
  <si>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</si>
  <si>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</si>
  <si>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</si>
  <si>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</si>
  <si>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</si>
  <si>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</si>
  <si>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</si>
  <si>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</si>
  <si>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</si>
  <si>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</si>
  <si>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</si>
  <si>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</si>
  <si>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</si>
  <si>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</si>
  <si>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</si>
  <si>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</si>
  <si>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</si>
  <si>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</si>
  <si>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</si>
  <si>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</si>
  <si>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</si>
  <si>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</si>
  <si>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</si>
  <si>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</si>
  <si>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</si>
  <si>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</si>
  <si>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</si>
  <si>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</si>
  <si>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</si>
  <si>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</si>
  <si>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</si>
  <si>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</si>
  <si>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</si>
  <si>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</si>
  <si>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</si>
  <si>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</si>
  <si>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</si>
  <si>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</si>
  <si>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</si>
  <si>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</si>
  <si>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</si>
  <si>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</si>
  <si>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</si>
  <si>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</si>
  <si>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</si>
  <si>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</si>
  <si>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</si>
  <si>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</si>
  <si>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</si>
  <si>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</si>
  <si>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</si>
  <si>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</si>
  <si>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</si>
  <si>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</si>
  <si>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</si>
  <si>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</si>
  <si>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</si>
  <si>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</si>
  <si>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</si>
  <si>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</si>
  <si>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</si>
  <si>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</si>
  <si>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</si>
  <si>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</si>
  <si>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</si>
  <si>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</si>
  <si>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</si>
  <si>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</si>
  <si>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</si>
  <si>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</si>
  <si>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</si>
  <si>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</si>
  <si>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</si>
  <si>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</si>
  <si>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</si>
  <si>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</si>
  <si>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</si>
  <si>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</si>
  <si>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</si>
  <si>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</si>
  <si>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</si>
  <si>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</si>
  <si>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</si>
  <si>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</si>
  <si>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</si>
  <si>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</si>
  <si>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</si>
  <si>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</si>
  <si>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</si>
  <si>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</si>
  <si>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</si>
  <si>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</si>
  <si>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</si>
  <si>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</si>
  <si>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</si>
  <si>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</si>
  <si>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</si>
  <si>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</si>
  <si>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</si>
  <si>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</si>
  <si>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</si>
  <si>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</si>
  <si>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</si>
  <si>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</si>
  <si>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</si>
  <si>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</si>
  <si>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</si>
  <si>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</si>
  <si>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</si>
  <si>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</si>
  <si>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</si>
  <si>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</si>
  <si>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</si>
  <si>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</si>
  <si>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</si>
  <si>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</si>
  <si>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</si>
  <si>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</si>
  <si>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</si>
  <si>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</si>
  <si>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</si>
  <si>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</si>
  <si>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</si>
  <si>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</si>
  <si>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</si>
  <si>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</si>
  <si>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</si>
  <si>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</si>
  <si>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</si>
  <si>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</si>
  <si>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</si>
  <si>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</si>
  <si>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</si>
  <si>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</si>
  <si>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</si>
  <si>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</si>
  <si>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</si>
  <si>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</si>
  <si>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</si>
  <si>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</si>
  <si>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</si>
  <si>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</si>
  <si>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</si>
  <si>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</si>
  <si>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</si>
  <si>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</si>
  <si>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</si>
  <si>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</si>
  <si>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</si>
  <si>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</si>
  <si>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</si>
  <si>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</si>
  <si>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</si>
  <si>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</si>
  <si>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</si>
  <si>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</si>
  <si>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</si>
  <si>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</si>
  <si>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</si>
  <si>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</si>
  <si>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</si>
  <si>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</si>
  <si>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</si>
  <si>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</si>
  <si>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</si>
  <si>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</si>
  <si>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</si>
  <si>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</si>
  <si>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</si>
  <si>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</si>
  <si>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</si>
  <si>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</si>
  <si>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</si>
  <si>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</si>
  <si>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</si>
  <si>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</si>
  <si>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</si>
  <si>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</si>
  <si>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</si>
  <si>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</si>
  <si>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</si>
  <si>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</si>
  <si>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</si>
  <si>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</si>
  <si>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</si>
  <si>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</si>
  <si>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</si>
  <si>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</si>
  <si>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</si>
  <si>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</si>
  <si>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</si>
  <si>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</si>
  <si>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</si>
  <si>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</si>
  <si>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</si>
  <si>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</si>
  <si>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</si>
  <si>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</si>
  <si>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</si>
  <si>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</si>
  <si>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</si>
  <si>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</si>
  <si>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</si>
  <si>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</si>
  <si>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</si>
  <si>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</si>
  <si>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</si>
  <si>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</si>
  <si>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</si>
  <si>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</si>
  <si>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</si>
  <si>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</si>
  <si>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</si>
  <si>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</si>
  <si>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</si>
  <si>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</si>
  <si>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</si>
  <si>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</si>
  <si>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</si>
  <si>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</si>
  <si>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</si>
  <si>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</si>
  <si>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</si>
  <si>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</si>
  <si>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</si>
  <si>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</si>
  <si>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</si>
  <si>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</si>
  <si>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</si>
  <si>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</si>
  <si>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</si>
  <si>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</si>
  <si>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</si>
  <si>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</si>
  <si>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</si>
  <si>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</si>
  <si>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</si>
  <si>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</si>
  <si>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</si>
  <si>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</si>
  <si>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</si>
  <si>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</si>
  <si>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</si>
  <si>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</si>
  <si>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</si>
  <si>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</si>
  <si>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</si>
  <si>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</si>
  <si>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</si>
  <si>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</si>
  <si>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</si>
  <si>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</si>
  <si>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</si>
  <si>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</si>
  <si>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</si>
  <si>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</si>
  <si>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</si>
  <si>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</si>
  <si>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</si>
  <si>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</si>
  <si>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</si>
  <si>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</si>
  <si>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</si>
  <si>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</si>
  <si>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</si>
  <si>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</si>
  <si>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</si>
  <si>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</si>
  <si>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</si>
  <si>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</si>
  <si>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</si>
  <si>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</si>
  <si>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</si>
  <si>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</si>
  <si>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</si>
  <si>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</si>
  <si>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</si>
  <si>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</si>
  <si>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</si>
  <si>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</si>
  <si>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</si>
  <si>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</si>
  <si>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</si>
  <si>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</si>
  <si>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</si>
  <si>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</si>
  <si>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</si>
  <si>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</si>
  <si>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</si>
  <si>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</si>
  <si>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</si>
  <si>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</si>
  <si>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</si>
  <si>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</si>
  <si>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</si>
  <si>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</si>
  <si>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</si>
  <si>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</si>
  <si>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</si>
  <si>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</si>
  <si>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</si>
  <si>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</si>
  <si>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</si>
  <si>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</si>
  <si>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</si>
  <si>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</si>
  <si>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</si>
  <si>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</si>
  <si>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</si>
  <si>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</si>
  <si>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</si>
  <si>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</si>
  <si>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</si>
  <si>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</si>
  <si>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</si>
  <si>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</si>
  <si>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</si>
  <si>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</si>
  <si>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</si>
  <si>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</si>
  <si>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</si>
  <si>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</si>
  <si>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</si>
  <si>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</si>
  <si>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</si>
  <si>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</si>
  <si>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</si>
  <si>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</si>
  <si>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</si>
  <si>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</si>
  <si>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</si>
  <si>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</si>
  <si>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</si>
  <si>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</si>
  <si>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</si>
  <si>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</si>
  <si>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</si>
  <si>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</si>
  <si>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</si>
  <si>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</si>
  <si>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</si>
  <si>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</si>
  <si>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</si>
  <si>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</si>
  <si>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</si>
  <si>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</si>
  <si>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</si>
  <si>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</si>
  <si>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</si>
  <si>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</si>
  <si>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</si>
  <si>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</si>
  <si>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</si>
  <si>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</si>
  <si>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</si>
  <si>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</si>
  <si>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</si>
  <si>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</si>
  <si>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</si>
  <si>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</si>
  <si>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</si>
  <si>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</si>
  <si>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</si>
  <si>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</si>
  <si>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</si>
  <si>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</si>
  <si>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</si>
  <si>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</si>
  <si>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</si>
  <si>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</si>
  <si>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</si>
  <si>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</si>
  <si>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</si>
  <si>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</si>
  <si>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</si>
  <si>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</si>
  <si>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</si>
  <si>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</si>
  <si>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</si>
  <si>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</si>
  <si>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</si>
  <si>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</si>
  <si>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</si>
  <si>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</si>
  <si>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</si>
  <si>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</si>
  <si>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</si>
  <si>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</si>
  <si>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</si>
  <si>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</si>
  <si>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</si>
  <si>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</si>
  <si>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</si>
  <si>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</si>
  <si>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</si>
  <si>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</si>
  <si>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</si>
  <si>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</si>
  <si>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</si>
  <si>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</si>
  <si>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</si>
  <si>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</si>
  <si>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</si>
  <si>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</si>
  <si>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</si>
  <si>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</si>
  <si>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</si>
  <si>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</si>
  <si>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</si>
  <si>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</si>
  <si>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</si>
  <si>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</si>
  <si>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</si>
  <si>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</si>
  <si>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</si>
  <si>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</si>
  <si>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</si>
  <si>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</si>
  <si>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</si>
  <si>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</si>
  <si>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</si>
  <si>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</si>
  <si>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</si>
  <si>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</si>
  <si>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</si>
  <si>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</si>
  <si>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</si>
  <si>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</si>
  <si>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</si>
  <si>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</si>
  <si>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</si>
  <si>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</si>
  <si>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</si>
  <si>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</si>
  <si>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</si>
  <si>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</si>
  <si>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</si>
  <si>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</si>
  <si>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</si>
  <si>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</si>
  <si>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</si>
  <si>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</si>
  <si>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</si>
  <si>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</si>
  <si>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</si>
  <si>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</si>
  <si>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</si>
  <si>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</si>
  <si>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</si>
  <si>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</si>
  <si>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</si>
  <si>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</si>
  <si>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</si>
  <si>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</si>
  <si>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</si>
  <si>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</si>
  <si>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</si>
  <si>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</si>
  <si>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</si>
  <si>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</si>
  <si>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</si>
  <si>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</si>
  <si>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</si>
  <si>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</si>
  <si>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</si>
  <si>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</si>
  <si>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</si>
  <si>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</si>
  <si>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</si>
  <si>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</si>
  <si>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</si>
  <si>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</si>
  <si>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</si>
  <si>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</si>
  <si>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</si>
  <si>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</si>
  <si>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</si>
  <si>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</si>
  <si>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</si>
  <si>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</si>
  <si>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</si>
  <si>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</si>
  <si>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</si>
  <si>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</si>
  <si>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</si>
  <si>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</si>
  <si>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</si>
  <si>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</si>
  <si>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</si>
  <si>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</si>
  <si>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</si>
  <si>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</si>
  <si>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</si>
  <si>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</si>
  <si>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</si>
  <si>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</si>
  <si>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</si>
  <si>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</si>
  <si>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</si>
  <si>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</si>
  <si>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</si>
  <si>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</si>
  <si>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</si>
  <si>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</si>
  <si>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</si>
  <si>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</si>
  <si>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</si>
  <si>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</si>
  <si>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</si>
  <si>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</si>
  <si>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</si>
  <si>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</si>
  <si>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</si>
  <si>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</si>
  <si>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</si>
  <si>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</si>
  <si>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</si>
  <si>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</si>
  <si>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</si>
  <si>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</si>
  <si>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</si>
  <si>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</si>
  <si>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</si>
  <si>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</si>
  <si>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</si>
  <si>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</si>
  <si>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</si>
  <si>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</si>
  <si>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</si>
  <si>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</si>
  <si>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</si>
  <si>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</si>
  <si>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</si>
  <si>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</si>
  <si>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</si>
  <si>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</si>
  <si>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</si>
  <si>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</si>
  <si>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</si>
  <si>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</si>
  <si>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</si>
  <si>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</si>
  <si>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</si>
  <si>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</si>
  <si>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</si>
  <si>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</si>
  <si>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</si>
  <si>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</si>
  <si>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</si>
  <si>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</si>
  <si>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</si>
  <si>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</si>
  <si>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</si>
  <si>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</si>
  <si>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</si>
  <si>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</si>
  <si>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</si>
  <si>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</si>
  <si>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</si>
  <si>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</si>
  <si>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</si>
  <si>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</si>
  <si>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</si>
  <si>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</si>
  <si>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</si>
  <si>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</si>
  <si>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</si>
  <si>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</si>
  <si>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</si>
  <si>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</si>
  <si>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</si>
  <si>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</si>
  <si>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</si>
  <si>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</si>
  <si>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</si>
  <si>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</si>
  <si>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</si>
  <si>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</si>
  <si>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</si>
  <si>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</si>
  <si>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</si>
  <si>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</si>
  <si>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</si>
  <si>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</si>
  <si>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</si>
  <si>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</si>
  <si>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</si>
  <si>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</si>
  <si>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</si>
  <si>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</si>
  <si>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</si>
  <si>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</si>
  <si>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</si>
  <si>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</si>
  <si>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</si>
  <si>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</si>
  <si>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</si>
  <si>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</si>
  <si>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</si>
  <si>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</si>
  <si>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</si>
  <si>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</si>
  <si>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</si>
  <si>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</si>
  <si>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</si>
  <si>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</si>
  <si>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</si>
  <si>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</si>
  <si>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</si>
  <si>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</si>
  <si>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</si>
  <si>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</si>
  <si>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</si>
  <si>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</si>
  <si>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</si>
  <si>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</si>
  <si>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</si>
  <si>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</si>
  <si>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</si>
  <si>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</si>
  <si>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</si>
  <si>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</si>
  <si>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</si>
  <si>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</si>
  <si>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</si>
  <si>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</si>
  <si>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</si>
  <si>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</si>
  <si>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</si>
  <si>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</si>
  <si>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</si>
  <si>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</si>
  <si>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</si>
  <si>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</si>
  <si>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</si>
  <si>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</si>
  <si>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</si>
  <si>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</si>
  <si>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</si>
  <si>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</si>
  <si>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</si>
  <si>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</si>
  <si>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</si>
  <si>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</si>
  <si>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</si>
  <si>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</si>
  <si>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</si>
  <si>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</si>
  <si>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</si>
  <si>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</si>
  <si>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</si>
  <si>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</si>
  <si>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</si>
  <si>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</si>
  <si>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</si>
  <si>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</si>
  <si>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</si>
  <si>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</si>
  <si>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</si>
  <si>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</si>
  <si>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</si>
  <si>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</si>
  <si>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</si>
  <si>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</si>
  <si>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</si>
  <si>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</si>
  <si>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</si>
  <si>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</si>
  <si>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</si>
  <si>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</si>
  <si>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</si>
  <si>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</si>
  <si>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</si>
  <si>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</si>
  <si>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</si>
  <si>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</si>
  <si>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</si>
  <si>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</si>
  <si>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</si>
  <si>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</si>
  <si>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</si>
  <si>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</si>
  <si>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</si>
  <si>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</si>
  <si>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</si>
  <si>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</si>
  <si>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</si>
  <si>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</si>
  <si>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</si>
  <si>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</si>
  <si>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</si>
  <si>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</si>
  <si>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</si>
  <si>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</si>
  <si>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</si>
  <si>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</si>
  <si>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</si>
  <si>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</si>
  <si>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</si>
  <si>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</si>
  <si>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</si>
  <si>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</si>
  <si>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</si>
  <si>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</si>
  <si>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</si>
  <si>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</si>
  <si>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</si>
  <si>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</si>
  <si>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</si>
  <si>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</si>
  <si>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</si>
  <si>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</si>
  <si>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</si>
  <si>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</si>
  <si>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</si>
  <si>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</si>
  <si>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</si>
  <si>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</si>
  <si>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</si>
  <si>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</si>
  <si>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</si>
  <si>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</si>
  <si>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</si>
  <si>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</si>
  <si>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</si>
  <si>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</si>
  <si>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</si>
  <si>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</si>
  <si>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</si>
  <si>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</si>
  <si>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</si>
  <si>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</si>
  <si>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</si>
  <si>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</si>
  <si>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</si>
  <si>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</si>
  <si>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</si>
  <si>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</si>
  <si>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</si>
  <si>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</si>
  <si>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</si>
  <si>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</si>
  <si>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</si>
  <si>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</si>
  <si>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</si>
  <si>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</si>
  <si>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</si>
  <si>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</si>
  <si>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</si>
  <si>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</si>
  <si>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</si>
  <si>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</si>
  <si>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</si>
  <si>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</si>
  <si>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</si>
  <si>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</si>
  <si>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</si>
  <si>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</si>
  <si>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</si>
  <si>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</si>
  <si>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</si>
  <si>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</si>
  <si>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</si>
  <si>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</si>
  <si>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</si>
  <si>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</si>
  <si>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</si>
  <si>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</si>
  <si>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</si>
  <si>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</si>
  <si>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</si>
  <si>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</si>
  <si>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</si>
  <si>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</si>
  <si>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</si>
  <si>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</si>
  <si>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</si>
  <si>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</si>
  <si>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</si>
  <si>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</si>
  <si>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</si>
  <si>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</si>
  <si>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</si>
  <si>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</si>
  <si>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</si>
  <si>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</si>
  <si>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</si>
  <si>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</si>
  <si>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</si>
  <si>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</si>
  <si>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</si>
  <si>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</si>
  <si>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</si>
  <si>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</si>
  <si>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</si>
  <si>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</si>
  <si>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</si>
  <si>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</si>
  <si>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</si>
  <si>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</si>
  <si>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</si>
  <si>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</si>
  <si>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</si>
  <si>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</si>
  <si>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</si>
  <si>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</si>
  <si>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</si>
  <si>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</si>
  <si>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</si>
  <si>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</si>
  <si>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</si>
  <si>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</si>
  <si>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</si>
  <si>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</si>
  <si>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</si>
  <si>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</si>
  <si>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</si>
  <si>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</si>
  <si>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</si>
  <si>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</si>
  <si>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</si>
  <si>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</si>
  <si>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</si>
  <si>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</si>
  <si>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</si>
  <si>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</si>
  <si>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</si>
  <si>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</si>
  <si>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</si>
  <si>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</si>
  <si>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</si>
  <si>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</si>
  <si>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</si>
  <si>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</si>
  <si>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</si>
  <si>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</si>
  <si>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</si>
  <si>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</si>
  <si>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</si>
  <si>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</si>
  <si>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</si>
  <si>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</si>
  <si>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</si>
  <si>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</si>
  <si>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</si>
  <si>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</si>
  <si>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</si>
  <si>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</si>
  <si>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</si>
  <si>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</si>
  <si>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</si>
  <si>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</si>
  <si>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</si>
  <si>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</si>
  <si>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</si>
  <si>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</si>
  <si>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</si>
  <si>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</si>
  <si>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</si>
  <si>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</si>
  <si>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</si>
  <si>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</si>
  <si>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</si>
  <si>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</si>
  <si>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</si>
  <si>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</si>
  <si>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</si>
  <si>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</si>
  <si>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</si>
  <si>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</si>
  <si>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</si>
  <si>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</si>
  <si>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</si>
  <si>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</si>
  <si>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</si>
  <si>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</si>
  <si>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</si>
  <si>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</si>
  <si>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</si>
  <si>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</si>
  <si>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</si>
  <si>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</si>
  <si>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</si>
  <si>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</si>
  <si>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</si>
  <si>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</si>
  <si>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</si>
  <si>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</si>
  <si>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</si>
  <si>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</si>
  <si>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</si>
  <si>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</si>
  <si>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</si>
  <si>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</si>
  <si>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</si>
  <si>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</si>
  <si>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</si>
  <si>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</si>
  <si>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</si>
  <si>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</si>
  <si>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</si>
  <si>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</si>
  <si>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</si>
  <si>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</si>
  <si>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</si>
  <si>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</si>
  <si>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</si>
  <si>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</si>
  <si>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</si>
  <si>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</si>
  <si>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</si>
  <si>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</si>
  <si>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</si>
  <si>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</si>
  <si>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</si>
  <si>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</si>
  <si>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</si>
  <si>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</si>
  <si>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</si>
  <si>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</si>
  <si>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</si>
  <si>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</si>
  <si>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</si>
  <si>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</si>
  <si>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</si>
  <si>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</si>
  <si>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</si>
  <si>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</si>
  <si>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</si>
  <si>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</si>
  <si>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</si>
  <si>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</si>
  <si>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</si>
  <si>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</si>
  <si>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</si>
  <si>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</si>
  <si>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</si>
  <si>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</si>
  <si>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</si>
  <si>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</si>
  <si>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</si>
  <si>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</si>
  <si>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</si>
  <si>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</si>
  <si>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</si>
  <si>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</si>
  <si>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</si>
  <si>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</si>
  <si>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</si>
  <si>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</si>
  <si>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</si>
  <si>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</si>
  <si>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</si>
  <si>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</si>
  <si>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</si>
  <si>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</si>
  <si>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</si>
  <si>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</si>
  <si>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</si>
  <si>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</si>
  <si>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</si>
  <si>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</si>
  <si>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</si>
  <si>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</si>
  <si>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</si>
  <si>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</si>
  <si>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</si>
  <si>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</si>
  <si>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</si>
  <si>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</si>
  <si>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</si>
  <si>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</si>
  <si>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</si>
  <si>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</si>
  <si>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</si>
  <si>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</si>
  <si>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</si>
  <si>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</si>
  <si>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</si>
  <si>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</si>
  <si>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</si>
  <si>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</si>
  <si>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</si>
  <si>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</si>
  <si>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</si>
  <si>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</si>
  <si>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</si>
  <si>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</si>
  <si>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</si>
  <si>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</si>
  <si>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</si>
  <si>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</si>
  <si>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</si>
  <si>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</si>
  <si>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</si>
  <si>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</si>
  <si>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</si>
  <si>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</si>
  <si>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</si>
  <si>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</si>
  <si>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</si>
  <si>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</si>
  <si>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</si>
  <si>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</si>
  <si>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</si>
  <si>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</si>
  <si>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</si>
  <si>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</si>
  <si>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</si>
  <si>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</si>
  <si>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</si>
  <si>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</si>
  <si>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</si>
  <si>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</si>
  <si>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</si>
  <si>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</si>
  <si>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</si>
  <si>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</si>
  <si>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</si>
  <si>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</si>
  <si>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</si>
  <si>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</si>
  <si>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</si>
  <si>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</si>
  <si>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</si>
  <si>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</si>
  <si>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</si>
  <si>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</si>
  <si>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</si>
  <si>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</si>
  <si>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</si>
  <si>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</si>
  <si>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</si>
  <si>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</si>
  <si>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</si>
  <si>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</si>
  <si>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</si>
  <si>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</si>
  <si>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</si>
  <si>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</si>
  <si>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</si>
  <si>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</si>
  <si>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</si>
  <si>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</si>
  <si>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</si>
  <si>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</si>
  <si>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</si>
  <si>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</si>
  <si>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</si>
  <si>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</si>
  <si>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</si>
  <si>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</si>
  <si>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</si>
  <si>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</si>
  <si>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</si>
  <si>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</si>
  <si>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</si>
  <si>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</si>
  <si>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</si>
  <si>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</si>
  <si>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</si>
  <si>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</si>
  <si>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</si>
  <si>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</si>
  <si>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</si>
  <si>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</si>
  <si>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</si>
  <si>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</si>
  <si>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</si>
  <si>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</si>
  <si>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</si>
  <si>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</si>
  <si>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</si>
  <si>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</si>
  <si>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</si>
  <si>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</si>
  <si>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</si>
  <si>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</si>
  <si>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</si>
  <si>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</si>
  <si>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</si>
  <si>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</si>
  <si>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</si>
  <si>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</si>
  <si>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</si>
  <si>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</si>
  <si>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</si>
  <si>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</si>
  <si>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</si>
  <si>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</si>
  <si>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</si>
  <si>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</si>
  <si>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</si>
  <si>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</si>
  <si>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</si>
  <si>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</si>
  <si>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</si>
  <si>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</si>
  <si>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</si>
  <si>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</si>
  <si>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</si>
  <si>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</si>
  <si>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</si>
  <si>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</si>
  <si>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</si>
  <si>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</si>
  <si>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</si>
  <si>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</si>
  <si>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</si>
  <si>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</si>
  <si>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</si>
  <si>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</si>
  <si>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</si>
  <si>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</si>
  <si>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</si>
  <si>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</si>
  <si>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</si>
  <si>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</si>
  <si>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</si>
  <si>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</si>
  <si>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</si>
  <si>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</si>
  <si>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</si>
  <si>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</si>
  <si>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</si>
  <si>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</si>
  <si>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</si>
  <si>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</si>
  <si>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</si>
  <si>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</si>
  <si>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</si>
  <si>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</si>
  <si>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</si>
  <si>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</si>
  <si>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</si>
  <si>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</si>
  <si>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</si>
  <si>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</si>
  <si>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</si>
  <si>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</si>
  <si>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</si>
  <si>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</si>
  <si>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</si>
  <si>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</si>
  <si>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</si>
  <si>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</si>
  <si>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</si>
  <si>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</si>
  <si>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</si>
  <si>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</si>
  <si>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</si>
  <si>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</si>
  <si>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</si>
  <si>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</si>
  <si>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</si>
  <si>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</si>
  <si>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</si>
  <si>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</si>
  <si>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</si>
  <si>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</si>
  <si>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</si>
  <si>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</si>
  <si>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</si>
  <si>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</si>
  <si>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</si>
  <si>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</si>
  <si>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</si>
  <si>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</si>
  <si>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</si>
  <si>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</si>
  <si>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</si>
  <si>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</si>
  <si>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</si>
  <si>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</si>
  <si>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</si>
  <si>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</si>
  <si>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</si>
  <si>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</si>
  <si>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</si>
  <si>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</si>
  <si>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</si>
  <si>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</si>
  <si>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</si>
  <si>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</si>
  <si>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</si>
  <si>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</si>
  <si>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</si>
  <si>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</si>
  <si>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</si>
  <si>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</si>
  <si>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</si>
  <si>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</si>
  <si>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</si>
  <si>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</si>
  <si>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</si>
  <si>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</si>
  <si>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</si>
  <si>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</si>
  <si>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</si>
  <si>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</si>
  <si>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</si>
  <si>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</si>
  <si>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</si>
  <si>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</si>
  <si>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</si>
  <si>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</si>
  <si>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</si>
  <si>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</si>
  <si>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</si>
  <si>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</si>
  <si>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</si>
  <si>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</si>
  <si>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</si>
  <si>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</si>
  <si>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</si>
  <si>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</si>
  <si>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</si>
  <si>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</si>
  <si>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</si>
  <si>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</si>
  <si>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</si>
  <si>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</si>
  <si>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</si>
  <si>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</si>
  <si>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</si>
  <si>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</si>
  <si>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</si>
  <si>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</si>
  <si>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</si>
  <si>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</si>
  <si>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</si>
  <si>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</si>
  <si>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</si>
  <si>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</si>
  <si>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</si>
  <si>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</si>
  <si>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</si>
  <si>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</si>
  <si>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</si>
  <si>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</si>
  <si>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</si>
  <si>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</si>
  <si>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</si>
  <si>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</si>
  <si>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</si>
  <si>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</si>
  <si>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</si>
  <si>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</si>
  <si>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</si>
  <si>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</si>
  <si>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</si>
  <si>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</si>
  <si>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</si>
  <si>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</si>
  <si>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</si>
  <si>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</si>
  <si>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</si>
  <si>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</si>
  <si>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</si>
  <si>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</si>
  <si>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</si>
  <si>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</si>
  <si>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</si>
  <si>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</si>
  <si>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</si>
  <si>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</si>
  <si>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</si>
  <si>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</si>
  <si>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</si>
  <si>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</si>
  <si>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</si>
  <si>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</si>
  <si>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</si>
  <si>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</si>
  <si>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</si>
  <si>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</si>
  <si>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</si>
  <si>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</si>
  <si>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</si>
  <si>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</si>
  <si>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</si>
  <si>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</si>
  <si>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</si>
  <si>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</si>
  <si>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</si>
  <si>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</si>
  <si>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</si>
  <si>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</si>
  <si>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</si>
  <si>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</si>
  <si>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</si>
  <si>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</si>
  <si>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</si>
  <si>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</si>
  <si>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</si>
  <si>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</si>
  <si>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</si>
  <si>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</si>
  <si>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</si>
  <si>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</si>
  <si>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</si>
  <si>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</si>
  <si>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</si>
  <si>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</si>
  <si>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</si>
  <si>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</si>
  <si>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</si>
  <si>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</si>
  <si>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</si>
  <si>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</si>
  <si>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</si>
  <si>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</si>
  <si>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</si>
  <si>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</si>
  <si>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</si>
  <si>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</si>
  <si>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</si>
  <si>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</si>
  <si>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</si>
  <si>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</si>
  <si>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</si>
  <si>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</si>
  <si>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</si>
  <si>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</si>
  <si>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</si>
  <si>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</si>
  <si>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</si>
  <si>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</si>
  <si>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</si>
  <si>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</si>
  <si>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</si>
  <si>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</si>
  <si>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</si>
  <si>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</si>
  <si>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</si>
  <si>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</si>
  <si>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</si>
  <si>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</si>
  <si>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</si>
  <si>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</si>
  <si>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</si>
  <si>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</si>
  <si>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</si>
  <si>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</si>
  <si>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</si>
  <si>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</si>
  <si>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</si>
  <si>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</si>
  <si>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</si>
  <si>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</si>
  <si>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</si>
  <si>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</si>
  <si>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</si>
  <si>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</si>
  <si>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</si>
  <si>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</si>
  <si>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</si>
  <si>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</si>
  <si>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</si>
  <si>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</si>
  <si>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</si>
  <si>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</si>
  <si>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</si>
  <si>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</si>
  <si>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</si>
  <si>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</si>
  <si>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</si>
  <si>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</si>
  <si>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</si>
  <si>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</si>
  <si>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</si>
  <si>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</si>
  <si>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</si>
  <si>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</si>
  <si>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</si>
  <si>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</si>
  <si>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</si>
  <si>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</si>
  <si>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</si>
  <si>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</si>
  <si>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</si>
  <si>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</si>
  <si>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</si>
  <si>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</si>
  <si>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</si>
  <si>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</si>
  <si>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</si>
  <si>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</si>
  <si>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</si>
  <si>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</si>
  <si>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</si>
  <si>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</si>
  <si>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</si>
  <si>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</si>
  <si>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</si>
  <si>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</si>
  <si>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</si>
  <si>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</si>
  <si>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</si>
  <si>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</si>
  <si>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</si>
  <si>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</si>
  <si>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</si>
  <si>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</si>
  <si>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</si>
  <si>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</si>
  <si>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</si>
  <si>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</si>
  <si>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</si>
  <si>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</si>
  <si>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</si>
  <si>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</si>
  <si>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</si>
  <si>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</si>
  <si>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</si>
  <si>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</si>
  <si>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</si>
  <si>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</si>
  <si>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</si>
  <si>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</si>
  <si>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</si>
  <si>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</si>
  <si>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</si>
  <si>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</si>
  <si>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</si>
  <si>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</si>
  <si>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</si>
  <si>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</si>
  <si>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</si>
  <si>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</si>
  <si>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</si>
  <si>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</si>
  <si>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</si>
  <si>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</si>
  <si>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</si>
  <si>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</si>
  <si>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</si>
  <si>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</si>
  <si>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</si>
  <si>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</si>
  <si>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</si>
  <si>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</si>
  <si>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</si>
  <si>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</si>
  <si>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</si>
  <si>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</si>
  <si>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</si>
  <si>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</si>
  <si>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</si>
  <si>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</si>
  <si>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</si>
  <si>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</si>
  <si>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</si>
  <si>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</si>
  <si>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</si>
  <si>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</si>
  <si>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</si>
  <si>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</si>
  <si>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</si>
  <si>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</si>
  <si>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</si>
  <si>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</si>
  <si>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</si>
  <si>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</si>
  <si>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</si>
  <si>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</si>
  <si>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</si>
  <si>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</si>
  <si>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</si>
  <si>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</si>
  <si>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</si>
  <si>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</si>
  <si>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</si>
  <si>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</si>
  <si>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</si>
  <si>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</si>
  <si>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</si>
  <si>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</si>
  <si>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</si>
  <si>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</si>
  <si>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</si>
  <si>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</si>
  <si>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</si>
  <si>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</si>
  <si>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</si>
  <si>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</si>
  <si>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</si>
  <si>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</si>
  <si>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</si>
  <si>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</si>
  <si>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</si>
  <si>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</si>
  <si>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</si>
  <si>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</si>
  <si>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</si>
  <si>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</si>
  <si>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</si>
  <si>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</si>
  <si>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</si>
  <si>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</si>
  <si>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</si>
  <si>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</si>
  <si>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</si>
  <si>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</si>
  <si>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</si>
  <si>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</si>
  <si>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</si>
  <si>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</si>
  <si>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</si>
  <si>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</si>
  <si>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</si>
  <si>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</si>
  <si>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</si>
  <si>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</si>
  <si>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</si>
  <si>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</si>
  <si>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</si>
  <si>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</si>
  <si>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</si>
  <si>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</si>
  <si>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</si>
  <si>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</si>
  <si>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</si>
  <si>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</si>
  <si>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</si>
  <si>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</si>
  <si>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</si>
  <si>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</si>
  <si>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</si>
  <si>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</si>
  <si>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</si>
  <si>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</si>
  <si>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</si>
  <si>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</si>
  <si>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</si>
  <si>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</si>
  <si>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</si>
  <si>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</si>
  <si>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</si>
  <si>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</si>
  <si>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</si>
  <si>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</si>
  <si>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</si>
  <si>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</si>
  <si>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</si>
  <si>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</si>
  <si>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</si>
  <si>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</si>
  <si>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</si>
  <si>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</si>
  <si>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</si>
  <si>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</si>
  <si>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</si>
  <si>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</si>
  <si>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</si>
  <si>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</si>
  <si>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</si>
  <si>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</si>
  <si>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</si>
  <si>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</si>
  <si>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</si>
  <si>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</si>
  <si>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</si>
  <si>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</si>
  <si>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</si>
  <si>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</si>
  <si>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</si>
  <si>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</si>
  <si>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</si>
  <si>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</si>
  <si>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</si>
  <si>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</si>
  <si>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</si>
  <si>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</si>
  <si>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</si>
  <si>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</si>
  <si>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</si>
  <si>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</si>
  <si>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</si>
  <si>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</si>
  <si>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</si>
  <si>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</si>
  <si>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</si>
  <si>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</si>
  <si>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</si>
  <si>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</si>
  <si>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</si>
  <si>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</si>
  <si>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</si>
  <si>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</si>
  <si>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</si>
  <si>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</si>
  <si>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</si>
  <si>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</si>
  <si>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</si>
  <si>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</si>
  <si>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</si>
  <si>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</si>
  <si>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</si>
  <si>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</si>
  <si>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</si>
  <si>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</si>
  <si>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</si>
  <si>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</si>
  <si>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</si>
  <si>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</si>
  <si>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</si>
  <si>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</si>
  <si>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</si>
  <si>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</si>
  <si>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</si>
  <si>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</si>
  <si>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</si>
  <si>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</si>
  <si>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</si>
  <si>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</si>
  <si>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</si>
  <si>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</si>
  <si>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</si>
  <si>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</si>
  <si>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</si>
  <si>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</si>
  <si>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</si>
  <si>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</si>
  <si>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</si>
  <si>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</si>
  <si>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</si>
  <si>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</si>
  <si>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</si>
  <si>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</si>
  <si>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</si>
  <si>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</si>
  <si>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</si>
  <si>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</si>
  <si>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</si>
  <si>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</si>
  <si>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</si>
  <si>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</si>
  <si>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</si>
  <si>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</si>
  <si>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</si>
  <si>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</si>
  <si>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</si>
  <si>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</si>
  <si>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</si>
  <si>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</si>
  <si>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</si>
  <si>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</si>
  <si>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</si>
  <si>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</si>
  <si>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</si>
  <si>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</si>
  <si>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</si>
  <si>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</si>
  <si>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</si>
  <si>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</si>
  <si>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</si>
  <si>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</si>
  <si>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</si>
  <si>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</si>
  <si>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</si>
  <si>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</si>
  <si>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</si>
  <si>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</si>
  <si>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</si>
  <si>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</si>
  <si>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</si>
  <si>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</si>
  <si>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</si>
  <si>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</si>
  <si>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</si>
  <si>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</si>
  <si>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</si>
  <si>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</si>
  <si>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</si>
  <si>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</si>
  <si>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</si>
  <si>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</si>
  <si>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</si>
  <si>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</si>
  <si>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</si>
  <si>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</si>
  <si>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</si>
  <si>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</si>
  <si>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</si>
  <si>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</si>
  <si>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</si>
  <si>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</si>
  <si>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</si>
  <si>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</si>
  <si>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</si>
  <si>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</si>
  <si>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</si>
  <si>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</si>
  <si>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</si>
  <si>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</si>
  <si>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</si>
  <si>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</si>
  <si>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</si>
  <si>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</si>
  <si>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</si>
  <si>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</si>
  <si>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</si>
  <si>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</si>
  <si>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</si>
  <si>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</si>
  <si>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</si>
  <si>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</si>
  <si>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</si>
  <si>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</si>
  <si>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</si>
  <si>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</si>
  <si>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</si>
  <si>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</si>
  <si>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</si>
  <si>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</si>
  <si>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</si>
  <si>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</si>
  <si>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</si>
  <si>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</si>
  <si>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</si>
  <si>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</si>
  <si>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</si>
  <si>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</si>
  <si>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</si>
  <si>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</si>
  <si>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</si>
  <si>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</si>
  <si>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</si>
  <si>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</si>
  <si>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</si>
  <si>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</si>
  <si>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</si>
  <si>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</si>
  <si>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</si>
  <si>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</si>
  <si>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</si>
  <si>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</si>
  <si>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</si>
  <si>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</si>
  <si>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</si>
  <si>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</si>
  <si>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</si>
  <si>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</si>
  <si>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</si>
  <si>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</si>
  <si>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</si>
  <si>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</si>
  <si>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</si>
  <si>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</si>
  <si>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</si>
  <si>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</si>
  <si>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</si>
  <si>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</si>
  <si>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</si>
  <si>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</si>
  <si>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</si>
  <si>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</si>
  <si>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</si>
  <si>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</si>
  <si>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</si>
  <si>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</si>
  <si>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</si>
  <si>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</si>
  <si>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</si>
  <si>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</si>
  <si>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</si>
  <si>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</si>
  <si>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</si>
  <si>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</si>
  <si>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</si>
  <si>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</si>
  <si>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</si>
  <si>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</si>
  <si>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</si>
  <si>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</si>
  <si>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</si>
  <si>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</si>
  <si>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</si>
  <si>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</si>
  <si>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</si>
  <si>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</si>
  <si>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</si>
  <si>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</si>
  <si>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</si>
  <si>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</si>
  <si>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</si>
  <si>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</si>
  <si>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</si>
  <si>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</si>
  <si>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</si>
  <si>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</si>
  <si>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</si>
  <si>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</si>
  <si>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</si>
  <si>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</si>
  <si>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</si>
  <si>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</si>
  <si>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</si>
  <si>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</si>
  <si>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</si>
  <si>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</si>
  <si>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</si>
  <si>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</si>
  <si>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</si>
  <si>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</si>
  <si>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</si>
  <si>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</si>
  <si>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</si>
  <si>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</si>
  <si>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</si>
  <si>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</si>
  <si>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</si>
  <si>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</si>
  <si>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</si>
  <si>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</si>
  <si>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</si>
  <si>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</si>
  <si>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</si>
  <si>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</si>
  <si>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</si>
  <si>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</si>
  <si>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</si>
  <si>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</si>
  <si>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</si>
  <si>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</si>
  <si>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</si>
  <si>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</si>
  <si>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</si>
  <si>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</si>
  <si>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</si>
  <si>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</si>
  <si>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</si>
  <si>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</si>
  <si>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</si>
  <si>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</si>
  <si>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</si>
  <si>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</si>
  <si>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</si>
  <si>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</si>
  <si>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</si>
  <si>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</si>
  <si>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</si>
  <si>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</si>
  <si>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</si>
  <si>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</si>
  <si>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</si>
  <si>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</si>
  <si>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</si>
  <si>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</si>
  <si>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</si>
  <si>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</si>
  <si>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</si>
  <si>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</si>
  <si>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</si>
  <si>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</si>
  <si>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</si>
  <si>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</si>
  <si>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</si>
  <si>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</si>
  <si>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</si>
  <si>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</si>
  <si>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</si>
  <si>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</si>
  <si>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</si>
  <si>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</si>
  <si>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</si>
  <si>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</si>
  <si>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</si>
  <si>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</si>
  <si>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</si>
  <si>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</si>
  <si>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</si>
  <si>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</si>
  <si>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</si>
  <si>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</si>
  <si>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</si>
  <si>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</si>
  <si>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</si>
  <si>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</si>
  <si>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</si>
  <si>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</si>
  <si>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</si>
  <si>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</si>
  <si>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</si>
  <si>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</si>
  <si>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</si>
  <si>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</si>
  <si>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</si>
  <si>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</si>
  <si>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</si>
  <si>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</si>
  <si>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</si>
  <si>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</si>
  <si>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</si>
  <si>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</si>
  <si>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</si>
  <si>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</si>
  <si>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</si>
  <si>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</si>
  <si>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</si>
  <si>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</si>
  <si>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</si>
  <si>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</si>
  <si>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</si>
  <si>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</si>
  <si>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</si>
  <si>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</si>
  <si>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</si>
  <si>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</si>
  <si>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</si>
  <si>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</si>
  <si>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</si>
  <si>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</si>
  <si>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</si>
  <si>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</si>
  <si>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</si>
  <si>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</si>
  <si>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</si>
  <si>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</si>
  <si>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</si>
  <si>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</si>
  <si>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</si>
  <si>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</si>
  <si>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</si>
  <si>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</si>
  <si>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</si>
  <si>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</si>
  <si>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</si>
  <si>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</si>
  <si>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</si>
  <si>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</si>
  <si>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</si>
  <si>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</si>
  <si>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</si>
  <si>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</si>
  <si>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</si>
  <si>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</si>
  <si>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</si>
  <si>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</si>
  <si>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</si>
  <si>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</si>
  <si>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</si>
  <si>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</si>
  <si>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</si>
  <si>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</si>
  <si>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</si>
  <si>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</si>
  <si>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</si>
  <si>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</si>
  <si>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</si>
  <si>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</si>
  <si>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</si>
  <si>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</si>
  <si>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</si>
  <si>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</si>
  <si>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</si>
  <si>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</si>
  <si>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</si>
  <si>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</si>
  <si>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</si>
  <si>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</si>
  <si>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</si>
  <si>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</si>
  <si>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</si>
  <si>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</si>
  <si>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</si>
  <si>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</si>
  <si>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</si>
  <si>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</si>
  <si>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</si>
  <si>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</si>
  <si>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</si>
  <si>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</si>
  <si>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</si>
  <si>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</si>
  <si>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</si>
  <si>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</si>
  <si>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</si>
  <si>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</si>
  <si>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</si>
  <si>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</si>
  <si>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</si>
  <si>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</si>
  <si>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</si>
  <si>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</si>
  <si>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</si>
  <si>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</si>
  <si>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</si>
  <si>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</si>
  <si>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</si>
  <si>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</si>
  <si>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</si>
  <si>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</si>
  <si>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</si>
  <si>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</si>
  <si>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</si>
  <si>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</si>
  <si>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</si>
  <si>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</si>
  <si>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</si>
  <si>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</si>
  <si>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</si>
  <si>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</si>
  <si>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</si>
  <si>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</si>
  <si>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</si>
  <si>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</si>
  <si>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</si>
  <si>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</si>
  <si>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</si>
  <si>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</si>
  <si>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</si>
  <si>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</si>
  <si>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</si>
  <si>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</si>
  <si>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</si>
  <si>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</si>
  <si>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</si>
  <si>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</si>
  <si>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</si>
  <si>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</si>
  <si>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</si>
  <si>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</si>
  <si>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</si>
  <si>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</si>
  <si>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</si>
  <si>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</si>
  <si>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</si>
  <si>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</si>
  <si>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</si>
  <si>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</si>
  <si>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</si>
  <si>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</si>
  <si>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</si>
  <si>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</si>
  <si>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</si>
  <si>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</si>
  <si>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</si>
  <si>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</si>
  <si>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</si>
  <si>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</si>
  <si>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</si>
  <si>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</si>
  <si>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</si>
  <si>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</si>
  <si>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</si>
  <si>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</si>
  <si>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</si>
  <si>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</si>
  <si>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</si>
  <si>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</si>
  <si>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</si>
  <si>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</si>
  <si>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</si>
  <si>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</si>
  <si>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</si>
  <si>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</si>
  <si>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</si>
  <si>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</si>
  <si>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</si>
  <si>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</si>
  <si>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</si>
  <si>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</si>
  <si>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</si>
  <si>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</si>
  <si>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</si>
  <si>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</si>
  <si>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</si>
  <si>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</si>
  <si>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</si>
  <si>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</si>
  <si>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</si>
  <si>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</si>
  <si>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</si>
  <si>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</si>
  <si>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</si>
  <si>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</si>
  <si>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</si>
  <si>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</si>
  <si>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</si>
  <si>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</si>
  <si>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</si>
  <si>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</si>
  <si>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</si>
  <si>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</si>
  <si>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</si>
  <si>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</si>
  <si>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</si>
  <si>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</si>
  <si>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</si>
  <si>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</si>
  <si>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</si>
  <si>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</si>
  <si>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</si>
  <si>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</si>
  <si>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</si>
  <si>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</si>
  <si>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</si>
  <si>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</si>
  <si>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</si>
  <si>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</si>
  <si>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</si>
  <si>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</si>
  <si>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</si>
  <si>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</si>
  <si>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</si>
  <si>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</si>
  <si>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</si>
  <si>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</si>
  <si>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</si>
  <si>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</si>
  <si>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</si>
  <si>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</si>
  <si>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</si>
  <si>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</si>
  <si>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</si>
  <si>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</si>
  <si>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</si>
  <si>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</si>
  <si>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</si>
  <si>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</si>
  <si>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</si>
  <si>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</si>
  <si>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</si>
  <si>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</si>
  <si>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</si>
  <si>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</si>
  <si>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</si>
  <si>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</si>
  <si>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</si>
  <si>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</si>
  <si>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</si>
  <si>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</si>
  <si>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</si>
  <si>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</si>
  <si>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</si>
  <si>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</si>
  <si>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</si>
  <si>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</si>
  <si>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</si>
  <si>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</si>
  <si>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</si>
  <si>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</si>
  <si>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</si>
  <si>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</si>
  <si>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</si>
  <si>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</si>
  <si>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</si>
  <si>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</si>
  <si>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</si>
  <si>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</si>
  <si>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</si>
  <si>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</si>
  <si>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</si>
  <si>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</si>
  <si>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</si>
  <si>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</si>
  <si>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</si>
  <si>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</si>
  <si>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</si>
  <si>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</si>
  <si>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</si>
  <si>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</si>
  <si>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</si>
  <si>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</si>
  <si>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</si>
  <si>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</si>
  <si>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</si>
  <si>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</si>
  <si>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</si>
  <si>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</si>
  <si>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</si>
  <si>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</si>
  <si>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</si>
  <si>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</si>
  <si>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</si>
  <si>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</si>
  <si>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</si>
  <si>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</si>
  <si>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</si>
  <si>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</si>
  <si>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</si>
  <si>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</si>
  <si>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</si>
  <si>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</si>
  <si>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</si>
  <si>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</si>
  <si>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</si>
  <si>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</si>
  <si>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</si>
  <si>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</si>
  <si>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</si>
  <si>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</si>
  <si>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</si>
  <si>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</si>
  <si>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</si>
  <si>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</si>
  <si>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</si>
  <si>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</si>
  <si>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</si>
  <si>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</si>
  <si>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</si>
  <si>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</si>
  <si>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</si>
  <si>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</si>
  <si>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</si>
  <si>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</si>
  <si>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</si>
  <si>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</si>
  <si>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</si>
  <si>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</si>
  <si>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</si>
  <si>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</si>
  <si>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</si>
  <si>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</si>
  <si>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</si>
  <si>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</si>
  <si>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</si>
  <si>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</si>
  <si>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</si>
  <si>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</si>
  <si>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</si>
  <si>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</si>
  <si>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</si>
  <si>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</si>
  <si>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</si>
  <si>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</si>
  <si>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</si>
  <si>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</si>
  <si>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</si>
  <si>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</si>
  <si>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</si>
  <si>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</si>
  <si>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</si>
  <si>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</si>
  <si>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</si>
  <si>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</si>
  <si>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</si>
  <si>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</si>
  <si>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</si>
  <si>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</si>
  <si>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</si>
  <si>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</si>
  <si>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</si>
  <si>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</si>
  <si>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</si>
  <si>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</si>
  <si>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</si>
  <si>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</si>
  <si>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</si>
  <si>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</si>
  <si>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</si>
  <si>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</si>
  <si>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</si>
  <si>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</si>
  <si>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</si>
  <si>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</si>
  <si>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</si>
  <si>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</si>
  <si>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</si>
  <si>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</si>
  <si>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</si>
  <si>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</si>
  <si>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</si>
  <si>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</si>
  <si>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</si>
  <si>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</si>
  <si>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</si>
  <si>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</si>
  <si>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</si>
  <si>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</si>
  <si>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</si>
  <si>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</si>
  <si>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</si>
  <si>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</si>
  <si>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</si>
  <si>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</si>
  <si>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</si>
  <si>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</si>
  <si>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</si>
  <si>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</si>
  <si>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</si>
  <si>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</si>
  <si>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</si>
  <si>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</si>
  <si>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</si>
  <si>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</si>
  <si>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</si>
  <si>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</si>
  <si>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</si>
  <si>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</si>
  <si>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</si>
  <si>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</si>
  <si>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</si>
  <si>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</si>
  <si>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</si>
  <si>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</si>
  <si>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</si>
  <si>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</si>
  <si>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</si>
  <si>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</si>
  <si>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</si>
  <si>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</si>
  <si>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</si>
  <si>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</si>
  <si>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</si>
  <si>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</si>
  <si>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</si>
  <si>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</si>
  <si>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</si>
  <si>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</si>
  <si>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</si>
  <si>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</si>
  <si>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</si>
  <si>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</si>
  <si>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</si>
  <si>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</si>
  <si>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</si>
  <si>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</si>
  <si>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</si>
  <si>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</si>
  <si>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</si>
  <si>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</si>
  <si>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</si>
  <si>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</si>
  <si>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</si>
  <si>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</si>
  <si>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</si>
  <si>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</si>
  <si>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</si>
  <si>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</si>
  <si>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</si>
  <si>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</si>
  <si>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</si>
  <si>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</si>
  <si>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</si>
  <si>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</si>
  <si>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</si>
  <si>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</si>
  <si>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</si>
  <si>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</si>
  <si>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</si>
  <si>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</si>
  <si>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</si>
  <si>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</si>
  <si>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</si>
  <si>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</si>
  <si>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</si>
  <si>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</si>
  <si>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</si>
  <si>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</si>
  <si>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</si>
  <si>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</si>
  <si>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</si>
  <si>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</si>
  <si>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</si>
  <si>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</si>
  <si>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</si>
  <si>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</si>
  <si>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</si>
  <si>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</si>
  <si>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</si>
  <si>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</si>
  <si>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</si>
  <si>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</si>
  <si>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</si>
  <si>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</si>
  <si>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</si>
  <si>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</si>
  <si>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</si>
  <si>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</si>
  <si>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</si>
  <si>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</si>
  <si>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</si>
  <si>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</si>
  <si>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</si>
  <si>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</si>
  <si>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</si>
  <si>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</si>
  <si>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</si>
  <si>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</si>
  <si>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</si>
  <si>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</si>
  <si>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</si>
  <si>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</si>
  <si>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</si>
  <si>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</si>
  <si>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</si>
  <si>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</si>
  <si>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</si>
  <si>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</si>
  <si>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</si>
  <si>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</si>
  <si>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</si>
  <si>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</si>
  <si>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</si>
  <si>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</si>
  <si>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</si>
  <si>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</si>
  <si>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</si>
  <si>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</si>
  <si>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</si>
  <si>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</si>
  <si>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</si>
  <si>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</si>
  <si>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</si>
  <si>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</si>
  <si>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</si>
  <si>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</si>
  <si>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</si>
  <si>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</si>
  <si>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</si>
  <si>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</si>
  <si>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</si>
  <si>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</si>
  <si>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</si>
  <si>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</si>
  <si>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</si>
  <si>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</si>
  <si>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</si>
  <si>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</si>
  <si>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</si>
  <si>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</si>
  <si>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</si>
  <si>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</si>
  <si>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</si>
  <si>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</si>
  <si>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</si>
  <si>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</si>
  <si>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</si>
  <si>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</si>
  <si>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</si>
  <si>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</si>
  <si>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</si>
  <si>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</si>
  <si>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</si>
  <si>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</si>
  <si>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</si>
  <si>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</si>
  <si>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</si>
  <si>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</si>
  <si>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</si>
  <si>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</si>
  <si>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</si>
  <si>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</si>
  <si>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</si>
  <si>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</si>
  <si>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</si>
  <si>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</si>
  <si>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</si>
  <si>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</si>
  <si>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</si>
  <si>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</si>
  <si>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</si>
  <si>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</si>
  <si>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</si>
  <si>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</si>
  <si>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</si>
  <si>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</si>
  <si>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</si>
  <si>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</si>
  <si>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</si>
  <si>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</si>
  <si>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</si>
  <si>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</si>
  <si>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</si>
  <si>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</si>
  <si>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</si>
  <si>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</si>
  <si>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</si>
  <si>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</si>
  <si>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</si>
  <si>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</si>
  <si>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</si>
  <si>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</si>
  <si>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</si>
  <si>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</si>
  <si>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</si>
  <si>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</si>
  <si>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</si>
  <si>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</si>
  <si>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</si>
  <si>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</si>
  <si>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</si>
  <si>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</si>
  <si>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</si>
  <si>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</si>
  <si>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</si>
  <si>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</si>
  <si>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</si>
  <si>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</si>
  <si>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</si>
  <si>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</si>
  <si>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</si>
  <si>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</si>
  <si>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</si>
  <si>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</si>
  <si>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</si>
  <si>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</si>
  <si>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</si>
  <si>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</si>
  <si>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</si>
  <si>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</si>
  <si>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</si>
  <si>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</si>
  <si>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</si>
  <si>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</si>
  <si>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</si>
  <si>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</si>
  <si>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</si>
  <si>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</si>
  <si>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</si>
  <si>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</si>
  <si>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</si>
  <si>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</si>
  <si>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</si>
  <si>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</si>
  <si>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</si>
  <si>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</si>
  <si>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</si>
  <si>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</si>
  <si>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</si>
  <si>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</si>
  <si>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</si>
  <si>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</si>
  <si>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</si>
  <si>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</si>
  <si>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</si>
  <si>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</si>
  <si>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</si>
  <si>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</si>
  <si>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</si>
  <si>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</si>
  <si>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</si>
  <si>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</si>
  <si>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</si>
  <si>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</si>
  <si>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</si>
  <si>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</si>
  <si>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</si>
  <si>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</si>
  <si>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</si>
  <si>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</si>
  <si>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</si>
  <si>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</si>
  <si>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</si>
  <si>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</si>
  <si>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</si>
  <si>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</si>
  <si>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</si>
  <si>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</si>
  <si>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</si>
  <si>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</si>
  <si>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</si>
  <si>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</si>
  <si>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</si>
  <si>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</si>
  <si>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</si>
  <si>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</si>
  <si>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</si>
  <si>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</si>
  <si>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</si>
  <si>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</si>
  <si>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</si>
  <si>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</si>
  <si>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</si>
  <si>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</si>
  <si>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</si>
  <si>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</si>
  <si>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</si>
  <si>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</si>
  <si>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</si>
  <si>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</si>
  <si>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</si>
  <si>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</si>
  <si>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</si>
  <si>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</si>
  <si>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</si>
  <si>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</si>
  <si>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</si>
  <si>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</si>
  <si>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</si>
  <si>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</si>
  <si>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</si>
  <si>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</si>
  <si>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</si>
  <si>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</si>
  <si>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</si>
  <si>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</si>
  <si>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</si>
  <si>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</si>
  <si>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</si>
  <si>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</si>
  <si>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</si>
  <si>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</si>
  <si>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</si>
  <si>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</si>
  <si>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</si>
  <si>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</si>
  <si>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</si>
  <si>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</si>
  <si>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</si>
  <si>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</si>
  <si>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</si>
  <si>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</si>
  <si>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</si>
  <si>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</si>
  <si>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</si>
  <si>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</si>
  <si>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</si>
  <si>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</si>
  <si>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</si>
  <si>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</si>
  <si>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</si>
  <si>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</si>
  <si>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</si>
  <si>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</si>
  <si>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</si>
  <si>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</si>
  <si>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</si>
  <si>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</si>
  <si>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</si>
  <si>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</si>
  <si>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</si>
  <si>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</si>
  <si>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</si>
  <si>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</si>
  <si>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</si>
  <si>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</si>
  <si>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</si>
  <si>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</si>
  <si>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</si>
  <si>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</si>
  <si>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</si>
  <si>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</si>
  <si>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</si>
  <si>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</si>
  <si>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</si>
  <si>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</si>
  <si>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</si>
  <si>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</si>
  <si>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</si>
  <si>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</si>
  <si>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</si>
  <si>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</si>
  <si>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</si>
  <si>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</si>
  <si>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</si>
  <si>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</si>
  <si>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</si>
  <si>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</si>
  <si>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</si>
  <si>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</si>
  <si>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</si>
  <si>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</si>
  <si>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</si>
  <si>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</si>
  <si>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</si>
  <si>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</si>
  <si>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</si>
  <si>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</si>
  <si>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</si>
  <si>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</si>
  <si>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</si>
  <si>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</si>
  <si>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</si>
  <si>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</si>
  <si>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</si>
  <si>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</si>
  <si>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</si>
  <si>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</si>
  <si>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</si>
  <si>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</si>
  <si>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</si>
  <si>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</si>
  <si>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</si>
  <si>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</si>
  <si>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</si>
  <si>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</si>
  <si>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</si>
  <si>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</si>
  <si>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</si>
  <si>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</si>
  <si>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</si>
  <si>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</si>
  <si>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</si>
  <si>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</si>
  <si>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</si>
  <si>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</si>
  <si>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</si>
  <si>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</si>
  <si>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</si>
  <si>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</si>
  <si>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</si>
  <si>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</si>
  <si>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</si>
  <si>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</si>
  <si>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</si>
  <si>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</si>
  <si>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</si>
  <si>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</si>
  <si>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</si>
  <si>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</si>
  <si>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</si>
  <si>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</si>
  <si>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</si>
  <si>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</si>
  <si>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</si>
  <si>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</si>
  <si>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</si>
  <si>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</si>
  <si>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</si>
  <si>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</si>
  <si>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</si>
  <si>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</si>
  <si>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</si>
  <si>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</si>
  <si>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</si>
  <si>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</si>
  <si>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</si>
  <si>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</si>
  <si>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</si>
  <si>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</si>
  <si>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</si>
  <si>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</si>
  <si>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</si>
  <si>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</si>
  <si>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</si>
  <si>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</si>
  <si>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</si>
  <si>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</si>
  <si>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</si>
  <si>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</si>
  <si>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</si>
  <si>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</si>
  <si>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</si>
  <si>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</si>
  <si>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</si>
  <si>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</si>
  <si>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</si>
  <si>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</si>
  <si>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</si>
  <si>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</si>
  <si>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</si>
  <si>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</si>
  <si>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</si>
  <si>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</si>
  <si>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</si>
  <si>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</si>
  <si>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</si>
  <si>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</si>
  <si>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</si>
  <si>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</si>
  <si>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</si>
  <si>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</si>
  <si>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</si>
  <si>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</si>
  <si>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</si>
  <si>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</si>
  <si>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</si>
  <si>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</si>
  <si>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</si>
  <si>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</si>
  <si>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</si>
  <si>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</si>
  <si>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</si>
  <si>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</si>
  <si>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</si>
  <si>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</si>
  <si>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</si>
  <si>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</si>
  <si>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</si>
  <si>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</si>
  <si>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</si>
  <si>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</si>
  <si>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</si>
  <si>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</si>
  <si>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</si>
  <si>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</si>
  <si>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</si>
  <si>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</si>
  <si>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</si>
  <si>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</si>
  <si>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</si>
  <si>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</si>
  <si>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</si>
  <si>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</si>
  <si>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</si>
  <si>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</si>
  <si>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</si>
  <si>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</si>
  <si>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</si>
  <si>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</si>
  <si>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</si>
  <si>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</si>
  <si>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</si>
  <si>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</si>
  <si>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</si>
  <si>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</si>
  <si>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</si>
  <si>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</si>
  <si>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</si>
  <si>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</si>
  <si>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</si>
  <si>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</si>
  <si>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</si>
  <si>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</si>
  <si>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</si>
  <si>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</si>
  <si>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</si>
  <si>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</si>
  <si>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</si>
  <si>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</si>
  <si>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</si>
  <si>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</si>
  <si>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</si>
  <si>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</si>
  <si>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</si>
  <si>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</si>
  <si>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</si>
  <si>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</si>
  <si>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</si>
  <si>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</si>
  <si>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</si>
  <si>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</si>
  <si>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</si>
  <si>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</si>
  <si>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</si>
  <si>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</si>
  <si>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</si>
  <si>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</si>
  <si>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</si>
  <si>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</si>
  <si>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</si>
  <si>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</si>
  <si>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</si>
  <si>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</si>
  <si>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</si>
  <si>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</si>
  <si>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</si>
  <si>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</si>
  <si>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</si>
  <si>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</si>
  <si>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</si>
  <si>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</si>
  <si>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</si>
  <si>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</si>
  <si>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</si>
  <si>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</si>
  <si>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</si>
  <si>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</si>
  <si>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</si>
  <si>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</si>
  <si>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</si>
  <si>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</si>
  <si>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</si>
  <si>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</si>
  <si>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</si>
  <si>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</si>
  <si>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</si>
  <si>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</si>
  <si>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</si>
  <si>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</si>
  <si>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</si>
  <si>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</si>
  <si>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</si>
  <si>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</si>
  <si>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</si>
  <si>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</si>
  <si>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</si>
  <si>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</si>
  <si>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</si>
  <si>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</si>
  <si>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</si>
  <si>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</si>
  <si>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</si>
  <si>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</si>
  <si>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</si>
  <si>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</si>
  <si>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</si>
  <si>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</si>
  <si>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</si>
  <si>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</si>
  <si>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</si>
  <si>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</si>
  <si>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</si>
  <si>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</si>
  <si>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</si>
  <si>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</si>
  <si>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</si>
  <si>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ALIMENTADOR DE CORREIA - 14-AC-0001 VALVULA  AGULHA - DETALHES (VALVULA AGULHA) 73763-B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</si>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</sst>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7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sz val="12"/>
      <name val="Calibri"/>
      <scheme val="minor"/>
    </font>
    <font>
      <b/>
      <sz val="8"/>
      <color theme="1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0" fontId="1" fillId="0" borderId="12" xfId="0" applyFont="1" applyFill="1" applyBorder="1" applyAlignment="1" applyProtection="1">
      <alignment horizontal="center" vertical="center"/>
      <protection locked="0"/>
    </xf>
    <xf numFmtId="0" fontId="95" fillId="0" borderId="7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96" fillId="0" borderId="0" xfId="0" applyFont="1"/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2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26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97.505799999999994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8.8692999999999955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35.669999999999995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246" totalsRowShown="0" headerRowDxfId="225" tableBorderDxfId="224">
  <autoFilter ref="A1:AW1246" xr:uid="{00000000-000C-0000-FFFF-FFFF00000000}">
    <filterColumn colId="0">
      <filters>
        <filter val="F-073362-1"/>
      </filters>
    </filterColumn>
    <filterColumn colId="10">
      <filters>
        <filter val="ESTRUTURA"/>
      </filters>
    </filterColumn>
    <filterColumn colId="11">
      <filters>
        <filter val="P-207"/>
      </filters>
    </filterColumn>
  </autoFilter>
  <tableColumns count="49">
    <tableColumn id="1" xr3:uid="{00000000-0010-0000-0000-000001000000}" name="DESENHO_x000a_MDE" dataDxfId="223"/>
    <tableColumn id="43" xr3:uid="{56981E1B-CD3E-434D-AB02-C5F83A6F3E43}" name="DESENHO_x000a_CLIENTE" dataDxfId="222"/>
    <tableColumn id="2" xr3:uid="{00000000-0010-0000-0000-000002000000}" name="QTE" dataDxfId="221"/>
    <tableColumn id="3" xr3:uid="{00000000-0010-0000-0000-000003000000}" name="DESCRIÇÃO" dataDxfId="220"/>
    <tableColumn id="41" xr3:uid="{00000000-0010-0000-0000-000029000000}" name="COD.MDE" dataDxfId="219"/>
    <tableColumn id="40" xr3:uid="{00000000-0010-0000-0000-000028000000}" name="REMESSA" dataDxfId="218"/>
    <tableColumn id="4" xr3:uid="{00000000-0010-0000-0000-000004000000}" name="PESO UNI" dataDxfId="217"/>
    <tableColumn id="5" xr3:uid="{00000000-0010-0000-0000-000005000000}" name="PESO TOTAL" dataDxfId="216"/>
    <tableColumn id="6" xr3:uid="{00000000-0010-0000-0000-000006000000}" name="Revisão" dataDxfId="215"/>
    <tableColumn id="7" xr3:uid="{00000000-0010-0000-0000-000007000000}" name="TAG" dataDxfId="214"/>
    <tableColumn id="38" xr3:uid="{00000000-0010-0000-0000-000026000000}" name="PRODUTO" dataDxfId="213"/>
    <tableColumn id="8" xr3:uid="{00000000-0010-0000-0000-000008000000}" name="PEDIDO" dataDxfId="212"/>
    <tableColumn id="9" xr3:uid="{00000000-0010-0000-0000-000009000000}" name="Engenharia" dataDxfId="211"/>
    <tableColumn id="10" xr3:uid="{00000000-0010-0000-0000-00000A000000}" name="FORNECEDOR" dataDxfId="210"/>
    <tableColumn id="11" xr3:uid="{00000000-0010-0000-0000-00000B000000}" name="QTDE/ Fabricação" dataDxfId="209"/>
    <tableColumn id="12" xr3:uid="{00000000-0010-0000-0000-00000C000000}" name="DATA/Fabricação" dataDxfId="208"/>
    <tableColumn id="13" xr3:uid="{00000000-0010-0000-0000-00000D000000}" name="SALDO PENDENTE/Fabricação" dataDxfId="207"/>
    <tableColumn id="14" xr3:uid="{00000000-0010-0000-0000-00000E000000}" name="EVOLUÇÃO PRETO / Fabricação_x000a_(kg)" dataDxfId="206"/>
    <tableColumn id="15" xr3:uid="{00000000-0010-0000-0000-00000F000000}" name="PRONTO ACABADO kg" dataDxfId="205">
      <calculatedColumnFormula>IFERROR(H2*AG2,"")</calculatedColumnFormula>
    </tableColumn>
    <tableColumn id="16" xr3:uid="{00000000-0010-0000-0000-000010000000}" name="Pendencia  / Fabricação_x000a_EM KG" dataDxfId="204"/>
    <tableColumn id="17" xr3:uid="{00000000-0010-0000-0000-000011000000}" name="QIANTIDADE EXPEDIDA" dataDxfId="203"/>
    <tableColumn id="18" xr3:uid="{00000000-0010-0000-0000-000012000000}" name="ROMANEIO " dataDxfId="202"/>
    <tableColumn id="19" xr3:uid="{00000000-0010-0000-0000-000013000000}" name="DATA EXPEDIÇÃO" dataDxfId="201"/>
    <tableColumn id="20" xr3:uid="{00000000-0010-0000-0000-000014000000}" name="Peso Expedido" dataDxfId="200"/>
    <tableColumn id="21" xr3:uid="{00000000-0010-0000-0000-000015000000}" name="QUANTIDADE PENDENTE/Expedição" dataDxfId="199"/>
    <tableColumn id="22" xr3:uid="{00000000-0010-0000-0000-000016000000}" name="PESO PENDENTE/Expedição" dataDxfId="198"/>
    <tableColumn id="23" xr3:uid="{00000000-0010-0000-0000-000017000000}" name="MATÉRIA PRIMA" dataDxfId="197"/>
    <tableColumn id="24" xr3:uid="{00000000-0010-0000-0000-000018000000}" name="RELATORIO" dataDxfId="196"/>
    <tableColumn id="25" xr3:uid="{00000000-0010-0000-0000-000019000000}" name="PREPARAÇÃO " dataDxfId="195"/>
    <tableColumn id="26" xr3:uid="{00000000-0010-0000-0000-00001A000000}" name="CALDEIRARIA" dataDxfId="194"/>
    <tableColumn id="27" xr3:uid="{00000000-0010-0000-0000-00001B000000}" name="SOLDA" dataDxfId="193"/>
    <tableColumn id="28" xr3:uid="{00000000-0010-0000-0000-00001C000000}" name="ACABAMENTO" dataDxfId="192"/>
    <tableColumn id="29" xr3:uid="{00000000-0010-0000-0000-00001D000000}" name="PRONTO ACABADO" dataDxfId="191"/>
    <tableColumn id="30" xr3:uid="{00000000-0010-0000-0000-00001E000000}" name="EXPEDIÇÃO " dataDxfId="190"/>
    <tableColumn id="31" xr3:uid="{00000000-0010-0000-0000-00001F000000}" name="FINALIZADO " dataDxfId="189"/>
    <tableColumn id="32" xr3:uid="{00000000-0010-0000-0000-000020000000}" name="Coluna1" dataDxfId="188"/>
    <tableColumn id="33" xr3:uid="{00000000-0010-0000-0000-000021000000}" name="Coluna2" dataDxfId="187"/>
    <tableColumn id="34" xr3:uid="{00000000-0010-0000-0000-000022000000}" name="Coluna3" dataDxfId="186"/>
    <tableColumn id="35" xr3:uid="{00000000-0010-0000-0000-000023000000}" name="Coluna4" dataDxfId="185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84"/>
    <tableColumn id="42" xr3:uid="{44772FB5-94B9-4683-9D51-42A525419432}" name="Colunas7" dataDxfId="183"/>
    <tableColumn id="44" xr3:uid="{7DBCA215-A831-41EC-8668-4217050D7CEF}" name="Coluna5" dataDxfId="182"/>
    <tableColumn id="52" xr3:uid="{0F1E3E30-ACD2-41A7-9FEB-CFC4141C720F}" name="PRONTO NO PRETO" dataDxfId="181"/>
    <tableColumn id="53" xr3:uid="{7B42991E-C57D-449B-9CA4-FF51ED3B7EE1}" name="PRONTO ACABADO3" dataDxfId="180"/>
    <tableColumn id="54" xr3:uid="{B185D57F-2904-41B4-A913-414AD30553DC}" name="PESO EXPEDIDO2" dataDxfId="179"/>
    <tableColumn id="55" xr3:uid="{216FC5C0-1E81-4ACF-B1FE-D38AAA1F26E6}" name="PRONTO ACABADO2" dataDxfId="178"/>
    <tableColumn id="57" xr3:uid="{58807113-78D0-4422-B88A-8E66792B9681}" name="Coluna7" dataDxfId="177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76" headerRowBorderDxfId="175" tableBorderDxfId="174" totalsRowBorderDxfId="173">
  <autoFilter ref="A1:F27" xr:uid="{9E04BDB3-7991-400D-A075-6EF4E207F167}"/>
  <tableColumns count="6">
    <tableColumn id="1" xr3:uid="{0986BF72-EBA9-4CAA-A22C-20021A2F0193}" name="PEDIDO" dataDxfId="172"/>
    <tableColumn id="2" xr3:uid="{1E29E510-3230-4D4A-9101-BF1603DA1959}" name="EQUIPAMENTO" dataDxfId="171"/>
    <tableColumn id="3" xr3:uid="{27EA8246-98FE-4DF0-AB4F-2563340E3A33}" name="DATA PREVISTA " dataDxfId="170"/>
    <tableColumn id="4" xr3:uid="{178705E0-20E1-4EA8-BD6A-04EDA09B960F}" name="DATA REPROGRAMADA" dataDxfId="169"/>
    <tableColumn id="5" xr3:uid="{D69E8AE6-FCF7-4D70-8443-DFF41092DBA5}" name="Observação" dataDxfId="168"/>
    <tableColumn id="6" xr3:uid="{7ED96CF2-6F65-4A02-A0B9-FFDE23E894EB}" name="CLIENTE" dataDxfId="16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66">
  <autoFilter ref="D3:R395" xr:uid="{D635AFD0-01A4-4F4C-B4BB-2C0A84AFA373}"/>
  <tableColumns count="15">
    <tableColumn id="1" xr3:uid="{71019319-E348-41C4-90A8-BD800AFA385A}" name="TAG" dataDxfId="165"/>
    <tableColumn id="2" xr3:uid="{6205B1F5-4B96-401E-A8F0-D0B582A87E91}" name="PEDIDO" dataDxfId="164">
      <calculatedColumnFormula>VLOOKUP(Tabela2[[#This Row],[TAG]],MICRO!J:L,3,0)</calculatedColumnFormula>
    </tableColumn>
    <tableColumn id="3" xr3:uid="{EBC41BBB-459B-4DB5-8152-2C7C2C7ADFAA}" name="FORNECEDOR" dataDxfId="163" dataCellStyle="Normal 2"/>
    <tableColumn id="4" xr3:uid="{EE719B42-3B82-4AC6-AB4D-66A5AF76AAFC}" name="RECEBIDO ENGENHARIA (kg)" dataDxfId="162">
      <calculatedColumnFormula>SUMIF(MICRO!AP:AP,O:O,MICRO!H:H)</calculatedColumnFormula>
    </tableColumn>
    <tableColumn id="5" xr3:uid="{F8EF71F0-2467-40E6-8596-0C50AE8B2E56}" name="EM AVANÇO NO PRETO (kg)" dataDxfId="161">
      <calculatedColumnFormula>SUMIF(MICRO!AP:AP,O:O,MICRO!R:R)</calculatedColumnFormula>
    </tableColumn>
    <tableColumn id="6" xr3:uid="{70FA8036-1726-409E-865E-BBD68DD0CF2B}" name="Pendencia  / Fabricação_x000a_EM KG _x000a_(Kg)" dataDxfId="160">
      <calculatedColumnFormula>SUMIF(MICRO!AP:AP,O:O,MICRO!T:T)</calculatedColumnFormula>
    </tableColumn>
    <tableColumn id="7" xr3:uid="{2EDBF5C8-B6A0-4234-9B37-F4D245CBE335}" name="EVOLUÇÃO %" dataDxfId="159">
      <calculatedColumnFormula>IF(G4 = 0,0,H4/G4)</calculatedColumnFormula>
    </tableColumn>
    <tableColumn id="8" xr3:uid="{981D372E-5C81-43AA-82CF-C526D0CD7BC5}" name="PESO EXPEDIDO" dataDxfId="158">
      <calculatedColumnFormula>SUMIF(MICRO!AP:AP,O:O,MICRO!X:X)</calculatedColumnFormula>
    </tableColumn>
    <tableColumn id="9" xr3:uid="{9581E1B5-4976-4A66-B050-5EDFF64499FF}" name="% EXPEDIDO" dataDxfId="157">
      <calculatedColumnFormula>IF(G4&lt;&gt;0,SUM(K4/G4*1),"0%")</calculatedColumnFormula>
    </tableColumn>
    <tableColumn id="10" xr3:uid="{5A0DEF47-FBD5-46D6-A019-DB5E3CF46E5B}" name="PESO PENDENTE4" dataDxfId="156">
      <calculatedColumnFormula>G4-K4</calculatedColumnFormula>
    </tableColumn>
    <tableColumn id="11" xr3:uid="{AD13F8E0-0652-4176-B922-E74BEC175E7A}" name="Coluna1" dataDxfId="155">
      <calculatedColumnFormula>E4&amp;F4</calculatedColumnFormula>
    </tableColumn>
    <tableColumn id="12" xr3:uid="{9AB5E2D8-1AD6-4B63-A9ED-66372E94A48F}" name="Coluna2" dataDxfId="154">
      <calculatedColumnFormula>D4&amp;E4&amp;F4</calculatedColumnFormula>
    </tableColumn>
    <tableColumn id="13" xr3:uid="{ED15B1A8-5672-4E4D-9246-3BC797332C64}" name="PRONTO NO PRETO" dataDxfId="153">
      <calculatedColumnFormula>SUMIF(MICRO!AP:AP,O4,MICRO!AS:AS)</calculatedColumnFormula>
    </tableColumn>
    <tableColumn id="14" xr3:uid="{986427E9-0E8F-46D1-987F-01DBA908B397}" name="PRONTO ACABADO" dataDxfId="152">
      <calculatedColumnFormula>SUMIF(MICRO!AP:AP,O4,MICRO!AT:AT)</calculatedColumnFormula>
    </tableColumn>
    <tableColumn id="15" xr3:uid="{4361E9F4-014E-4677-9D4A-8DBAE707BA31}" name="PESO EXPEDIDO2" dataDxfId="151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44" t="s">
        <v>326</v>
      </c>
      <c r="B1" s="246" t="s">
        <v>891</v>
      </c>
      <c r="C1" s="247"/>
      <c r="D1" s="247"/>
      <c r="E1" s="247"/>
      <c r="F1" s="247"/>
      <c r="G1" s="248"/>
      <c r="H1" s="242"/>
      <c r="I1" s="243"/>
    </row>
    <row r="2" spans="1:9" x14ac:dyDescent="0.25">
      <c r="A2" s="245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5105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39"/>
      <c r="B5" s="240"/>
      <c r="C5" s="240"/>
      <c r="D5" s="240"/>
      <c r="E5" s="240"/>
      <c r="F5" s="240"/>
      <c r="G5" s="240"/>
      <c r="H5" s="240"/>
      <c r="I5" s="241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246"/>
  <sheetViews>
    <sheetView showGridLines="0" tabSelected="1" zoomScale="77" zoomScaleNormal="77" workbookViewId="0">
      <pane ySplit="1" topLeftCell="A1246" activePane="bottomLeft" state="frozen"/>
      <selection activeCell="D894" sqref="D894"/>
      <selection pane="bottomLeft" activeCell="A1246" sqref="A1246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93.5703125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326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311" t="s">
        <v>38</v>
      </c>
      <c r="O37" s="12"/>
      <c r="P37" s="13"/>
      <c r="Q37" s="14">
        <f>Tabela1[[#This Row],[QTDE/ Fabricação]]-Tabela1[[#This Row],[QTE]]</f>
        <v>-16</v>
      </c>
      <c r="R37" s="317">
        <f t="shared" ref="R37:R79" si="11">IFERROR(H37*((AA37*0.25)+(AC37*0.25)+(AD37*0.225)+(AE37*0.225)+(AF37*0.05)),"")</f>
        <v>144</v>
      </c>
      <c r="S37" s="317">
        <f t="shared" ref="S37:S79" si="12">IFERROR(H37*AG37,"")</f>
        <v>144</v>
      </c>
      <c r="T37" s="318">
        <f t="shared" ref="T37:T79" si="13">IFERROR(S37-H37,"")</f>
        <v>0</v>
      </c>
      <c r="U37" s="319">
        <f>IFERROR(SUMIF('LISTA DE EMBARQUE'!B:B,MICRO!E:E,'LISTA DE EMBARQUE'!G:G),"")</f>
        <v>16</v>
      </c>
      <c r="V37" s="314">
        <f>IFERROR(VLOOKUP(Tabela1[[#This Row],[COD.MDE]],'LISTA DE EMBARQUE'!B:L,11,0),"")</f>
        <v>2</v>
      </c>
      <c r="W37" s="315" t="str">
        <f>IFERROR(COUNTIF(#REF!,Tabela1[[#This Row],[Colunas5]]),"")</f>
        <v/>
      </c>
      <c r="X37" s="316">
        <f>Tabela1[[#This Row],[QIANTIDADE EXPEDIDA]]*Tabela1[[#This Row],[PESO UNI]]</f>
        <v>144</v>
      </c>
      <c r="Y37" s="316">
        <f t="shared" ref="Y37:Y79" si="14">U37-C37</f>
        <v>0</v>
      </c>
      <c r="Z37" s="320">
        <f>Tabela1[[#This Row],[PESO TOTAL]]-Tabela1[[#This Row],[Peso Expedido]]</f>
        <v>0</v>
      </c>
      <c r="AA37" s="321">
        <v>1</v>
      </c>
      <c r="AB37" s="322"/>
      <c r="AC37" s="322">
        <v>1</v>
      </c>
      <c r="AD37" s="322">
        <v>1</v>
      </c>
      <c r="AE37" s="322">
        <v>1</v>
      </c>
      <c r="AF37" s="322">
        <v>1</v>
      </c>
      <c r="AG37" s="322">
        <v>1</v>
      </c>
      <c r="AH37" s="322">
        <v>1</v>
      </c>
      <c r="AI37" s="32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326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311" t="s">
        <v>38</v>
      </c>
      <c r="O38" s="12"/>
      <c r="P38" s="13"/>
      <c r="Q38" s="14">
        <f>Tabela1[[#This Row],[QTDE/ Fabricação]]-Tabela1[[#This Row],[QTE]]</f>
        <v>-78</v>
      </c>
      <c r="R38" s="317">
        <f t="shared" si="11"/>
        <v>741</v>
      </c>
      <c r="S38" s="317">
        <f t="shared" si="12"/>
        <v>741</v>
      </c>
      <c r="T38" s="318">
        <f t="shared" si="13"/>
        <v>0</v>
      </c>
      <c r="U38" s="319">
        <f>IFERROR(SUMIF('LISTA DE EMBARQUE'!B:B,MICRO!E:E,'LISTA DE EMBARQUE'!G:G),"")</f>
        <v>78</v>
      </c>
      <c r="V38" s="314">
        <f>IFERROR(VLOOKUP(Tabela1[[#This Row],[COD.MDE]],'LISTA DE EMBARQUE'!B:L,11,0),"")</f>
        <v>1</v>
      </c>
      <c r="W38" s="315" t="str">
        <f>IFERROR(COUNTIF(#REF!,Tabela1[[#This Row],[Colunas5]]),"")</f>
        <v/>
      </c>
      <c r="X38" s="316">
        <f>Tabela1[[#This Row],[QIANTIDADE EXPEDIDA]]*Tabela1[[#This Row],[PESO UNI]]</f>
        <v>741</v>
      </c>
      <c r="Y38" s="316">
        <f t="shared" si="14"/>
        <v>0</v>
      </c>
      <c r="Z38" s="320">
        <f>Tabela1[[#This Row],[PESO TOTAL]]-Tabela1[[#This Row],[Peso Expedido]]</f>
        <v>0</v>
      </c>
      <c r="AA38" s="321">
        <v>1</v>
      </c>
      <c r="AB38" s="322"/>
      <c r="AC38" s="322">
        <v>1</v>
      </c>
      <c r="AD38" s="322">
        <v>1</v>
      </c>
      <c r="AE38" s="322">
        <v>1</v>
      </c>
      <c r="AF38" s="322">
        <v>1</v>
      </c>
      <c r="AG38" s="322">
        <v>1</v>
      </c>
      <c r="AH38" s="322">
        <v>1</v>
      </c>
      <c r="AI38" s="32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326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311" t="s">
        <v>38</v>
      </c>
      <c r="O39" s="12"/>
      <c r="P39" s="13"/>
      <c r="Q39" s="14">
        <f>Tabela1[[#This Row],[QTDE/ Fabricação]]-Tabela1[[#This Row],[QTE]]</f>
        <v>-45</v>
      </c>
      <c r="R39" s="317">
        <f t="shared" si="11"/>
        <v>405</v>
      </c>
      <c r="S39" s="317">
        <f t="shared" si="12"/>
        <v>405</v>
      </c>
      <c r="T39" s="318">
        <f t="shared" si="13"/>
        <v>0</v>
      </c>
      <c r="U39" s="319">
        <f>IFERROR(SUMIF('LISTA DE EMBARQUE'!B:B,MICRO!E:E,'LISTA DE EMBARQUE'!G:G),"")</f>
        <v>45</v>
      </c>
      <c r="V39" s="314">
        <f>IFERROR(VLOOKUP(Tabela1[[#This Row],[COD.MDE]],'LISTA DE EMBARQUE'!B:L,11,0),"")</f>
        <v>1</v>
      </c>
      <c r="W39" s="315" t="str">
        <f>IFERROR(COUNTIF(#REF!,Tabela1[[#This Row],[Colunas5]]),"")</f>
        <v/>
      </c>
      <c r="X39" s="316">
        <f>Tabela1[[#This Row],[QIANTIDADE EXPEDIDA]]*Tabela1[[#This Row],[PESO UNI]]</f>
        <v>405</v>
      </c>
      <c r="Y39" s="316">
        <f t="shared" si="14"/>
        <v>0</v>
      </c>
      <c r="Z39" s="320">
        <f>Tabela1[[#This Row],[PESO TOTAL]]-Tabela1[[#This Row],[Peso Expedido]]</f>
        <v>0</v>
      </c>
      <c r="AA39" s="321">
        <v>1</v>
      </c>
      <c r="AB39" s="322"/>
      <c r="AC39" s="322">
        <v>1</v>
      </c>
      <c r="AD39" s="322">
        <v>1</v>
      </c>
      <c r="AE39" s="322">
        <v>1</v>
      </c>
      <c r="AF39" s="322">
        <v>1</v>
      </c>
      <c r="AG39" s="322">
        <v>1</v>
      </c>
      <c r="AH39" s="322">
        <v>1</v>
      </c>
      <c r="AI39" s="32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324" t="s">
        <v>3039</v>
      </c>
      <c r="B40" s="309"/>
      <c r="C40" s="307">
        <v>4</v>
      </c>
      <c r="D40" s="325" t="s">
        <v>3040</v>
      </c>
      <c r="E40" s="307">
        <v>3736</v>
      </c>
      <c r="F40" s="307">
        <v>8</v>
      </c>
      <c r="G40" s="326">
        <v>2.7</v>
      </c>
      <c r="H40" s="310">
        <f>Tabela1[[#This Row],[PESO UNI]]*Tabela1[[#This Row],[QTE]]</f>
        <v>10.8</v>
      </c>
      <c r="I40" s="307">
        <v>1</v>
      </c>
      <c r="J40" s="311" t="s">
        <v>3034</v>
      </c>
      <c r="K40" s="311" t="s">
        <v>23</v>
      </c>
      <c r="L40" s="312" t="s">
        <v>2984</v>
      </c>
      <c r="M40" s="313">
        <v>46175</v>
      </c>
      <c r="N40" s="311" t="s">
        <v>38</v>
      </c>
      <c r="O40" s="314"/>
      <c r="P40" s="315"/>
      <c r="Q40" s="14">
        <f>Tabela1[[#This Row],[QTDE/ Fabricação]]-Tabela1[[#This Row],[QTE]]</f>
        <v>-4</v>
      </c>
      <c r="R40" s="317">
        <f t="shared" si="11"/>
        <v>10.8</v>
      </c>
      <c r="S40" s="317">
        <f t="shared" si="12"/>
        <v>10.8</v>
      </c>
      <c r="T40" s="318">
        <f t="shared" si="13"/>
        <v>0</v>
      </c>
      <c r="U40" s="319">
        <f>IFERROR(SUMIF('LISTA DE EMBARQUE'!B:B,MICRO!E:E,'LISTA DE EMBARQUE'!G:G),"")</f>
        <v>4</v>
      </c>
      <c r="V40" s="314">
        <f>IFERROR(VLOOKUP(Tabela1[[#This Row],[COD.MDE]],'LISTA DE EMBARQUE'!B:L,11,0),"")</f>
        <v>2</v>
      </c>
      <c r="W40" s="315" t="str">
        <f>IFERROR(COUNTIF(#REF!,Tabela1[[#This Row],[Colunas5]]),"")</f>
        <v/>
      </c>
      <c r="X40" s="316">
        <f>Tabela1[[#This Row],[QIANTIDADE EXPEDIDA]]*Tabela1[[#This Row],[PESO UNI]]</f>
        <v>10.8</v>
      </c>
      <c r="Y40" s="316">
        <f t="shared" si="14"/>
        <v>0</v>
      </c>
      <c r="Z40" s="320">
        <f>Tabela1[[#This Row],[PESO TOTAL]]-Tabela1[[#This Row],[Peso Expedido]]</f>
        <v>0</v>
      </c>
      <c r="AA40" s="321">
        <v>1</v>
      </c>
      <c r="AB40" s="322"/>
      <c r="AC40" s="322">
        <v>1</v>
      </c>
      <c r="AD40" s="322">
        <v>1</v>
      </c>
      <c r="AE40" s="322">
        <v>1</v>
      </c>
      <c r="AF40" s="322">
        <v>1</v>
      </c>
      <c r="AG40" s="322">
        <v>1</v>
      </c>
      <c r="AH40" s="322">
        <v>1</v>
      </c>
      <c r="AI40" s="32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324" t="s">
        <v>3041</v>
      </c>
      <c r="B41" s="309"/>
      <c r="C41" s="307">
        <v>10</v>
      </c>
      <c r="D41" s="325" t="s">
        <v>3042</v>
      </c>
      <c r="E41" s="307">
        <v>3737</v>
      </c>
      <c r="F41" s="307">
        <v>8</v>
      </c>
      <c r="G41" s="326">
        <v>16</v>
      </c>
      <c r="H41" s="310">
        <f>Tabela1[[#This Row],[PESO UNI]]*Tabela1[[#This Row],[QTE]]</f>
        <v>160</v>
      </c>
      <c r="I41" s="307">
        <v>0</v>
      </c>
      <c r="J41" s="311" t="s">
        <v>3034</v>
      </c>
      <c r="K41" s="311" t="s">
        <v>23</v>
      </c>
      <c r="L41" s="312" t="s">
        <v>2984</v>
      </c>
      <c r="M41" s="313">
        <v>46175</v>
      </c>
      <c r="N41" s="311" t="s">
        <v>38</v>
      </c>
      <c r="O41" s="314"/>
      <c r="P41" s="315"/>
      <c r="Q41" s="14">
        <f>Tabela1[[#This Row],[QTDE/ Fabricação]]-Tabela1[[#This Row],[QTE]]</f>
        <v>-10</v>
      </c>
      <c r="R41" s="317">
        <f t="shared" si="11"/>
        <v>160</v>
      </c>
      <c r="S41" s="317">
        <f t="shared" si="12"/>
        <v>160</v>
      </c>
      <c r="T41" s="318">
        <f t="shared" si="13"/>
        <v>0</v>
      </c>
      <c r="U41" s="319">
        <f>IFERROR(SUMIF('LISTA DE EMBARQUE'!B:B,MICRO!E:E,'LISTA DE EMBARQUE'!G:G),"")</f>
        <v>10</v>
      </c>
      <c r="V41" s="314">
        <f>IFERROR(VLOOKUP(Tabela1[[#This Row],[COD.MDE]],'LISTA DE EMBARQUE'!B:L,11,0),"")</f>
        <v>1</v>
      </c>
      <c r="W41" s="315" t="str">
        <f>IFERROR(COUNTIF(#REF!,Tabela1[[#This Row],[Colunas5]]),"")</f>
        <v/>
      </c>
      <c r="X41" s="316">
        <f>Tabela1[[#This Row],[QIANTIDADE EXPEDIDA]]*Tabela1[[#This Row],[PESO UNI]]</f>
        <v>160</v>
      </c>
      <c r="Y41" s="316">
        <f t="shared" si="14"/>
        <v>0</v>
      </c>
      <c r="Z41" s="320">
        <f>Tabela1[[#This Row],[PESO TOTAL]]-Tabela1[[#This Row],[Peso Expedido]]</f>
        <v>0</v>
      </c>
      <c r="AA41" s="321">
        <v>1</v>
      </c>
      <c r="AB41" s="322"/>
      <c r="AC41" s="322">
        <v>1</v>
      </c>
      <c r="AD41" s="322">
        <v>1</v>
      </c>
      <c r="AE41" s="322">
        <v>1</v>
      </c>
      <c r="AF41" s="322">
        <v>1</v>
      </c>
      <c r="AG41" s="322">
        <v>1</v>
      </c>
      <c r="AH41" s="322">
        <v>1</v>
      </c>
      <c r="AI41" s="32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324" t="s">
        <v>3043</v>
      </c>
      <c r="B42" s="309"/>
      <c r="C42" s="307">
        <v>4</v>
      </c>
      <c r="D42" s="325" t="s">
        <v>3044</v>
      </c>
      <c r="E42" s="307">
        <v>3738</v>
      </c>
      <c r="F42" s="307">
        <v>8</v>
      </c>
      <c r="G42" s="326">
        <v>3.2</v>
      </c>
      <c r="H42" s="310">
        <f>Tabela1[[#This Row],[PESO UNI]]*Tabela1[[#This Row],[QTE]]</f>
        <v>12.8</v>
      </c>
      <c r="I42" s="307">
        <v>0</v>
      </c>
      <c r="J42" s="311" t="s">
        <v>3034</v>
      </c>
      <c r="K42" s="311" t="s">
        <v>23</v>
      </c>
      <c r="L42" s="312" t="s">
        <v>2984</v>
      </c>
      <c r="M42" s="313">
        <v>46175</v>
      </c>
      <c r="N42" s="311" t="s">
        <v>38</v>
      </c>
      <c r="O42" s="314"/>
      <c r="P42" s="315"/>
      <c r="Q42" s="14">
        <f>Tabela1[[#This Row],[QTDE/ Fabricação]]-Tabela1[[#This Row],[QTE]]</f>
        <v>-4</v>
      </c>
      <c r="R42" s="317">
        <f t="shared" si="11"/>
        <v>12.8</v>
      </c>
      <c r="S42" s="317">
        <f t="shared" si="12"/>
        <v>12.8</v>
      </c>
      <c r="T42" s="318">
        <f t="shared" si="13"/>
        <v>0</v>
      </c>
      <c r="U42" s="319">
        <f>IFERROR(SUMIF('LISTA DE EMBARQUE'!B:B,MICRO!E:E,'LISTA DE EMBARQUE'!G:G),"")</f>
        <v>4</v>
      </c>
      <c r="V42" s="314">
        <f>IFERROR(VLOOKUP(Tabela1[[#This Row],[COD.MDE]],'LISTA DE EMBARQUE'!B:L,11,0),"")</f>
        <v>2</v>
      </c>
      <c r="W42" s="315" t="str">
        <f>IFERROR(COUNTIF(#REF!,Tabela1[[#This Row],[Colunas5]]),"")</f>
        <v/>
      </c>
      <c r="X42" s="316">
        <f>Tabela1[[#This Row],[QIANTIDADE EXPEDIDA]]*Tabela1[[#This Row],[PESO UNI]]</f>
        <v>12.8</v>
      </c>
      <c r="Y42" s="316">
        <f t="shared" si="14"/>
        <v>0</v>
      </c>
      <c r="Z42" s="320">
        <f>Tabela1[[#This Row],[PESO TOTAL]]-Tabela1[[#This Row],[Peso Expedido]]</f>
        <v>0</v>
      </c>
      <c r="AA42" s="321">
        <v>1</v>
      </c>
      <c r="AB42" s="322"/>
      <c r="AC42" s="322">
        <v>1</v>
      </c>
      <c r="AD42" s="322">
        <v>1</v>
      </c>
      <c r="AE42" s="322">
        <v>1</v>
      </c>
      <c r="AF42" s="322">
        <v>1</v>
      </c>
      <c r="AG42" s="322">
        <v>1</v>
      </c>
      <c r="AH42" s="322">
        <v>1</v>
      </c>
      <c r="AI42" s="32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324" t="s">
        <v>3039</v>
      </c>
      <c r="B43" s="309"/>
      <c r="C43" s="307">
        <v>4</v>
      </c>
      <c r="D43" s="325" t="s">
        <v>3040</v>
      </c>
      <c r="E43" s="307">
        <v>3739</v>
      </c>
      <c r="F43" s="307">
        <v>11</v>
      </c>
      <c r="G43" s="326">
        <v>2.7</v>
      </c>
      <c r="H43" s="310">
        <f>Tabela1[[#This Row],[PESO UNI]]*Tabela1[[#This Row],[QTE]]</f>
        <v>10.8</v>
      </c>
      <c r="I43" s="307">
        <v>0</v>
      </c>
      <c r="J43" s="311" t="s">
        <v>3045</v>
      </c>
      <c r="K43" s="311" t="s">
        <v>23</v>
      </c>
      <c r="L43" s="312" t="s">
        <v>2984</v>
      </c>
      <c r="M43" s="313">
        <v>46176</v>
      </c>
      <c r="N43" s="311" t="s">
        <v>38</v>
      </c>
      <c r="O43" s="314"/>
      <c r="P43" s="315"/>
      <c r="Q43" s="14">
        <f>Tabela1[[#This Row],[QTDE/ Fabricação]]-Tabela1[[#This Row],[QTE]]</f>
        <v>-4</v>
      </c>
      <c r="R43" s="317">
        <f t="shared" si="11"/>
        <v>10.8</v>
      </c>
      <c r="S43" s="317">
        <f t="shared" si="12"/>
        <v>10.8</v>
      </c>
      <c r="T43" s="318">
        <f t="shared" si="13"/>
        <v>0</v>
      </c>
      <c r="U43" s="319">
        <f>IFERROR(SUMIF('LISTA DE EMBARQUE'!B:B,MICRO!E:E,'LISTA DE EMBARQUE'!G:G),"")</f>
        <v>4</v>
      </c>
      <c r="V43" s="314">
        <f>IFERROR(VLOOKUP(Tabela1[[#This Row],[COD.MDE]],'LISTA DE EMBARQUE'!B:L,11,0),"")</f>
        <v>2</v>
      </c>
      <c r="W43" s="315" t="str">
        <f>IFERROR(COUNTIF(#REF!,Tabela1[[#This Row],[Colunas5]]),"")</f>
        <v/>
      </c>
      <c r="X43" s="316">
        <f>Tabela1[[#This Row],[QIANTIDADE EXPEDIDA]]*Tabela1[[#This Row],[PESO UNI]]</f>
        <v>10.8</v>
      </c>
      <c r="Y43" s="316">
        <f t="shared" si="14"/>
        <v>0</v>
      </c>
      <c r="Z43" s="320">
        <f>Tabela1[[#This Row],[PESO TOTAL]]-Tabela1[[#This Row],[Peso Expedido]]</f>
        <v>0</v>
      </c>
      <c r="AA43" s="321">
        <v>1</v>
      </c>
      <c r="AB43" s="322"/>
      <c r="AC43" s="322">
        <v>1</v>
      </c>
      <c r="AD43" s="322">
        <v>1</v>
      </c>
      <c r="AE43" s="322">
        <v>1</v>
      </c>
      <c r="AF43" s="322">
        <v>1</v>
      </c>
      <c r="AG43" s="322">
        <v>1</v>
      </c>
      <c r="AH43" s="322">
        <v>1</v>
      </c>
      <c r="AI43" s="32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324" t="s">
        <v>3043</v>
      </c>
      <c r="B44" s="309"/>
      <c r="C44" s="307">
        <v>4</v>
      </c>
      <c r="D44" s="325" t="s">
        <v>3044</v>
      </c>
      <c r="E44" s="307">
        <v>3740</v>
      </c>
      <c r="F44" s="307">
        <v>11</v>
      </c>
      <c r="G44" s="326">
        <v>3.2</v>
      </c>
      <c r="H44" s="310">
        <f>Tabela1[[#This Row],[PESO UNI]]*Tabela1[[#This Row],[QTE]]</f>
        <v>12.8</v>
      </c>
      <c r="I44" s="307">
        <v>0</v>
      </c>
      <c r="J44" s="311" t="s">
        <v>3045</v>
      </c>
      <c r="K44" s="311" t="s">
        <v>23</v>
      </c>
      <c r="L44" s="312" t="s">
        <v>2984</v>
      </c>
      <c r="M44" s="313">
        <v>46176</v>
      </c>
      <c r="N44" s="311" t="s">
        <v>38</v>
      </c>
      <c r="O44" s="314"/>
      <c r="P44" s="315"/>
      <c r="Q44" s="14">
        <f>Tabela1[[#This Row],[QTDE/ Fabricação]]-Tabela1[[#This Row],[QTE]]</f>
        <v>-4</v>
      </c>
      <c r="R44" s="317">
        <f t="shared" si="11"/>
        <v>12.8</v>
      </c>
      <c r="S44" s="317">
        <f t="shared" si="12"/>
        <v>12.8</v>
      </c>
      <c r="T44" s="318">
        <f t="shared" si="13"/>
        <v>0</v>
      </c>
      <c r="U44" s="319">
        <f>IFERROR(SUMIF('LISTA DE EMBARQUE'!B:B,MICRO!E:E,'LISTA DE EMBARQUE'!G:G),"")</f>
        <v>4</v>
      </c>
      <c r="V44" s="314">
        <f>IFERROR(VLOOKUP(Tabela1[[#This Row],[COD.MDE]],'LISTA DE EMBARQUE'!B:L,11,0),"")</f>
        <v>2</v>
      </c>
      <c r="W44" s="315" t="str">
        <f>IFERROR(COUNTIF(#REF!,Tabela1[[#This Row],[Colunas5]]),"")</f>
        <v/>
      </c>
      <c r="X44" s="316">
        <f>Tabela1[[#This Row],[QIANTIDADE EXPEDIDA]]*Tabela1[[#This Row],[PESO UNI]]</f>
        <v>12.8</v>
      </c>
      <c r="Y44" s="316">
        <f t="shared" si="14"/>
        <v>0</v>
      </c>
      <c r="Z44" s="320">
        <f>Tabela1[[#This Row],[PESO TOTAL]]-Tabela1[[#This Row],[Peso Expedido]]</f>
        <v>0</v>
      </c>
      <c r="AA44" s="321">
        <v>1</v>
      </c>
      <c r="AB44" s="322"/>
      <c r="AC44" s="322">
        <v>1</v>
      </c>
      <c r="AD44" s="322">
        <v>1</v>
      </c>
      <c r="AE44" s="322">
        <v>1</v>
      </c>
      <c r="AF44" s="322">
        <v>1</v>
      </c>
      <c r="AG44" s="322">
        <v>1</v>
      </c>
      <c r="AH44" s="322">
        <v>1</v>
      </c>
      <c r="AI44" s="32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324" t="s">
        <v>3046</v>
      </c>
      <c r="B45" s="309"/>
      <c r="C45" s="307">
        <v>32</v>
      </c>
      <c r="D45" s="325" t="s">
        <v>3047</v>
      </c>
      <c r="E45" s="307">
        <v>3741</v>
      </c>
      <c r="F45" s="307">
        <v>11</v>
      </c>
      <c r="G45" s="326">
        <v>18</v>
      </c>
      <c r="H45" s="310">
        <f>Tabela1[[#This Row],[PESO UNI]]*Tabela1[[#This Row],[QTE]]</f>
        <v>576</v>
      </c>
      <c r="I45" s="307">
        <v>0</v>
      </c>
      <c r="J45" s="311" t="s">
        <v>3045</v>
      </c>
      <c r="K45" s="311" t="s">
        <v>23</v>
      </c>
      <c r="L45" s="312" t="s">
        <v>2984</v>
      </c>
      <c r="M45" s="313">
        <v>46176</v>
      </c>
      <c r="N45" s="311" t="s">
        <v>38</v>
      </c>
      <c r="O45" s="314"/>
      <c r="P45" s="315"/>
      <c r="Q45" s="14">
        <f>Tabela1[[#This Row],[QTDE/ Fabricação]]-Tabela1[[#This Row],[QTE]]</f>
        <v>-32</v>
      </c>
      <c r="R45" s="317">
        <f t="shared" si="11"/>
        <v>576</v>
      </c>
      <c r="S45" s="317">
        <f t="shared" si="12"/>
        <v>576</v>
      </c>
      <c r="T45" s="318">
        <f t="shared" si="13"/>
        <v>0</v>
      </c>
      <c r="U45" s="319">
        <f>IFERROR(SUMIF('LISTA DE EMBARQUE'!B:B,MICRO!E:E,'LISTA DE EMBARQUE'!G:G),"")</f>
        <v>32</v>
      </c>
      <c r="V45" s="314">
        <f>IFERROR(VLOOKUP(Tabela1[[#This Row],[COD.MDE]],'LISTA DE EMBARQUE'!B:L,11,0),"")</f>
        <v>2</v>
      </c>
      <c r="W45" s="315" t="str">
        <f>IFERROR(COUNTIF(#REF!,Tabela1[[#This Row],[Colunas5]]),"")</f>
        <v/>
      </c>
      <c r="X45" s="316">
        <f>Tabela1[[#This Row],[QIANTIDADE EXPEDIDA]]*Tabela1[[#This Row],[PESO UNI]]</f>
        <v>576</v>
      </c>
      <c r="Y45" s="316">
        <f t="shared" si="14"/>
        <v>0</v>
      </c>
      <c r="Z45" s="320">
        <f>Tabela1[[#This Row],[PESO TOTAL]]-Tabela1[[#This Row],[Peso Expedido]]</f>
        <v>0</v>
      </c>
      <c r="AA45" s="321">
        <v>1</v>
      </c>
      <c r="AB45" s="322"/>
      <c r="AC45" s="322">
        <v>1</v>
      </c>
      <c r="AD45" s="322">
        <v>1</v>
      </c>
      <c r="AE45" s="322">
        <v>1</v>
      </c>
      <c r="AF45" s="322">
        <v>1</v>
      </c>
      <c r="AG45" s="322">
        <v>1</v>
      </c>
      <c r="AH45" s="322">
        <v>1</v>
      </c>
      <c r="AI45" s="32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324" t="s">
        <v>3048</v>
      </c>
      <c r="B46" s="309"/>
      <c r="C46" s="307">
        <v>6</v>
      </c>
      <c r="D46" s="325" t="s">
        <v>3049</v>
      </c>
      <c r="E46" s="307">
        <v>3742</v>
      </c>
      <c r="F46" s="307">
        <v>11</v>
      </c>
      <c r="G46" s="326">
        <v>16</v>
      </c>
      <c r="H46" s="310">
        <f>Tabela1[[#This Row],[PESO UNI]]*Tabela1[[#This Row],[QTE]]</f>
        <v>96</v>
      </c>
      <c r="I46" s="307">
        <v>0</v>
      </c>
      <c r="J46" s="311" t="s">
        <v>3045</v>
      </c>
      <c r="K46" s="311" t="s">
        <v>23</v>
      </c>
      <c r="L46" s="312" t="s">
        <v>2984</v>
      </c>
      <c r="M46" s="313">
        <v>46176</v>
      </c>
      <c r="N46" s="311" t="s">
        <v>38</v>
      </c>
      <c r="O46" s="314"/>
      <c r="P46" s="315"/>
      <c r="Q46" s="14">
        <f>Tabela1[[#This Row],[QTDE/ Fabricação]]-Tabela1[[#This Row],[QTE]]</f>
        <v>-6</v>
      </c>
      <c r="R46" s="317">
        <f t="shared" si="11"/>
        <v>96</v>
      </c>
      <c r="S46" s="317">
        <f t="shared" si="12"/>
        <v>96</v>
      </c>
      <c r="T46" s="318">
        <f t="shared" si="13"/>
        <v>0</v>
      </c>
      <c r="U46" s="319">
        <f>IFERROR(SUMIF('LISTA DE EMBARQUE'!B:B,MICRO!E:E,'LISTA DE EMBARQUE'!G:G),"")</f>
        <v>6</v>
      </c>
      <c r="V46" s="314">
        <f>IFERROR(VLOOKUP(Tabela1[[#This Row],[COD.MDE]],'LISTA DE EMBARQUE'!B:L,11,0),"")</f>
        <v>1</v>
      </c>
      <c r="W46" s="315" t="str">
        <f>IFERROR(COUNTIF(#REF!,Tabela1[[#This Row],[Colunas5]]),"")</f>
        <v/>
      </c>
      <c r="X46" s="316">
        <f>Tabela1[[#This Row],[QIANTIDADE EXPEDIDA]]*Tabela1[[#This Row],[PESO UNI]]</f>
        <v>96</v>
      </c>
      <c r="Y46" s="316">
        <f t="shared" si="14"/>
        <v>0</v>
      </c>
      <c r="Z46" s="320">
        <f>Tabela1[[#This Row],[PESO TOTAL]]-Tabela1[[#This Row],[Peso Expedido]]</f>
        <v>0</v>
      </c>
      <c r="AA46" s="321">
        <v>1</v>
      </c>
      <c r="AB46" s="322"/>
      <c r="AC46" s="322">
        <v>1</v>
      </c>
      <c r="AD46" s="322">
        <v>1</v>
      </c>
      <c r="AE46" s="322">
        <v>1</v>
      </c>
      <c r="AF46" s="322">
        <v>1</v>
      </c>
      <c r="AG46" s="322">
        <v>1</v>
      </c>
      <c r="AH46" s="322">
        <v>1</v>
      </c>
      <c r="AI46" s="32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324" t="s">
        <v>3050</v>
      </c>
      <c r="B47" s="309"/>
      <c r="C47" s="307">
        <v>21</v>
      </c>
      <c r="D47" s="325" t="s">
        <v>3051</v>
      </c>
      <c r="E47" s="307">
        <v>3743</v>
      </c>
      <c r="F47" s="307">
        <v>11</v>
      </c>
      <c r="G47" s="326">
        <v>17</v>
      </c>
      <c r="H47" s="310">
        <f>Tabela1[[#This Row],[PESO UNI]]*Tabela1[[#This Row],[QTE]]</f>
        <v>357</v>
      </c>
      <c r="I47" s="307">
        <v>0</v>
      </c>
      <c r="J47" s="311" t="s">
        <v>3045</v>
      </c>
      <c r="K47" s="311" t="s">
        <v>23</v>
      </c>
      <c r="L47" s="312" t="s">
        <v>2984</v>
      </c>
      <c r="M47" s="313">
        <v>46176</v>
      </c>
      <c r="N47" s="311" t="s">
        <v>38</v>
      </c>
      <c r="O47" s="314"/>
      <c r="P47" s="315"/>
      <c r="Q47" s="14">
        <f>Tabela1[[#This Row],[QTDE/ Fabricação]]-Tabela1[[#This Row],[QTE]]</f>
        <v>-21</v>
      </c>
      <c r="R47" s="317">
        <f t="shared" si="11"/>
        <v>357</v>
      </c>
      <c r="S47" s="317">
        <f t="shared" si="12"/>
        <v>357</v>
      </c>
      <c r="T47" s="318">
        <f t="shared" si="13"/>
        <v>0</v>
      </c>
      <c r="U47" s="319">
        <f>IFERROR(SUMIF('LISTA DE EMBARQUE'!B:B,MICRO!E:E,'LISTA DE EMBARQUE'!G:G),"")</f>
        <v>21</v>
      </c>
      <c r="V47" s="314">
        <f>IFERROR(VLOOKUP(Tabela1[[#This Row],[COD.MDE]],'LISTA DE EMBARQUE'!B:L,11,0),"")</f>
        <v>1</v>
      </c>
      <c r="W47" s="315" t="str">
        <f>IFERROR(COUNTIF(#REF!,Tabela1[[#This Row],[Colunas5]]),"")</f>
        <v/>
      </c>
      <c r="X47" s="316">
        <f>Tabela1[[#This Row],[QIANTIDADE EXPEDIDA]]*Tabela1[[#This Row],[PESO UNI]]</f>
        <v>357</v>
      </c>
      <c r="Y47" s="316">
        <f t="shared" si="14"/>
        <v>0</v>
      </c>
      <c r="Z47" s="320">
        <f>Tabela1[[#This Row],[PESO TOTAL]]-Tabela1[[#This Row],[Peso Expedido]]</f>
        <v>0</v>
      </c>
      <c r="AA47" s="321">
        <v>1</v>
      </c>
      <c r="AB47" s="322"/>
      <c r="AC47" s="322">
        <v>1</v>
      </c>
      <c r="AD47" s="322">
        <v>1</v>
      </c>
      <c r="AE47" s="322">
        <v>1</v>
      </c>
      <c r="AF47" s="322">
        <v>1</v>
      </c>
      <c r="AG47" s="322">
        <v>1</v>
      </c>
      <c r="AH47" s="322">
        <v>1</v>
      </c>
      <c r="AI47" s="32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324" t="s">
        <v>122</v>
      </c>
      <c r="B48" s="309"/>
      <c r="C48" s="307">
        <v>24</v>
      </c>
      <c r="D48" s="325" t="s">
        <v>3052</v>
      </c>
      <c r="E48" s="307">
        <v>3744</v>
      </c>
      <c r="F48" s="307">
        <v>11</v>
      </c>
      <c r="G48" s="326">
        <v>16</v>
      </c>
      <c r="H48" s="310">
        <f>Tabela1[[#This Row],[PESO UNI]]*Tabela1[[#This Row],[QTE]]</f>
        <v>384</v>
      </c>
      <c r="I48" s="307">
        <v>0</v>
      </c>
      <c r="J48" s="311" t="s">
        <v>3045</v>
      </c>
      <c r="K48" s="311" t="s">
        <v>23</v>
      </c>
      <c r="L48" s="312" t="s">
        <v>2984</v>
      </c>
      <c r="M48" s="313">
        <v>46176</v>
      </c>
      <c r="N48" s="311" t="s">
        <v>38</v>
      </c>
      <c r="O48" s="314"/>
      <c r="P48" s="315"/>
      <c r="Q48" s="14">
        <f>Tabela1[[#This Row],[QTDE/ Fabricação]]-Tabela1[[#This Row],[QTE]]</f>
        <v>-24</v>
      </c>
      <c r="R48" s="317">
        <f t="shared" si="11"/>
        <v>384</v>
      </c>
      <c r="S48" s="317">
        <f t="shared" si="12"/>
        <v>384</v>
      </c>
      <c r="T48" s="318">
        <f t="shared" si="13"/>
        <v>0</v>
      </c>
      <c r="U48" s="319">
        <f>IFERROR(SUMIF('LISTA DE EMBARQUE'!B:B,MICRO!E:E,'LISTA DE EMBARQUE'!G:G),"")</f>
        <v>24</v>
      </c>
      <c r="V48" s="314">
        <f>IFERROR(VLOOKUP(Tabela1[[#This Row],[COD.MDE]],'LISTA DE EMBARQUE'!B:L,11,0),"")</f>
        <v>1</v>
      </c>
      <c r="W48" s="315" t="str">
        <f>IFERROR(COUNTIF(#REF!,Tabela1[[#This Row],[Colunas5]]),"")</f>
        <v/>
      </c>
      <c r="X48" s="316">
        <f>Tabela1[[#This Row],[QIANTIDADE EXPEDIDA]]*Tabela1[[#This Row],[PESO UNI]]</f>
        <v>384</v>
      </c>
      <c r="Y48" s="316">
        <f t="shared" si="14"/>
        <v>0</v>
      </c>
      <c r="Z48" s="320">
        <f>Tabela1[[#This Row],[PESO TOTAL]]-Tabela1[[#This Row],[Peso Expedido]]</f>
        <v>0</v>
      </c>
      <c r="AA48" s="321">
        <v>1</v>
      </c>
      <c r="AB48" s="322"/>
      <c r="AC48" s="322">
        <v>1</v>
      </c>
      <c r="AD48" s="322">
        <v>1</v>
      </c>
      <c r="AE48" s="322">
        <v>1</v>
      </c>
      <c r="AF48" s="322">
        <v>1</v>
      </c>
      <c r="AG48" s="322">
        <v>1</v>
      </c>
      <c r="AH48" s="322">
        <v>1</v>
      </c>
      <c r="AI48" s="32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324" t="s">
        <v>3053</v>
      </c>
      <c r="B49" s="309"/>
      <c r="C49" s="307">
        <v>132</v>
      </c>
      <c r="D49" s="325" t="s">
        <v>3054</v>
      </c>
      <c r="E49" s="307">
        <v>3745</v>
      </c>
      <c r="F49" s="307">
        <v>11</v>
      </c>
      <c r="G49" s="326">
        <v>16</v>
      </c>
      <c r="H49" s="310">
        <f>Tabela1[[#This Row],[PESO UNI]]*Tabela1[[#This Row],[QTE]]</f>
        <v>2112</v>
      </c>
      <c r="I49" s="307">
        <v>0</v>
      </c>
      <c r="J49" s="311" t="s">
        <v>3045</v>
      </c>
      <c r="K49" s="311" t="s">
        <v>23</v>
      </c>
      <c r="L49" s="312" t="s">
        <v>2984</v>
      </c>
      <c r="M49" s="313">
        <v>46176</v>
      </c>
      <c r="N49" s="311" t="s">
        <v>38</v>
      </c>
      <c r="O49" s="314"/>
      <c r="P49" s="315"/>
      <c r="Q49" s="14">
        <f>Tabela1[[#This Row],[QTDE/ Fabricação]]-Tabela1[[#This Row],[QTE]]</f>
        <v>-132</v>
      </c>
      <c r="R49" s="317">
        <f t="shared" si="11"/>
        <v>2112</v>
      </c>
      <c r="S49" s="317">
        <f t="shared" si="12"/>
        <v>2112</v>
      </c>
      <c r="T49" s="318">
        <f t="shared" si="13"/>
        <v>0</v>
      </c>
      <c r="U49" s="319">
        <f>IFERROR(SUMIF('LISTA DE EMBARQUE'!B:B,MICRO!E:E,'LISTA DE EMBARQUE'!G:G),"")</f>
        <v>132</v>
      </c>
      <c r="V49" s="314">
        <f>IFERROR(VLOOKUP(Tabela1[[#This Row],[COD.MDE]],'LISTA DE EMBARQUE'!B:L,11,0),"")</f>
        <v>2</v>
      </c>
      <c r="W49" s="315" t="str">
        <f>IFERROR(COUNTIF(#REF!,Tabela1[[#This Row],[Colunas5]]),"")</f>
        <v/>
      </c>
      <c r="X49" s="316">
        <f>Tabela1[[#This Row],[QIANTIDADE EXPEDIDA]]*Tabela1[[#This Row],[PESO UNI]]</f>
        <v>2112</v>
      </c>
      <c r="Y49" s="316">
        <f t="shared" si="14"/>
        <v>0</v>
      </c>
      <c r="Z49" s="320">
        <f>Tabela1[[#This Row],[PESO TOTAL]]-Tabela1[[#This Row],[Peso Expedido]]</f>
        <v>0</v>
      </c>
      <c r="AA49" s="321">
        <v>1</v>
      </c>
      <c r="AB49" s="322"/>
      <c r="AC49" s="322">
        <v>1</v>
      </c>
      <c r="AD49" s="322">
        <v>1</v>
      </c>
      <c r="AE49" s="322">
        <v>1</v>
      </c>
      <c r="AF49" s="322">
        <v>1</v>
      </c>
      <c r="AG49" s="322">
        <v>1</v>
      </c>
      <c r="AH49" s="322">
        <v>1</v>
      </c>
      <c r="AI49" s="32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324" t="s">
        <v>3059</v>
      </c>
      <c r="B53" s="309"/>
      <c r="C53" s="307">
        <v>4</v>
      </c>
      <c r="D53" s="325" t="s">
        <v>3060</v>
      </c>
      <c r="E53" s="307">
        <v>3749</v>
      </c>
      <c r="F53" s="307">
        <v>15</v>
      </c>
      <c r="G53" s="326">
        <v>7.2</v>
      </c>
      <c r="H53" s="310">
        <f>Tabela1[[#This Row],[PESO UNI]]*Tabela1[[#This Row],[QTE]]</f>
        <v>28.8</v>
      </c>
      <c r="I53" s="307" t="s">
        <v>3289</v>
      </c>
      <c r="J53" s="311" t="s">
        <v>3034</v>
      </c>
      <c r="K53" s="311" t="s">
        <v>31</v>
      </c>
      <c r="L53" s="312" t="s">
        <v>2984</v>
      </c>
      <c r="M53" s="313">
        <v>46178</v>
      </c>
      <c r="N53" s="311" t="s">
        <v>38</v>
      </c>
      <c r="O53" s="314"/>
      <c r="P53" s="315"/>
      <c r="Q53" s="14">
        <f>Tabela1[[#This Row],[QTDE/ Fabricação]]-Tabela1[[#This Row],[QTE]]</f>
        <v>-4</v>
      </c>
      <c r="R53" s="317">
        <f t="shared" si="11"/>
        <v>28.8</v>
      </c>
      <c r="S53" s="317">
        <f t="shared" si="12"/>
        <v>28.8</v>
      </c>
      <c r="T53" s="318">
        <f t="shared" si="13"/>
        <v>0</v>
      </c>
      <c r="U53" s="319">
        <f>IFERROR(SUMIF('LISTA DE EMBARQUE'!B:B,MICRO!E:E,'LISTA DE EMBARQUE'!G:G),"")</f>
        <v>4</v>
      </c>
      <c r="V53" s="314">
        <f>IFERROR(VLOOKUP(Tabela1[[#This Row],[COD.MDE]],'LISTA DE EMBARQUE'!B:L,11,0),"")</f>
        <v>3</v>
      </c>
      <c r="W53" s="315" t="str">
        <f>IFERROR(COUNTIF(#REF!,Tabela1[[#This Row],[Colunas5]]),"")</f>
        <v/>
      </c>
      <c r="X53" s="316">
        <f>Tabela1[[#This Row],[QIANTIDADE EXPEDIDA]]*Tabela1[[#This Row],[PESO UNI]]</f>
        <v>28.8</v>
      </c>
      <c r="Y53" s="316">
        <f t="shared" si="14"/>
        <v>0</v>
      </c>
      <c r="Z53" s="320">
        <f>Tabela1[[#This Row],[PESO TOTAL]]-Tabela1[[#This Row],[Peso Expedido]]</f>
        <v>0</v>
      </c>
      <c r="AA53" s="321">
        <v>1</v>
      </c>
      <c r="AB53" s="322"/>
      <c r="AC53" s="322">
        <v>1</v>
      </c>
      <c r="AD53" s="322">
        <v>1</v>
      </c>
      <c r="AE53" s="322">
        <v>1</v>
      </c>
      <c r="AF53" s="322">
        <v>1</v>
      </c>
      <c r="AG53" s="322">
        <v>1</v>
      </c>
      <c r="AH53" s="322">
        <v>1</v>
      </c>
      <c r="AI53" s="32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324" t="s">
        <v>3059</v>
      </c>
      <c r="B54" s="309"/>
      <c r="C54" s="307">
        <v>1</v>
      </c>
      <c r="D54" s="325" t="s">
        <v>3061</v>
      </c>
      <c r="E54" s="307">
        <v>3750</v>
      </c>
      <c r="F54" s="307">
        <v>15</v>
      </c>
      <c r="G54" s="326">
        <v>520</v>
      </c>
      <c r="H54" s="310">
        <f>Tabela1[[#This Row],[PESO UNI]]*Tabela1[[#This Row],[QTE]]</f>
        <v>520</v>
      </c>
      <c r="I54" s="307" t="s">
        <v>3289</v>
      </c>
      <c r="J54" s="311" t="s">
        <v>3034</v>
      </c>
      <c r="K54" s="311" t="s">
        <v>31</v>
      </c>
      <c r="L54" s="312" t="s">
        <v>2984</v>
      </c>
      <c r="M54" s="313">
        <v>46178</v>
      </c>
      <c r="N54" s="311" t="s">
        <v>38</v>
      </c>
      <c r="O54" s="314"/>
      <c r="P54" s="315"/>
      <c r="Q54" s="14">
        <f>Tabela1[[#This Row],[QTDE/ Fabricação]]-Tabela1[[#This Row],[QTE]]</f>
        <v>-1</v>
      </c>
      <c r="R54" s="317">
        <f t="shared" si="11"/>
        <v>520</v>
      </c>
      <c r="S54" s="317">
        <f t="shared" si="12"/>
        <v>520</v>
      </c>
      <c r="T54" s="318">
        <f t="shared" si="13"/>
        <v>0</v>
      </c>
      <c r="U54" s="319">
        <f>IFERROR(SUMIF('LISTA DE EMBARQUE'!B:B,MICRO!E:E,'LISTA DE EMBARQUE'!G:G),"")</f>
        <v>1</v>
      </c>
      <c r="V54" s="314">
        <f>IFERROR(VLOOKUP(Tabela1[[#This Row],[COD.MDE]],'LISTA DE EMBARQUE'!B:L,11,0),"")</f>
        <v>5</v>
      </c>
      <c r="W54" s="315" t="str">
        <f>IFERROR(COUNTIF(#REF!,Tabela1[[#This Row],[Colunas5]]),"")</f>
        <v/>
      </c>
      <c r="X54" s="316">
        <f>Tabela1[[#This Row],[QIANTIDADE EXPEDIDA]]*Tabela1[[#This Row],[PESO UNI]]</f>
        <v>520</v>
      </c>
      <c r="Y54" s="316">
        <f t="shared" si="14"/>
        <v>0</v>
      </c>
      <c r="Z54" s="320">
        <f>Tabela1[[#This Row],[PESO TOTAL]]-Tabela1[[#This Row],[Peso Expedido]]</f>
        <v>0</v>
      </c>
      <c r="AA54" s="321">
        <v>1</v>
      </c>
      <c r="AB54" s="322"/>
      <c r="AC54" s="322">
        <v>1</v>
      </c>
      <c r="AD54" s="322">
        <v>1</v>
      </c>
      <c r="AE54" s="322">
        <v>1</v>
      </c>
      <c r="AF54" s="322">
        <v>1</v>
      </c>
      <c r="AG54" s="322">
        <v>1</v>
      </c>
      <c r="AH54" s="322">
        <v>1</v>
      </c>
      <c r="AI54" s="32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324" t="s">
        <v>3059</v>
      </c>
      <c r="B55" s="309"/>
      <c r="C55" s="307">
        <v>2</v>
      </c>
      <c r="D55" s="325" t="s">
        <v>3062</v>
      </c>
      <c r="E55" s="307">
        <v>3751</v>
      </c>
      <c r="F55" s="307">
        <v>15</v>
      </c>
      <c r="G55" s="326">
        <v>8.4</v>
      </c>
      <c r="H55" s="310">
        <f>Tabela1[[#This Row],[PESO UNI]]*Tabela1[[#This Row],[QTE]]</f>
        <v>16.8</v>
      </c>
      <c r="I55" s="307" t="s">
        <v>3289</v>
      </c>
      <c r="J55" s="311" t="s">
        <v>3034</v>
      </c>
      <c r="K55" s="311" t="s">
        <v>31</v>
      </c>
      <c r="L55" s="312" t="s">
        <v>2984</v>
      </c>
      <c r="M55" s="313">
        <v>46178</v>
      </c>
      <c r="N55" s="311" t="s">
        <v>38</v>
      </c>
      <c r="O55" s="314"/>
      <c r="P55" s="315"/>
      <c r="Q55" s="14">
        <f>Tabela1[[#This Row],[QTDE/ Fabricação]]-Tabela1[[#This Row],[QTE]]</f>
        <v>-2</v>
      </c>
      <c r="R55" s="317">
        <f t="shared" si="11"/>
        <v>16.8</v>
      </c>
      <c r="S55" s="317">
        <f t="shared" si="12"/>
        <v>16.8</v>
      </c>
      <c r="T55" s="318">
        <f t="shared" si="13"/>
        <v>0</v>
      </c>
      <c r="U55" s="319">
        <f>IFERROR(SUMIF('LISTA DE EMBARQUE'!B:B,MICRO!E:E,'LISTA DE EMBARQUE'!G:G),"")</f>
        <v>2</v>
      </c>
      <c r="V55" s="314">
        <f>IFERROR(VLOOKUP(Tabela1[[#This Row],[COD.MDE]],'LISTA DE EMBARQUE'!B:L,11,0),"")</f>
        <v>5</v>
      </c>
      <c r="W55" s="315" t="str">
        <f>IFERROR(COUNTIF(#REF!,Tabela1[[#This Row],[Colunas5]]),"")</f>
        <v/>
      </c>
      <c r="X55" s="316">
        <f>Tabela1[[#This Row],[QIANTIDADE EXPEDIDA]]*Tabela1[[#This Row],[PESO UNI]]</f>
        <v>16.8</v>
      </c>
      <c r="Y55" s="316">
        <f t="shared" si="14"/>
        <v>0</v>
      </c>
      <c r="Z55" s="320">
        <f>Tabela1[[#This Row],[PESO TOTAL]]-Tabela1[[#This Row],[Peso Expedido]]</f>
        <v>0</v>
      </c>
      <c r="AA55" s="321">
        <v>1</v>
      </c>
      <c r="AB55" s="322"/>
      <c r="AC55" s="322">
        <v>1</v>
      </c>
      <c r="AD55" s="322">
        <v>1</v>
      </c>
      <c r="AE55" s="322">
        <v>1</v>
      </c>
      <c r="AF55" s="322">
        <v>1</v>
      </c>
      <c r="AG55" s="322">
        <v>1</v>
      </c>
      <c r="AH55" s="322">
        <v>1</v>
      </c>
      <c r="AI55" s="32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324" t="s">
        <v>3063</v>
      </c>
      <c r="B56" s="309"/>
      <c r="C56" s="307">
        <v>4</v>
      </c>
      <c r="D56" s="325" t="s">
        <v>3064</v>
      </c>
      <c r="E56" s="307">
        <v>3752</v>
      </c>
      <c r="F56" s="307">
        <v>10</v>
      </c>
      <c r="G56" s="326">
        <v>2.7</v>
      </c>
      <c r="H56" s="310">
        <f>Tabela1[[#This Row],[PESO UNI]]*Tabela1[[#This Row],[QTE]]</f>
        <v>10.8</v>
      </c>
      <c r="I56" s="307" t="s">
        <v>4843</v>
      </c>
      <c r="J56" s="311" t="s">
        <v>3045</v>
      </c>
      <c r="K56" s="311" t="s">
        <v>33</v>
      </c>
      <c r="L56" s="312" t="s">
        <v>2984</v>
      </c>
      <c r="M56" s="313">
        <v>46175</v>
      </c>
      <c r="N56" s="311" t="s">
        <v>38</v>
      </c>
      <c r="O56" s="314"/>
      <c r="P56" s="315"/>
      <c r="Q56" s="14">
        <f>Tabela1[[#This Row],[QTDE/ Fabricação]]-Tabela1[[#This Row],[QTE]]</f>
        <v>-4</v>
      </c>
      <c r="R56" s="317">
        <f t="shared" si="11"/>
        <v>10.8</v>
      </c>
      <c r="S56" s="317">
        <f t="shared" si="12"/>
        <v>10.8</v>
      </c>
      <c r="T56" s="318">
        <f t="shared" si="13"/>
        <v>0</v>
      </c>
      <c r="U56" s="319">
        <f>IFERROR(SUMIF('LISTA DE EMBARQUE'!B:B,MICRO!E:E,'LISTA DE EMBARQUE'!G:G),"")</f>
        <v>4</v>
      </c>
      <c r="V56" s="314">
        <f>IFERROR(VLOOKUP(Tabela1[[#This Row],[COD.MDE]],'LISTA DE EMBARQUE'!B:L,11,0),"")</f>
        <v>1</v>
      </c>
      <c r="W56" s="315" t="str">
        <f>IFERROR(COUNTIF(#REF!,Tabela1[[#This Row],[Colunas5]]),"")</f>
        <v/>
      </c>
      <c r="X56" s="316">
        <f>Tabela1[[#This Row],[QIANTIDADE EXPEDIDA]]*Tabela1[[#This Row],[PESO UNI]]</f>
        <v>10.8</v>
      </c>
      <c r="Y56" s="316">
        <f t="shared" si="14"/>
        <v>0</v>
      </c>
      <c r="Z56" s="320">
        <f>Tabela1[[#This Row],[PESO TOTAL]]-Tabela1[[#This Row],[Peso Expedido]]</f>
        <v>0</v>
      </c>
      <c r="AA56" s="321">
        <v>1</v>
      </c>
      <c r="AB56" s="322"/>
      <c r="AC56" s="322">
        <v>1</v>
      </c>
      <c r="AD56" s="322">
        <v>1</v>
      </c>
      <c r="AE56" s="322">
        <v>1</v>
      </c>
      <c r="AF56" s="322">
        <v>1</v>
      </c>
      <c r="AG56" s="322">
        <v>1</v>
      </c>
      <c r="AH56" s="322">
        <v>1</v>
      </c>
      <c r="AI56" s="32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324" t="s">
        <v>3065</v>
      </c>
      <c r="B57" s="309"/>
      <c r="C57" s="307">
        <v>1</v>
      </c>
      <c r="D57" s="325" t="s">
        <v>3066</v>
      </c>
      <c r="E57" s="307">
        <v>3753</v>
      </c>
      <c r="F57" s="307">
        <v>10</v>
      </c>
      <c r="G57" s="326">
        <v>41.9</v>
      </c>
      <c r="H57" s="310">
        <f>Tabela1[[#This Row],[PESO UNI]]*Tabela1[[#This Row],[QTE]]</f>
        <v>41.9</v>
      </c>
      <c r="I57" s="307" t="s">
        <v>4840</v>
      </c>
      <c r="J57" s="311" t="s">
        <v>3045</v>
      </c>
      <c r="K57" s="311" t="s">
        <v>33</v>
      </c>
      <c r="L57" s="312" t="s">
        <v>2984</v>
      </c>
      <c r="M57" s="313">
        <v>46175</v>
      </c>
      <c r="N57" s="311" t="s">
        <v>38</v>
      </c>
      <c r="O57" s="314"/>
      <c r="P57" s="315"/>
      <c r="Q57" s="14">
        <f>Tabela1[[#This Row],[QTDE/ Fabricação]]-Tabela1[[#This Row],[QTE]]</f>
        <v>-1</v>
      </c>
      <c r="R57" s="317">
        <f t="shared" si="11"/>
        <v>41.9</v>
      </c>
      <c r="S57" s="317">
        <f t="shared" si="12"/>
        <v>41.9</v>
      </c>
      <c r="T57" s="318">
        <f t="shared" si="13"/>
        <v>0</v>
      </c>
      <c r="U57" s="319">
        <f>IFERROR(SUMIF('LISTA DE EMBARQUE'!B:B,MICRO!E:E,'LISTA DE EMBARQUE'!G:G),"")</f>
        <v>1</v>
      </c>
      <c r="V57" s="314">
        <f>IFERROR(VLOOKUP(Tabela1[[#This Row],[COD.MDE]],'LISTA DE EMBARQUE'!B:L,11,0),"")</f>
        <v>2</v>
      </c>
      <c r="W57" s="315" t="str">
        <f>IFERROR(COUNTIF(#REF!,Tabela1[[#This Row],[Colunas5]]),"")</f>
        <v/>
      </c>
      <c r="X57" s="316">
        <f>Tabela1[[#This Row],[QIANTIDADE EXPEDIDA]]*Tabela1[[#This Row],[PESO UNI]]</f>
        <v>41.9</v>
      </c>
      <c r="Y57" s="316">
        <f t="shared" si="14"/>
        <v>0</v>
      </c>
      <c r="Z57" s="320">
        <f>Tabela1[[#This Row],[PESO TOTAL]]-Tabela1[[#This Row],[Peso Expedido]]</f>
        <v>0</v>
      </c>
      <c r="AA57" s="321">
        <v>1</v>
      </c>
      <c r="AB57" s="322"/>
      <c r="AC57" s="322">
        <v>1</v>
      </c>
      <c r="AD57" s="322">
        <v>1</v>
      </c>
      <c r="AE57" s="322">
        <v>1</v>
      </c>
      <c r="AF57" s="322">
        <v>1</v>
      </c>
      <c r="AG57" s="322">
        <v>1</v>
      </c>
      <c r="AH57" s="322">
        <v>1</v>
      </c>
      <c r="AI57" s="32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324" t="s">
        <v>3067</v>
      </c>
      <c r="B58" s="309"/>
      <c r="C58" s="307">
        <v>1</v>
      </c>
      <c r="D58" s="325" t="s">
        <v>3071</v>
      </c>
      <c r="E58" s="307">
        <v>3754</v>
      </c>
      <c r="F58" s="307">
        <v>10</v>
      </c>
      <c r="G58" s="326">
        <v>54</v>
      </c>
      <c r="H58" s="310">
        <f>Tabela1[[#This Row],[PESO UNI]]*Tabela1[[#This Row],[QTE]]</f>
        <v>54</v>
      </c>
      <c r="I58" s="307" t="s">
        <v>3289</v>
      </c>
      <c r="J58" s="311" t="s">
        <v>3045</v>
      </c>
      <c r="K58" s="311" t="s">
        <v>33</v>
      </c>
      <c r="L58" s="312" t="s">
        <v>2984</v>
      </c>
      <c r="M58" s="313">
        <v>46175</v>
      </c>
      <c r="N58" s="311" t="s">
        <v>38</v>
      </c>
      <c r="O58" s="314"/>
      <c r="P58" s="315"/>
      <c r="Q58" s="14">
        <f>Tabela1[[#This Row],[QTDE/ Fabricação]]-Tabela1[[#This Row],[QTE]]</f>
        <v>-1</v>
      </c>
      <c r="R58" s="317">
        <f t="shared" si="11"/>
        <v>54</v>
      </c>
      <c r="S58" s="317">
        <f t="shared" si="12"/>
        <v>54</v>
      </c>
      <c r="T58" s="318">
        <f t="shared" si="13"/>
        <v>0</v>
      </c>
      <c r="U58" s="319">
        <f>IFERROR(SUMIF('LISTA DE EMBARQUE'!B:B,MICRO!E:E,'LISTA DE EMBARQUE'!G:G),"")</f>
        <v>1</v>
      </c>
      <c r="V58" s="314">
        <f>IFERROR(VLOOKUP(Tabela1[[#This Row],[COD.MDE]],'LISTA DE EMBARQUE'!B:L,11,0),"")</f>
        <v>2</v>
      </c>
      <c r="W58" s="315" t="str">
        <f>IFERROR(COUNTIF(#REF!,Tabela1[[#This Row],[Colunas5]]),"")</f>
        <v/>
      </c>
      <c r="X58" s="316">
        <f>Tabela1[[#This Row],[QIANTIDADE EXPEDIDA]]*Tabela1[[#This Row],[PESO UNI]]</f>
        <v>54</v>
      </c>
      <c r="Y58" s="316">
        <f t="shared" si="14"/>
        <v>0</v>
      </c>
      <c r="Z58" s="320">
        <f>Tabela1[[#This Row],[PESO TOTAL]]-Tabela1[[#This Row],[Peso Expedido]]</f>
        <v>0</v>
      </c>
      <c r="AA58" s="321">
        <v>1</v>
      </c>
      <c r="AB58" s="322"/>
      <c r="AC58" s="322">
        <v>1</v>
      </c>
      <c r="AD58" s="322">
        <v>1</v>
      </c>
      <c r="AE58" s="322">
        <v>1</v>
      </c>
      <c r="AF58" s="322">
        <v>1</v>
      </c>
      <c r="AG58" s="322">
        <v>1</v>
      </c>
      <c r="AH58" s="322">
        <v>1</v>
      </c>
      <c r="AI58" s="32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324" t="s">
        <v>3068</v>
      </c>
      <c r="B59" s="309"/>
      <c r="C59" s="307">
        <v>2</v>
      </c>
      <c r="D59" s="325" t="s">
        <v>3069</v>
      </c>
      <c r="E59" s="307">
        <v>3755</v>
      </c>
      <c r="F59" s="307">
        <v>10</v>
      </c>
      <c r="G59" s="326">
        <v>47.6</v>
      </c>
      <c r="H59" s="310">
        <f>Tabela1[[#This Row],[PESO UNI]]*Tabela1[[#This Row],[QTE]]</f>
        <v>95.2</v>
      </c>
      <c r="I59" s="307">
        <v>0</v>
      </c>
      <c r="J59" s="311" t="s">
        <v>3045</v>
      </c>
      <c r="K59" s="311" t="s">
        <v>33</v>
      </c>
      <c r="L59" s="312" t="s">
        <v>2984</v>
      </c>
      <c r="M59" s="313">
        <v>46175</v>
      </c>
      <c r="N59" s="311" t="s">
        <v>38</v>
      </c>
      <c r="O59" s="314"/>
      <c r="P59" s="315"/>
      <c r="Q59" s="14">
        <f>Tabela1[[#This Row],[QTDE/ Fabricação]]-Tabela1[[#This Row],[QTE]]</f>
        <v>-2</v>
      </c>
      <c r="R59" s="317">
        <f t="shared" si="11"/>
        <v>95.2</v>
      </c>
      <c r="S59" s="317">
        <f t="shared" si="12"/>
        <v>95.2</v>
      </c>
      <c r="T59" s="318">
        <f t="shared" si="13"/>
        <v>0</v>
      </c>
      <c r="U59" s="319">
        <f>IFERROR(SUMIF('LISTA DE EMBARQUE'!B:B,MICRO!E:E,'LISTA DE EMBARQUE'!G:G),"")</f>
        <v>2</v>
      </c>
      <c r="V59" s="314">
        <f>IFERROR(VLOOKUP(Tabela1[[#This Row],[COD.MDE]],'LISTA DE EMBARQUE'!B:L,11,0),"")</f>
        <v>1</v>
      </c>
      <c r="W59" s="315" t="str">
        <f>IFERROR(COUNTIF(#REF!,Tabela1[[#This Row],[Colunas5]]),"")</f>
        <v/>
      </c>
      <c r="X59" s="316">
        <f>Tabela1[[#This Row],[QIANTIDADE EXPEDIDA]]*Tabela1[[#This Row],[PESO UNI]]</f>
        <v>95.2</v>
      </c>
      <c r="Y59" s="316">
        <f t="shared" si="14"/>
        <v>0</v>
      </c>
      <c r="Z59" s="320">
        <f>Tabela1[[#This Row],[PESO TOTAL]]-Tabela1[[#This Row],[Peso Expedido]]</f>
        <v>0</v>
      </c>
      <c r="AA59" s="321">
        <v>1</v>
      </c>
      <c r="AB59" s="322"/>
      <c r="AC59" s="322">
        <v>1</v>
      </c>
      <c r="AD59" s="322">
        <v>1</v>
      </c>
      <c r="AE59" s="322">
        <v>1</v>
      </c>
      <c r="AF59" s="322">
        <v>1</v>
      </c>
      <c r="AG59" s="322">
        <v>1</v>
      </c>
      <c r="AH59" s="322">
        <v>1</v>
      </c>
      <c r="AI59" s="32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324" t="s">
        <v>3070</v>
      </c>
      <c r="B60" s="309"/>
      <c r="C60" s="307">
        <v>45</v>
      </c>
      <c r="D60" s="325" t="s">
        <v>3072</v>
      </c>
      <c r="E60" s="307">
        <v>3756</v>
      </c>
      <c r="F60" s="307">
        <v>10</v>
      </c>
      <c r="G60" s="326">
        <v>47.6</v>
      </c>
      <c r="H60" s="310">
        <f>Tabela1[[#This Row],[PESO UNI]]*Tabela1[[#This Row],[QTE]]</f>
        <v>2142</v>
      </c>
      <c r="I60" s="307">
        <v>0</v>
      </c>
      <c r="J60" s="311" t="s">
        <v>3045</v>
      </c>
      <c r="K60" s="311" t="s">
        <v>33</v>
      </c>
      <c r="L60" s="312" t="s">
        <v>2984</v>
      </c>
      <c r="M60" s="313">
        <v>46175</v>
      </c>
      <c r="N60" s="311" t="s">
        <v>38</v>
      </c>
      <c r="O60" s="314"/>
      <c r="P60" s="315"/>
      <c r="Q60" s="14">
        <f>Tabela1[[#This Row],[QTDE/ Fabricação]]-Tabela1[[#This Row],[QTE]]</f>
        <v>-45</v>
      </c>
      <c r="R60" s="317">
        <f t="shared" si="11"/>
        <v>2142</v>
      </c>
      <c r="S60" s="317">
        <f t="shared" si="12"/>
        <v>2142</v>
      </c>
      <c r="T60" s="318">
        <f t="shared" si="13"/>
        <v>0</v>
      </c>
      <c r="U60" s="319">
        <f>IFERROR(SUMIF('LISTA DE EMBARQUE'!B:B,MICRO!E:E,'LISTA DE EMBARQUE'!G:G),"")</f>
        <v>45</v>
      </c>
      <c r="V60" s="314">
        <f>IFERROR(VLOOKUP(Tabela1[[#This Row],[COD.MDE]],'LISTA DE EMBARQUE'!B:L,11,0),"")</f>
        <v>1</v>
      </c>
      <c r="W60" s="315" t="str">
        <f>IFERROR(COUNTIF(#REF!,Tabela1[[#This Row],[Colunas5]]),"")</f>
        <v/>
      </c>
      <c r="X60" s="316">
        <f>Tabela1[[#This Row],[QIANTIDADE EXPEDIDA]]*Tabela1[[#This Row],[PESO UNI]]</f>
        <v>2142</v>
      </c>
      <c r="Y60" s="316">
        <f t="shared" si="14"/>
        <v>0</v>
      </c>
      <c r="Z60" s="320">
        <f>Tabela1[[#This Row],[PESO TOTAL]]-Tabela1[[#This Row],[Peso Expedido]]</f>
        <v>0</v>
      </c>
      <c r="AA60" s="321">
        <v>1</v>
      </c>
      <c r="AB60" s="322"/>
      <c r="AC60" s="322">
        <v>1</v>
      </c>
      <c r="AD60" s="322">
        <v>1</v>
      </c>
      <c r="AE60" s="322">
        <v>1</v>
      </c>
      <c r="AF60" s="322">
        <v>1</v>
      </c>
      <c r="AG60" s="322">
        <v>1</v>
      </c>
      <c r="AH60" s="322">
        <v>1</v>
      </c>
      <c r="AI60" s="32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324" t="s">
        <v>3073</v>
      </c>
      <c r="B61" s="309"/>
      <c r="C61" s="307">
        <v>11</v>
      </c>
      <c r="D61" s="325" t="s">
        <v>3074</v>
      </c>
      <c r="E61" s="307">
        <v>3757</v>
      </c>
      <c r="F61" s="307">
        <v>10</v>
      </c>
      <c r="G61" s="326">
        <v>53.8</v>
      </c>
      <c r="H61" s="310">
        <f>Tabela1[[#This Row],[PESO UNI]]*Tabela1[[#This Row],[QTE]]</f>
        <v>591.79999999999995</v>
      </c>
      <c r="I61" s="307">
        <v>0</v>
      </c>
      <c r="J61" s="311" t="s">
        <v>3045</v>
      </c>
      <c r="K61" s="311" t="s">
        <v>33</v>
      </c>
      <c r="L61" s="312" t="s">
        <v>2984</v>
      </c>
      <c r="M61" s="313">
        <v>46175</v>
      </c>
      <c r="N61" s="311" t="s">
        <v>38</v>
      </c>
      <c r="O61" s="314"/>
      <c r="P61" s="315"/>
      <c r="Q61" s="14">
        <f>Tabela1[[#This Row],[QTDE/ Fabricação]]-Tabela1[[#This Row],[QTE]]</f>
        <v>-11</v>
      </c>
      <c r="R61" s="317">
        <f t="shared" si="11"/>
        <v>591.79999999999995</v>
      </c>
      <c r="S61" s="317">
        <f t="shared" si="12"/>
        <v>591.79999999999995</v>
      </c>
      <c r="T61" s="318">
        <f t="shared" si="13"/>
        <v>0</v>
      </c>
      <c r="U61" s="319">
        <f>IFERROR(SUMIF('LISTA DE EMBARQUE'!B:B,MICRO!E:E,'LISTA DE EMBARQUE'!G:G),"")</f>
        <v>11</v>
      </c>
      <c r="V61" s="314">
        <f>IFERROR(VLOOKUP(Tabela1[[#This Row],[COD.MDE]],'LISTA DE EMBARQUE'!B:L,11,0),"")</f>
        <v>1</v>
      </c>
      <c r="W61" s="315" t="str">
        <f>IFERROR(COUNTIF(#REF!,Tabela1[[#This Row],[Colunas5]]),"")</f>
        <v/>
      </c>
      <c r="X61" s="316">
        <f>Tabela1[[#This Row],[QIANTIDADE EXPEDIDA]]*Tabela1[[#This Row],[PESO UNI]]</f>
        <v>591.79999999999995</v>
      </c>
      <c r="Y61" s="316">
        <f t="shared" si="14"/>
        <v>0</v>
      </c>
      <c r="Z61" s="320">
        <f>Tabela1[[#This Row],[PESO TOTAL]]-Tabela1[[#This Row],[Peso Expedido]]</f>
        <v>0</v>
      </c>
      <c r="AA61" s="321">
        <v>1</v>
      </c>
      <c r="AB61" s="322"/>
      <c r="AC61" s="322">
        <v>1</v>
      </c>
      <c r="AD61" s="322">
        <v>1</v>
      </c>
      <c r="AE61" s="322">
        <v>1</v>
      </c>
      <c r="AF61" s="322">
        <v>1</v>
      </c>
      <c r="AG61" s="322">
        <v>1</v>
      </c>
      <c r="AH61" s="322">
        <v>1</v>
      </c>
      <c r="AI61" s="32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324" t="s">
        <v>3075</v>
      </c>
      <c r="B62" s="309"/>
      <c r="C62" s="307">
        <v>15</v>
      </c>
      <c r="D62" s="325" t="s">
        <v>3076</v>
      </c>
      <c r="E62" s="307">
        <v>3758</v>
      </c>
      <c r="F62" s="307">
        <v>10</v>
      </c>
      <c r="G62" s="326">
        <v>26.3</v>
      </c>
      <c r="H62" s="310">
        <f>Tabela1[[#This Row],[PESO UNI]]*Tabela1[[#This Row],[QTE]]</f>
        <v>394.5</v>
      </c>
      <c r="I62" s="307">
        <v>0</v>
      </c>
      <c r="J62" s="311" t="s">
        <v>3045</v>
      </c>
      <c r="K62" s="311" t="s">
        <v>33</v>
      </c>
      <c r="L62" s="312" t="s">
        <v>2984</v>
      </c>
      <c r="M62" s="313">
        <v>46175</v>
      </c>
      <c r="N62" s="311" t="s">
        <v>38</v>
      </c>
      <c r="O62" s="314"/>
      <c r="P62" s="315"/>
      <c r="Q62" s="14">
        <f>Tabela1[[#This Row],[QTDE/ Fabricação]]-Tabela1[[#This Row],[QTE]]</f>
        <v>-15</v>
      </c>
      <c r="R62" s="317">
        <f t="shared" si="11"/>
        <v>394.5</v>
      </c>
      <c r="S62" s="317">
        <f t="shared" si="12"/>
        <v>394.5</v>
      </c>
      <c r="T62" s="318">
        <f t="shared" si="13"/>
        <v>0</v>
      </c>
      <c r="U62" s="319">
        <f>IFERROR(SUMIF('LISTA DE EMBARQUE'!B:B,MICRO!E:E,'LISTA DE EMBARQUE'!G:G),"")</f>
        <v>15</v>
      </c>
      <c r="V62" s="314">
        <f>IFERROR(VLOOKUP(Tabela1[[#This Row],[COD.MDE]],'LISTA DE EMBARQUE'!B:L,11,0),"")</f>
        <v>1</v>
      </c>
      <c r="W62" s="315" t="str">
        <f>IFERROR(COUNTIF(#REF!,Tabela1[[#This Row],[Colunas5]]),"")</f>
        <v/>
      </c>
      <c r="X62" s="316">
        <f>Tabela1[[#This Row],[QIANTIDADE EXPEDIDA]]*Tabela1[[#This Row],[PESO UNI]]</f>
        <v>394.5</v>
      </c>
      <c r="Y62" s="316">
        <f t="shared" si="14"/>
        <v>0</v>
      </c>
      <c r="Z62" s="320">
        <f>Tabela1[[#This Row],[PESO TOTAL]]-Tabela1[[#This Row],[Peso Expedido]]</f>
        <v>0</v>
      </c>
      <c r="AA62" s="321">
        <v>1</v>
      </c>
      <c r="AB62" s="322"/>
      <c r="AC62" s="322">
        <v>1</v>
      </c>
      <c r="AD62" s="322">
        <v>1</v>
      </c>
      <c r="AE62" s="322">
        <v>1</v>
      </c>
      <c r="AF62" s="322">
        <v>1</v>
      </c>
      <c r="AG62" s="322">
        <v>1</v>
      </c>
      <c r="AH62" s="322">
        <v>1</v>
      </c>
      <c r="AI62" s="32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324" t="s">
        <v>3077</v>
      </c>
      <c r="B63" s="309"/>
      <c r="C63" s="307">
        <v>2</v>
      </c>
      <c r="D63" s="325" t="s">
        <v>3078</v>
      </c>
      <c r="E63" s="307">
        <v>3759</v>
      </c>
      <c r="F63" s="307">
        <v>10</v>
      </c>
      <c r="G63" s="326">
        <v>59.1</v>
      </c>
      <c r="H63" s="310">
        <f>Tabela1[[#This Row],[PESO UNI]]*Tabela1[[#This Row],[QTE]]</f>
        <v>118.2</v>
      </c>
      <c r="I63" s="307">
        <v>0</v>
      </c>
      <c r="J63" s="311" t="s">
        <v>3045</v>
      </c>
      <c r="K63" s="311" t="s">
        <v>33</v>
      </c>
      <c r="L63" s="312" t="s">
        <v>2984</v>
      </c>
      <c r="M63" s="313">
        <v>46175</v>
      </c>
      <c r="N63" s="311" t="s">
        <v>38</v>
      </c>
      <c r="O63" s="314"/>
      <c r="P63" s="315"/>
      <c r="Q63" s="14">
        <f>Tabela1[[#This Row],[QTDE/ Fabricação]]-Tabela1[[#This Row],[QTE]]</f>
        <v>-2</v>
      </c>
      <c r="R63" s="317">
        <f t="shared" si="11"/>
        <v>118.2</v>
      </c>
      <c r="S63" s="317">
        <f t="shared" si="12"/>
        <v>118.2</v>
      </c>
      <c r="T63" s="318">
        <f t="shared" si="13"/>
        <v>0</v>
      </c>
      <c r="U63" s="319">
        <f>IFERROR(SUMIF('LISTA DE EMBARQUE'!B:B,MICRO!E:E,'LISTA DE EMBARQUE'!G:G),"")</f>
        <v>2</v>
      </c>
      <c r="V63" s="314">
        <f>IFERROR(VLOOKUP(Tabela1[[#This Row],[COD.MDE]],'LISTA DE EMBARQUE'!B:L,11,0),"")</f>
        <v>2</v>
      </c>
      <c r="W63" s="315" t="str">
        <f>IFERROR(COUNTIF(#REF!,Tabela1[[#This Row],[Colunas5]]),"")</f>
        <v/>
      </c>
      <c r="X63" s="316">
        <f>Tabela1[[#This Row],[QIANTIDADE EXPEDIDA]]*Tabela1[[#This Row],[PESO UNI]]</f>
        <v>118.2</v>
      </c>
      <c r="Y63" s="316">
        <f t="shared" si="14"/>
        <v>0</v>
      </c>
      <c r="Z63" s="320">
        <f>Tabela1[[#This Row],[PESO TOTAL]]-Tabela1[[#This Row],[Peso Expedido]]</f>
        <v>0</v>
      </c>
      <c r="AA63" s="321">
        <v>1</v>
      </c>
      <c r="AB63" s="322"/>
      <c r="AC63" s="322">
        <v>1</v>
      </c>
      <c r="AD63" s="322">
        <v>1</v>
      </c>
      <c r="AE63" s="322">
        <v>1</v>
      </c>
      <c r="AF63" s="322">
        <v>1</v>
      </c>
      <c r="AG63" s="322">
        <v>1</v>
      </c>
      <c r="AH63" s="322">
        <v>1</v>
      </c>
      <c r="AI63" s="32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324" t="s">
        <v>3079</v>
      </c>
      <c r="B64" s="309"/>
      <c r="C64" s="307">
        <v>1</v>
      </c>
      <c r="D64" s="325" t="s">
        <v>3080</v>
      </c>
      <c r="E64" s="307">
        <v>3760</v>
      </c>
      <c r="F64" s="307">
        <v>9</v>
      </c>
      <c r="G64" s="326">
        <v>53.8</v>
      </c>
      <c r="H64" s="310">
        <f>Tabela1[[#This Row],[PESO UNI]]*Tabela1[[#This Row],[QTE]]</f>
        <v>53.8</v>
      </c>
      <c r="I64" s="307">
        <v>0</v>
      </c>
      <c r="J64" s="311" t="s">
        <v>3034</v>
      </c>
      <c r="K64" s="311" t="s">
        <v>33</v>
      </c>
      <c r="L64" s="312" t="s">
        <v>2984</v>
      </c>
      <c r="M64" s="313">
        <v>46175</v>
      </c>
      <c r="N64" s="311" t="s">
        <v>38</v>
      </c>
      <c r="O64" s="314"/>
      <c r="P64" s="315"/>
      <c r="Q64" s="14">
        <f>Tabela1[[#This Row],[QTDE/ Fabricação]]-Tabela1[[#This Row],[QTE]]</f>
        <v>-1</v>
      </c>
      <c r="R64" s="317">
        <f t="shared" si="11"/>
        <v>53.8</v>
      </c>
      <c r="S64" s="317">
        <f t="shared" si="12"/>
        <v>53.8</v>
      </c>
      <c r="T64" s="318">
        <f t="shared" si="13"/>
        <v>0</v>
      </c>
      <c r="U64" s="319">
        <f>IFERROR(SUMIF('LISTA DE EMBARQUE'!B:B,MICRO!E:E,'LISTA DE EMBARQUE'!G:G),"")</f>
        <v>1</v>
      </c>
      <c r="V64" s="314">
        <f>IFERROR(VLOOKUP(Tabela1[[#This Row],[COD.MDE]],'LISTA DE EMBARQUE'!B:L,11,0),"")</f>
        <v>2</v>
      </c>
      <c r="W64" s="315" t="str">
        <f>IFERROR(COUNTIF(#REF!,Tabela1[[#This Row],[Colunas5]]),"")</f>
        <v/>
      </c>
      <c r="X64" s="316">
        <f>Tabela1[[#This Row],[QIANTIDADE EXPEDIDA]]*Tabela1[[#This Row],[PESO UNI]]</f>
        <v>53.8</v>
      </c>
      <c r="Y64" s="316">
        <f t="shared" si="14"/>
        <v>0</v>
      </c>
      <c r="Z64" s="320">
        <f>Tabela1[[#This Row],[PESO TOTAL]]-Tabela1[[#This Row],[Peso Expedido]]</f>
        <v>0</v>
      </c>
      <c r="AA64" s="321">
        <v>1</v>
      </c>
      <c r="AB64" s="322"/>
      <c r="AC64" s="322">
        <v>1</v>
      </c>
      <c r="AD64" s="322">
        <v>1</v>
      </c>
      <c r="AE64" s="322">
        <v>1</v>
      </c>
      <c r="AF64" s="322">
        <v>1</v>
      </c>
      <c r="AG64" s="322">
        <v>1</v>
      </c>
      <c r="AH64" s="322">
        <v>1</v>
      </c>
      <c r="AI64" s="32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324" t="s">
        <v>3081</v>
      </c>
      <c r="B65" s="309"/>
      <c r="C65" s="307">
        <v>38</v>
      </c>
      <c r="D65" s="325" t="s">
        <v>3311</v>
      </c>
      <c r="E65" s="307">
        <v>3761</v>
      </c>
      <c r="F65" s="307">
        <v>9</v>
      </c>
      <c r="G65" s="326">
        <v>28</v>
      </c>
      <c r="H65" s="310">
        <f>Tabela1[[#This Row],[PESO UNI]]*Tabela1[[#This Row],[QTE]]</f>
        <v>1064</v>
      </c>
      <c r="I65" s="307">
        <v>0</v>
      </c>
      <c r="J65" s="311" t="s">
        <v>3034</v>
      </c>
      <c r="K65" s="311" t="s">
        <v>33</v>
      </c>
      <c r="L65" s="312" t="s">
        <v>2984</v>
      </c>
      <c r="M65" s="313">
        <v>46175</v>
      </c>
      <c r="N65" s="311" t="s">
        <v>38</v>
      </c>
      <c r="O65" s="314"/>
      <c r="P65" s="315"/>
      <c r="Q65" s="14">
        <f>Tabela1[[#This Row],[QTDE/ Fabricação]]-Tabela1[[#This Row],[QTE]]</f>
        <v>-38</v>
      </c>
      <c r="R65" s="317">
        <f t="shared" si="11"/>
        <v>1064</v>
      </c>
      <c r="S65" s="317">
        <f t="shared" si="12"/>
        <v>1064</v>
      </c>
      <c r="T65" s="318">
        <f t="shared" si="13"/>
        <v>0</v>
      </c>
      <c r="U65" s="319">
        <f>IFERROR(SUMIF('LISTA DE EMBARQUE'!B:B,MICRO!E:E,'LISTA DE EMBARQUE'!G:G),"")</f>
        <v>38</v>
      </c>
      <c r="V65" s="314">
        <f>IFERROR(VLOOKUP(Tabela1[[#This Row],[COD.MDE]],'LISTA DE EMBARQUE'!B:L,11,0),"")</f>
        <v>1</v>
      </c>
      <c r="W65" s="315" t="str">
        <f>IFERROR(COUNTIF(#REF!,Tabela1[[#This Row],[Colunas5]]),"")</f>
        <v/>
      </c>
      <c r="X65" s="316">
        <f>Tabela1[[#This Row],[QIANTIDADE EXPEDIDA]]*Tabela1[[#This Row],[PESO UNI]]</f>
        <v>1064</v>
      </c>
      <c r="Y65" s="316">
        <f t="shared" si="14"/>
        <v>0</v>
      </c>
      <c r="Z65" s="320">
        <f>Tabela1[[#This Row],[PESO TOTAL]]-Tabela1[[#This Row],[Peso Expedido]]</f>
        <v>0</v>
      </c>
      <c r="AA65" s="321">
        <v>1</v>
      </c>
      <c r="AB65" s="322"/>
      <c r="AC65" s="322">
        <v>1</v>
      </c>
      <c r="AD65" s="322">
        <v>1</v>
      </c>
      <c r="AE65" s="322">
        <v>1</v>
      </c>
      <c r="AF65" s="322">
        <v>1</v>
      </c>
      <c r="AG65" s="322">
        <v>1</v>
      </c>
      <c r="AH65" s="322">
        <v>1</v>
      </c>
      <c r="AI65" s="32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324" t="s">
        <v>3083</v>
      </c>
      <c r="B66" s="309"/>
      <c r="C66" s="307">
        <v>8</v>
      </c>
      <c r="D66" s="325" t="s">
        <v>3084</v>
      </c>
      <c r="E66" s="307">
        <v>3762</v>
      </c>
      <c r="F66" s="307">
        <v>9</v>
      </c>
      <c r="G66" s="326">
        <v>28.8</v>
      </c>
      <c r="H66" s="310">
        <f>Tabela1[[#This Row],[PESO UNI]]*Tabela1[[#This Row],[QTE]]</f>
        <v>230.4</v>
      </c>
      <c r="I66" s="307">
        <v>0</v>
      </c>
      <c r="J66" s="311" t="s">
        <v>3034</v>
      </c>
      <c r="K66" s="311" t="s">
        <v>33</v>
      </c>
      <c r="L66" s="312" t="s">
        <v>2984</v>
      </c>
      <c r="M66" s="313">
        <v>46175</v>
      </c>
      <c r="N66" s="311" t="s">
        <v>38</v>
      </c>
      <c r="O66" s="314"/>
      <c r="P66" s="315"/>
      <c r="Q66" s="14">
        <f>Tabela1[[#This Row],[QTDE/ Fabricação]]-Tabela1[[#This Row],[QTE]]</f>
        <v>-8</v>
      </c>
      <c r="R66" s="317">
        <f t="shared" si="11"/>
        <v>230.4</v>
      </c>
      <c r="S66" s="317">
        <f t="shared" si="12"/>
        <v>230.4</v>
      </c>
      <c r="T66" s="318">
        <f t="shared" si="13"/>
        <v>0</v>
      </c>
      <c r="U66" s="319">
        <f>IFERROR(SUMIF('LISTA DE EMBARQUE'!B:B,MICRO!E:E,'LISTA DE EMBARQUE'!G:G),"")</f>
        <v>8</v>
      </c>
      <c r="V66" s="314">
        <f>IFERROR(VLOOKUP(Tabela1[[#This Row],[COD.MDE]],'LISTA DE EMBARQUE'!B:L,11,0),"")</f>
        <v>2</v>
      </c>
      <c r="W66" s="315" t="str">
        <f>IFERROR(COUNTIF(#REF!,Tabela1[[#This Row],[Colunas5]]),"")</f>
        <v/>
      </c>
      <c r="X66" s="316">
        <f>Tabela1[[#This Row],[QIANTIDADE EXPEDIDA]]*Tabela1[[#This Row],[PESO UNI]]</f>
        <v>230.4</v>
      </c>
      <c r="Y66" s="316">
        <f t="shared" si="14"/>
        <v>0</v>
      </c>
      <c r="Z66" s="320">
        <f>Tabela1[[#This Row],[PESO TOTAL]]-Tabela1[[#This Row],[Peso Expedido]]</f>
        <v>0</v>
      </c>
      <c r="AA66" s="321">
        <v>1</v>
      </c>
      <c r="AB66" s="322"/>
      <c r="AC66" s="322">
        <v>1</v>
      </c>
      <c r="AD66" s="322">
        <v>1</v>
      </c>
      <c r="AE66" s="322">
        <v>1</v>
      </c>
      <c r="AF66" s="322">
        <v>1</v>
      </c>
      <c r="AG66" s="322">
        <v>1</v>
      </c>
      <c r="AH66" s="322">
        <v>1</v>
      </c>
      <c r="AI66" s="32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324" t="s">
        <v>3086</v>
      </c>
      <c r="B67" s="309"/>
      <c r="C67" s="307">
        <v>16</v>
      </c>
      <c r="D67" s="325" t="s">
        <v>3085</v>
      </c>
      <c r="E67" s="307">
        <v>3763</v>
      </c>
      <c r="F67" s="307">
        <v>9</v>
      </c>
      <c r="G67" s="326">
        <v>5.2</v>
      </c>
      <c r="H67" s="310">
        <f>Tabela1[[#This Row],[PESO UNI]]*Tabela1[[#This Row],[QTE]]</f>
        <v>83.2</v>
      </c>
      <c r="I67" s="307">
        <v>0</v>
      </c>
      <c r="J67" s="311" t="s">
        <v>3034</v>
      </c>
      <c r="K67" s="311" t="s">
        <v>33</v>
      </c>
      <c r="L67" s="312" t="s">
        <v>2984</v>
      </c>
      <c r="M67" s="313">
        <v>46175</v>
      </c>
      <c r="N67" s="311" t="s">
        <v>38</v>
      </c>
      <c r="O67" s="314"/>
      <c r="P67" s="315"/>
      <c r="Q67" s="14">
        <f>Tabela1[[#This Row],[QTDE/ Fabricação]]-Tabela1[[#This Row],[QTE]]</f>
        <v>-16</v>
      </c>
      <c r="R67" s="317">
        <f t="shared" si="11"/>
        <v>83.2</v>
      </c>
      <c r="S67" s="317">
        <f t="shared" si="12"/>
        <v>83.2</v>
      </c>
      <c r="T67" s="318">
        <f t="shared" si="13"/>
        <v>0</v>
      </c>
      <c r="U67" s="319">
        <f>IFERROR(SUMIF('LISTA DE EMBARQUE'!B:B,MICRO!E:E,'LISTA DE EMBARQUE'!G:G),"")</f>
        <v>16</v>
      </c>
      <c r="V67" s="314">
        <f>IFERROR(VLOOKUP(Tabela1[[#This Row],[COD.MDE]],'LISTA DE EMBARQUE'!B:L,11,0),"")</f>
        <v>1</v>
      </c>
      <c r="W67" s="315" t="str">
        <f>IFERROR(COUNTIF(#REF!,Tabela1[[#This Row],[Colunas5]]),"")</f>
        <v/>
      </c>
      <c r="X67" s="316">
        <f>Tabela1[[#This Row],[QIANTIDADE EXPEDIDA]]*Tabela1[[#This Row],[PESO UNI]]</f>
        <v>83.2</v>
      </c>
      <c r="Y67" s="316">
        <f t="shared" si="14"/>
        <v>0</v>
      </c>
      <c r="Z67" s="320">
        <v>0</v>
      </c>
      <c r="AA67" s="321">
        <v>1</v>
      </c>
      <c r="AB67" s="322"/>
      <c r="AC67" s="322">
        <v>1</v>
      </c>
      <c r="AD67" s="322">
        <v>1</v>
      </c>
      <c r="AE67" s="322">
        <v>1</v>
      </c>
      <c r="AF67" s="322">
        <v>1</v>
      </c>
      <c r="AG67" s="322">
        <v>1</v>
      </c>
      <c r="AH67" s="322">
        <v>1</v>
      </c>
      <c r="AI67" s="32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324" t="s">
        <v>3087</v>
      </c>
      <c r="B68" s="309"/>
      <c r="C68" s="307">
        <v>2</v>
      </c>
      <c r="D68" s="325" t="s">
        <v>3088</v>
      </c>
      <c r="E68" s="307">
        <v>3764</v>
      </c>
      <c r="F68" s="307">
        <v>9</v>
      </c>
      <c r="G68" s="326">
        <v>49</v>
      </c>
      <c r="H68" s="310">
        <f>Tabela1[[#This Row],[PESO UNI]]*Tabela1[[#This Row],[QTE]]</f>
        <v>98</v>
      </c>
      <c r="I68" s="307">
        <v>0</v>
      </c>
      <c r="J68" s="311" t="s">
        <v>3034</v>
      </c>
      <c r="K68" s="311" t="s">
        <v>33</v>
      </c>
      <c r="L68" s="312" t="s">
        <v>2984</v>
      </c>
      <c r="M68" s="313">
        <v>46175</v>
      </c>
      <c r="N68" s="311" t="s">
        <v>38</v>
      </c>
      <c r="O68" s="314"/>
      <c r="P68" s="315"/>
      <c r="Q68" s="14">
        <f>Tabela1[[#This Row],[QTDE/ Fabricação]]-Tabela1[[#This Row],[QTE]]</f>
        <v>-2</v>
      </c>
      <c r="R68" s="317">
        <f t="shared" si="11"/>
        <v>98</v>
      </c>
      <c r="S68" s="317">
        <f t="shared" si="12"/>
        <v>98</v>
      </c>
      <c r="T68" s="318">
        <f t="shared" si="13"/>
        <v>0</v>
      </c>
      <c r="U68" s="319">
        <f>IFERROR(SUMIF('LISTA DE EMBARQUE'!B:B,MICRO!E:E,'LISTA DE EMBARQUE'!G:G),"")</f>
        <v>2</v>
      </c>
      <c r="V68" s="314">
        <f>IFERROR(VLOOKUP(Tabela1[[#This Row],[COD.MDE]],'LISTA DE EMBARQUE'!B:L,11,0),"")</f>
        <v>2</v>
      </c>
      <c r="W68" s="315" t="str">
        <f>IFERROR(COUNTIF(#REF!,Tabela1[[#This Row],[Colunas5]]),"")</f>
        <v/>
      </c>
      <c r="X68" s="316">
        <f>Tabela1[[#This Row],[QIANTIDADE EXPEDIDA]]*Tabela1[[#This Row],[PESO UNI]]</f>
        <v>98</v>
      </c>
      <c r="Y68" s="316">
        <f t="shared" si="14"/>
        <v>0</v>
      </c>
      <c r="Z68" s="320">
        <f>Tabela1[[#This Row],[PESO TOTAL]]-Tabela1[[#This Row],[Peso Expedido]]</f>
        <v>0</v>
      </c>
      <c r="AA68" s="321">
        <v>1</v>
      </c>
      <c r="AB68" s="322"/>
      <c r="AC68" s="322">
        <v>1</v>
      </c>
      <c r="AD68" s="322">
        <v>1</v>
      </c>
      <c r="AE68" s="322">
        <v>1</v>
      </c>
      <c r="AF68" s="322">
        <v>1</v>
      </c>
      <c r="AG68" s="322">
        <v>1</v>
      </c>
      <c r="AH68" s="322">
        <v>1</v>
      </c>
      <c r="AI68" s="32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324" t="s">
        <v>3089</v>
      </c>
      <c r="B69" s="309"/>
      <c r="C69" s="307">
        <v>2</v>
      </c>
      <c r="D69" s="325" t="s">
        <v>3090</v>
      </c>
      <c r="E69" s="307">
        <v>3765</v>
      </c>
      <c r="F69" s="307">
        <v>9</v>
      </c>
      <c r="G69" s="326">
        <v>28</v>
      </c>
      <c r="H69" s="310">
        <f>Tabela1[[#This Row],[PESO UNI]]*Tabela1[[#This Row],[QTE]]</f>
        <v>56</v>
      </c>
      <c r="I69" s="307">
        <v>0</v>
      </c>
      <c r="J69" s="311" t="s">
        <v>3034</v>
      </c>
      <c r="K69" s="311" t="s">
        <v>33</v>
      </c>
      <c r="L69" s="312" t="s">
        <v>2984</v>
      </c>
      <c r="M69" s="313">
        <v>46175</v>
      </c>
      <c r="N69" s="311" t="s">
        <v>38</v>
      </c>
      <c r="O69" s="314"/>
      <c r="P69" s="315"/>
      <c r="Q69" s="14">
        <f>Tabela1[[#This Row],[QTDE/ Fabricação]]-Tabela1[[#This Row],[QTE]]</f>
        <v>-2</v>
      </c>
      <c r="R69" s="317">
        <f t="shared" si="11"/>
        <v>56</v>
      </c>
      <c r="S69" s="317">
        <f t="shared" si="12"/>
        <v>56</v>
      </c>
      <c r="T69" s="318">
        <f t="shared" si="13"/>
        <v>0</v>
      </c>
      <c r="U69" s="319">
        <f>IFERROR(SUMIF('LISTA DE EMBARQUE'!B:B,MICRO!E:E,'LISTA DE EMBARQUE'!G:G),"")</f>
        <v>2</v>
      </c>
      <c r="V69" s="314">
        <f>IFERROR(VLOOKUP(Tabela1[[#This Row],[COD.MDE]],'LISTA DE EMBARQUE'!B:L,11,0),"")</f>
        <v>2</v>
      </c>
      <c r="W69" s="315" t="str">
        <f>IFERROR(COUNTIF(#REF!,Tabela1[[#This Row],[Colunas5]]),"")</f>
        <v/>
      </c>
      <c r="X69" s="316">
        <f>Tabela1[[#This Row],[QIANTIDADE EXPEDIDA]]*Tabela1[[#This Row],[PESO UNI]]</f>
        <v>56</v>
      </c>
      <c r="Y69" s="316">
        <f t="shared" si="14"/>
        <v>0</v>
      </c>
      <c r="Z69" s="320">
        <f>Tabela1[[#This Row],[PESO TOTAL]]-Tabela1[[#This Row],[Peso Expedido]]</f>
        <v>0</v>
      </c>
      <c r="AA69" s="321">
        <v>1</v>
      </c>
      <c r="AB69" s="322"/>
      <c r="AC69" s="322">
        <v>1</v>
      </c>
      <c r="AD69" s="322">
        <v>1</v>
      </c>
      <c r="AE69" s="322">
        <v>1</v>
      </c>
      <c r="AF69" s="322">
        <v>1</v>
      </c>
      <c r="AG69" s="322">
        <v>1</v>
      </c>
      <c r="AH69" s="322">
        <v>1</v>
      </c>
      <c r="AI69" s="32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324" t="s">
        <v>3063</v>
      </c>
      <c r="B70" s="309"/>
      <c r="C70" s="307">
        <v>4</v>
      </c>
      <c r="D70" s="325" t="s">
        <v>3091</v>
      </c>
      <c r="E70" s="307">
        <v>3766</v>
      </c>
      <c r="F70" s="307">
        <v>9</v>
      </c>
      <c r="G70" s="326">
        <v>2.7</v>
      </c>
      <c r="H70" s="310">
        <f>Tabela1[[#This Row],[PESO UNI]]*Tabela1[[#This Row],[QTE]]</f>
        <v>10.8</v>
      </c>
      <c r="I70" s="307">
        <v>0</v>
      </c>
      <c r="J70" s="311" t="s">
        <v>3034</v>
      </c>
      <c r="K70" s="311" t="s">
        <v>33</v>
      </c>
      <c r="L70" s="312" t="s">
        <v>2984</v>
      </c>
      <c r="M70" s="313">
        <v>46175</v>
      </c>
      <c r="N70" s="311" t="s">
        <v>38</v>
      </c>
      <c r="O70" s="314"/>
      <c r="P70" s="315"/>
      <c r="Q70" s="14">
        <f>Tabela1[[#This Row],[QTDE/ Fabricação]]-Tabela1[[#This Row],[QTE]]</f>
        <v>-4</v>
      </c>
      <c r="R70" s="317">
        <f t="shared" si="11"/>
        <v>10.8</v>
      </c>
      <c r="S70" s="317">
        <f t="shared" si="12"/>
        <v>10.8</v>
      </c>
      <c r="T70" s="318">
        <f t="shared" si="13"/>
        <v>0</v>
      </c>
      <c r="U70" s="319">
        <f>IFERROR(SUMIF('LISTA DE EMBARQUE'!B:B,MICRO!E:E,'LISTA DE EMBARQUE'!G:G),"")</f>
        <v>4</v>
      </c>
      <c r="V70" s="314">
        <f>IFERROR(VLOOKUP(Tabela1[[#This Row],[COD.MDE]],'LISTA DE EMBARQUE'!B:L,11,0),"")</f>
        <v>1</v>
      </c>
      <c r="W70" s="315" t="str">
        <f>IFERROR(COUNTIF(#REF!,Tabela1[[#This Row],[Colunas5]]),"")</f>
        <v/>
      </c>
      <c r="X70" s="316">
        <f>Tabela1[[#This Row],[QIANTIDADE EXPEDIDA]]*Tabela1[[#This Row],[PESO UNI]]</f>
        <v>10.8</v>
      </c>
      <c r="Y70" s="316">
        <f t="shared" si="14"/>
        <v>0</v>
      </c>
      <c r="Z70" s="320">
        <f>Tabela1[[#This Row],[PESO TOTAL]]-Tabela1[[#This Row],[Peso Expedido]]</f>
        <v>0</v>
      </c>
      <c r="AA70" s="321">
        <v>1</v>
      </c>
      <c r="AB70" s="322"/>
      <c r="AC70" s="322">
        <v>1</v>
      </c>
      <c r="AD70" s="322">
        <v>1</v>
      </c>
      <c r="AE70" s="322">
        <v>1</v>
      </c>
      <c r="AF70" s="322">
        <v>1</v>
      </c>
      <c r="AG70" s="322">
        <v>1</v>
      </c>
      <c r="AH70" s="322">
        <v>1</v>
      </c>
      <c r="AI70" s="32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324" t="s">
        <v>3063</v>
      </c>
      <c r="B71" s="309"/>
      <c r="C71" s="307">
        <v>4</v>
      </c>
      <c r="D71" s="325" t="s">
        <v>3092</v>
      </c>
      <c r="E71" s="307">
        <v>3767</v>
      </c>
      <c r="F71" s="307">
        <v>19</v>
      </c>
      <c r="G71" s="326">
        <v>2.7</v>
      </c>
      <c r="H71" s="310">
        <f>Tabela1[[#This Row],[PESO UNI]]*Tabela1[[#This Row],[QTE]]</f>
        <v>10.8</v>
      </c>
      <c r="I71" s="307">
        <v>1</v>
      </c>
      <c r="J71" s="311" t="s">
        <v>3093</v>
      </c>
      <c r="K71" s="311" t="s">
        <v>33</v>
      </c>
      <c r="L71" s="312" t="s">
        <v>2984</v>
      </c>
      <c r="M71" s="313">
        <v>46181</v>
      </c>
      <c r="N71" s="311" t="s">
        <v>38</v>
      </c>
      <c r="O71" s="314"/>
      <c r="P71" s="315"/>
      <c r="Q71" s="14">
        <f>Tabela1[[#This Row],[QTDE/ Fabricação]]-Tabela1[[#This Row],[QTE]]</f>
        <v>-4</v>
      </c>
      <c r="R71" s="317">
        <f t="shared" si="11"/>
        <v>10.8</v>
      </c>
      <c r="S71" s="317">
        <f t="shared" si="12"/>
        <v>10.8</v>
      </c>
      <c r="T71" s="318">
        <f t="shared" si="13"/>
        <v>0</v>
      </c>
      <c r="U71" s="319">
        <f>IFERROR(SUMIF('LISTA DE EMBARQUE'!B:B,MICRO!E:E,'LISTA DE EMBARQUE'!G:G),"")</f>
        <v>4</v>
      </c>
      <c r="V71" s="314">
        <f>IFERROR(VLOOKUP(Tabela1[[#This Row],[COD.MDE]],'LISTA DE EMBARQUE'!B:L,11,0),"")</f>
        <v>1</v>
      </c>
      <c r="W71" s="315" t="str">
        <f>IFERROR(COUNTIF(#REF!,Tabela1[[#This Row],[Colunas5]]),"")</f>
        <v/>
      </c>
      <c r="X71" s="316">
        <f>Tabela1[[#This Row],[QIANTIDADE EXPEDIDA]]*Tabela1[[#This Row],[PESO UNI]]</f>
        <v>10.8</v>
      </c>
      <c r="Y71" s="316">
        <f t="shared" si="14"/>
        <v>0</v>
      </c>
      <c r="Z71" s="320">
        <f>Tabela1[[#This Row],[PESO TOTAL]]-Tabela1[[#This Row],[Peso Expedido]]</f>
        <v>0</v>
      </c>
      <c r="AA71" s="321">
        <v>1</v>
      </c>
      <c r="AB71" s="322"/>
      <c r="AC71" s="322">
        <v>1</v>
      </c>
      <c r="AD71" s="322">
        <v>1</v>
      </c>
      <c r="AE71" s="322">
        <v>1</v>
      </c>
      <c r="AF71" s="322">
        <v>1</v>
      </c>
      <c r="AG71" s="322">
        <v>1</v>
      </c>
      <c r="AH71" s="322">
        <v>1</v>
      </c>
      <c r="AI71" s="32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324" t="s">
        <v>3094</v>
      </c>
      <c r="B72" s="309"/>
      <c r="C72" s="307">
        <v>36</v>
      </c>
      <c r="D72" s="325" t="s">
        <v>3095</v>
      </c>
      <c r="E72" s="307">
        <v>3768</v>
      </c>
      <c r="F72" s="307">
        <v>19</v>
      </c>
      <c r="G72" s="326">
        <v>86.2</v>
      </c>
      <c r="H72" s="310">
        <f>Tabela1[[#This Row],[PESO UNI]]*Tabela1[[#This Row],[QTE]]</f>
        <v>3103.2000000000003</v>
      </c>
      <c r="I72" s="307">
        <v>0</v>
      </c>
      <c r="J72" s="311" t="s">
        <v>3093</v>
      </c>
      <c r="K72" s="311" t="s">
        <v>33</v>
      </c>
      <c r="L72" s="312" t="s">
        <v>2984</v>
      </c>
      <c r="M72" s="313">
        <v>46181</v>
      </c>
      <c r="N72" s="311" t="s">
        <v>38</v>
      </c>
      <c r="O72" s="314"/>
      <c r="P72" s="315"/>
      <c r="Q72" s="14">
        <f>Tabela1[[#This Row],[QTDE/ Fabricação]]-Tabela1[[#This Row],[QTE]]</f>
        <v>-36</v>
      </c>
      <c r="R72" s="317">
        <f t="shared" si="11"/>
        <v>3103.2000000000003</v>
      </c>
      <c r="S72" s="317">
        <f t="shared" si="12"/>
        <v>3103.2000000000003</v>
      </c>
      <c r="T72" s="318">
        <f t="shared" si="13"/>
        <v>0</v>
      </c>
      <c r="U72" s="319">
        <f>IFERROR(SUMIF('LISTA DE EMBARQUE'!B:B,MICRO!E:E,'LISTA DE EMBARQUE'!G:G),"")</f>
        <v>36</v>
      </c>
      <c r="V72" s="314">
        <f>IFERROR(VLOOKUP(Tabela1[[#This Row],[COD.MDE]],'LISTA DE EMBARQUE'!B:L,11,0),"")</f>
        <v>1</v>
      </c>
      <c r="W72" s="315" t="str">
        <f>IFERROR(COUNTIF(#REF!,Tabela1[[#This Row],[Colunas5]]),"")</f>
        <v/>
      </c>
      <c r="X72" s="316">
        <f>Tabela1[[#This Row],[QIANTIDADE EXPEDIDA]]*Tabela1[[#This Row],[PESO UNI]]</f>
        <v>3103.2000000000003</v>
      </c>
      <c r="Y72" s="316">
        <f t="shared" si="14"/>
        <v>0</v>
      </c>
      <c r="Z72" s="320">
        <f>Tabela1[[#This Row],[PESO TOTAL]]-Tabela1[[#This Row],[Peso Expedido]]</f>
        <v>0</v>
      </c>
      <c r="AA72" s="321">
        <v>1</v>
      </c>
      <c r="AB72" s="322"/>
      <c r="AC72" s="322">
        <v>1</v>
      </c>
      <c r="AD72" s="322">
        <v>1</v>
      </c>
      <c r="AE72" s="322">
        <v>1</v>
      </c>
      <c r="AF72" s="322">
        <v>1</v>
      </c>
      <c r="AG72" s="322">
        <v>1</v>
      </c>
      <c r="AH72" s="322">
        <v>1</v>
      </c>
      <c r="AI72" s="32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324" t="s">
        <v>3097</v>
      </c>
      <c r="B73" s="309"/>
      <c r="C73" s="307">
        <v>4</v>
      </c>
      <c r="D73" s="325" t="s">
        <v>3096</v>
      </c>
      <c r="E73" s="307">
        <v>3769</v>
      </c>
      <c r="F73" s="307">
        <v>19</v>
      </c>
      <c r="G73" s="326">
        <v>60</v>
      </c>
      <c r="H73" s="310">
        <f>Tabela1[[#This Row],[PESO UNI]]*Tabela1[[#This Row],[QTE]]</f>
        <v>240</v>
      </c>
      <c r="I73" s="307">
        <v>0</v>
      </c>
      <c r="J73" s="311" t="s">
        <v>3093</v>
      </c>
      <c r="K73" s="311" t="s">
        <v>33</v>
      </c>
      <c r="L73" s="312" t="s">
        <v>2984</v>
      </c>
      <c r="M73" s="313">
        <v>46181</v>
      </c>
      <c r="N73" s="311" t="s">
        <v>38</v>
      </c>
      <c r="O73" s="314"/>
      <c r="P73" s="315"/>
      <c r="Q73" s="14">
        <f>Tabela1[[#This Row],[QTDE/ Fabricação]]-Tabela1[[#This Row],[QTE]]</f>
        <v>-4</v>
      </c>
      <c r="R73" s="317">
        <f t="shared" si="11"/>
        <v>240</v>
      </c>
      <c r="S73" s="317">
        <f t="shared" si="12"/>
        <v>240</v>
      </c>
      <c r="T73" s="318">
        <f t="shared" si="13"/>
        <v>0</v>
      </c>
      <c r="U73" s="319">
        <f>IFERROR(SUMIF('LISTA DE EMBARQUE'!B:B,MICRO!E:E,'LISTA DE EMBARQUE'!G:G),"")</f>
        <v>4</v>
      </c>
      <c r="V73" s="314">
        <f>IFERROR(VLOOKUP(Tabela1[[#This Row],[COD.MDE]],'LISTA DE EMBARQUE'!B:L,11,0),"")</f>
        <v>1</v>
      </c>
      <c r="W73" s="315" t="str">
        <f>IFERROR(COUNTIF(#REF!,Tabela1[[#This Row],[Colunas5]]),"")</f>
        <v/>
      </c>
      <c r="X73" s="316">
        <f>Tabela1[[#This Row],[QIANTIDADE EXPEDIDA]]*Tabela1[[#This Row],[PESO UNI]]</f>
        <v>240</v>
      </c>
      <c r="Y73" s="316">
        <f t="shared" si="14"/>
        <v>0</v>
      </c>
      <c r="Z73" s="320">
        <f>Tabela1[[#This Row],[PESO TOTAL]]-Tabela1[[#This Row],[Peso Expedido]]</f>
        <v>0</v>
      </c>
      <c r="AA73" s="321">
        <v>1</v>
      </c>
      <c r="AB73" s="322"/>
      <c r="AC73" s="322">
        <v>1</v>
      </c>
      <c r="AD73" s="322">
        <v>1</v>
      </c>
      <c r="AE73" s="322">
        <v>1</v>
      </c>
      <c r="AF73" s="322">
        <v>1</v>
      </c>
      <c r="AG73" s="322">
        <v>1</v>
      </c>
      <c r="AH73" s="322">
        <v>1</v>
      </c>
      <c r="AI73" s="32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324" t="s">
        <v>3098</v>
      </c>
      <c r="B74" s="309"/>
      <c r="C74" s="307">
        <v>2</v>
      </c>
      <c r="D74" s="325" t="s">
        <v>3099</v>
      </c>
      <c r="E74" s="307">
        <v>3770</v>
      </c>
      <c r="F74" s="307">
        <v>19</v>
      </c>
      <c r="G74" s="326">
        <v>28</v>
      </c>
      <c r="H74" s="310">
        <f>Tabela1[[#This Row],[PESO UNI]]*Tabela1[[#This Row],[QTE]]</f>
        <v>56</v>
      </c>
      <c r="I74" s="307">
        <v>0</v>
      </c>
      <c r="J74" s="311" t="s">
        <v>3093</v>
      </c>
      <c r="K74" s="311" t="s">
        <v>33</v>
      </c>
      <c r="L74" s="312" t="s">
        <v>2984</v>
      </c>
      <c r="M74" s="313">
        <v>46181</v>
      </c>
      <c r="N74" s="311" t="s">
        <v>38</v>
      </c>
      <c r="O74" s="314"/>
      <c r="P74" s="315"/>
      <c r="Q74" s="14">
        <f>Tabela1[[#This Row],[QTDE/ Fabricação]]-Tabela1[[#This Row],[QTE]]</f>
        <v>-2</v>
      </c>
      <c r="R74" s="317">
        <f t="shared" si="11"/>
        <v>56</v>
      </c>
      <c r="S74" s="317">
        <f t="shared" si="12"/>
        <v>56</v>
      </c>
      <c r="T74" s="318">
        <f t="shared" si="13"/>
        <v>0</v>
      </c>
      <c r="U74" s="319">
        <f>IFERROR(SUMIF('LISTA DE EMBARQUE'!B:B,MICRO!E:E,'LISTA DE EMBARQUE'!G:G),"")</f>
        <v>2</v>
      </c>
      <c r="V74" s="314">
        <f>IFERROR(VLOOKUP(Tabela1[[#This Row],[COD.MDE]],'LISTA DE EMBARQUE'!B:L,11,0),"")</f>
        <v>1</v>
      </c>
      <c r="W74" s="315" t="str">
        <f>IFERROR(COUNTIF(#REF!,Tabela1[[#This Row],[Colunas5]]),"")</f>
        <v/>
      </c>
      <c r="X74" s="316">
        <f>Tabela1[[#This Row],[QIANTIDADE EXPEDIDA]]*Tabela1[[#This Row],[PESO UNI]]</f>
        <v>56</v>
      </c>
      <c r="Y74" s="316">
        <f t="shared" si="14"/>
        <v>0</v>
      </c>
      <c r="Z74" s="320">
        <f>Tabela1[[#This Row],[PESO TOTAL]]-Tabela1[[#This Row],[Peso Expedido]]</f>
        <v>0</v>
      </c>
      <c r="AA74" s="321">
        <v>1</v>
      </c>
      <c r="AB74" s="322"/>
      <c r="AC74" s="322">
        <v>1</v>
      </c>
      <c r="AD74" s="322">
        <v>1</v>
      </c>
      <c r="AE74" s="322">
        <v>1</v>
      </c>
      <c r="AF74" s="322">
        <v>1</v>
      </c>
      <c r="AG74" s="322">
        <v>1</v>
      </c>
      <c r="AH74" s="322">
        <v>1</v>
      </c>
      <c r="AI74" s="32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324" t="s">
        <v>3100</v>
      </c>
      <c r="B75" s="309"/>
      <c r="C75" s="307">
        <v>24</v>
      </c>
      <c r="D75" s="325" t="s">
        <v>3101</v>
      </c>
      <c r="E75" s="307">
        <v>3771</v>
      </c>
      <c r="F75" s="307">
        <v>18</v>
      </c>
      <c r="G75" s="326">
        <v>50</v>
      </c>
      <c r="H75" s="310">
        <f>Tabela1[[#This Row],[PESO UNI]]*Tabela1[[#This Row],[QTE]]</f>
        <v>1200</v>
      </c>
      <c r="I75" s="307">
        <v>0</v>
      </c>
      <c r="J75" s="311" t="s">
        <v>3093</v>
      </c>
      <c r="K75" s="311" t="s">
        <v>23</v>
      </c>
      <c r="L75" s="312" t="s">
        <v>2984</v>
      </c>
      <c r="M75" s="313">
        <v>46181</v>
      </c>
      <c r="N75" s="311" t="s">
        <v>38</v>
      </c>
      <c r="O75" s="314"/>
      <c r="P75" s="315"/>
      <c r="Q75" s="14">
        <f>Tabela1[[#This Row],[QTDE/ Fabricação]]-Tabela1[[#This Row],[QTE]]</f>
        <v>-24</v>
      </c>
      <c r="R75" s="317">
        <f t="shared" si="11"/>
        <v>1200</v>
      </c>
      <c r="S75" s="317">
        <f t="shared" si="12"/>
        <v>1200</v>
      </c>
      <c r="T75" s="318">
        <f t="shared" si="13"/>
        <v>0</v>
      </c>
      <c r="U75" s="319">
        <f>IFERROR(SUMIF('LISTA DE EMBARQUE'!B:B,MICRO!E:E,'LISTA DE EMBARQUE'!G:G),"")</f>
        <v>24</v>
      </c>
      <c r="V75" s="314">
        <f>IFERROR(VLOOKUP(Tabela1[[#This Row],[COD.MDE]],'LISTA DE EMBARQUE'!B:L,11,0),"")</f>
        <v>2</v>
      </c>
      <c r="W75" s="315" t="str">
        <f>IFERROR(COUNTIF(#REF!,Tabela1[[#This Row],[Colunas5]]),"")</f>
        <v/>
      </c>
      <c r="X75" s="316">
        <f>Tabela1[[#This Row],[QIANTIDADE EXPEDIDA]]*Tabela1[[#This Row],[PESO UNI]]</f>
        <v>1200</v>
      </c>
      <c r="Y75" s="316">
        <f t="shared" si="14"/>
        <v>0</v>
      </c>
      <c r="Z75" s="320">
        <f>Tabela1[[#This Row],[PESO TOTAL]]-Tabela1[[#This Row],[Peso Expedido]]</f>
        <v>0</v>
      </c>
      <c r="AA75" s="321">
        <v>1</v>
      </c>
      <c r="AB75" s="322"/>
      <c r="AC75" s="322">
        <v>1</v>
      </c>
      <c r="AD75" s="322">
        <v>1</v>
      </c>
      <c r="AE75" s="322">
        <v>1</v>
      </c>
      <c r="AF75" s="322">
        <v>1</v>
      </c>
      <c r="AG75" s="322">
        <v>1</v>
      </c>
      <c r="AH75" s="322">
        <v>1</v>
      </c>
      <c r="AI75" s="32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324" t="s">
        <v>3102</v>
      </c>
      <c r="B76" s="309"/>
      <c r="C76" s="307">
        <v>72</v>
      </c>
      <c r="D76" s="325" t="s">
        <v>3103</v>
      </c>
      <c r="E76" s="307">
        <v>3772</v>
      </c>
      <c r="F76" s="307">
        <v>18</v>
      </c>
      <c r="G76" s="326">
        <v>12</v>
      </c>
      <c r="H76" s="310">
        <f>Tabela1[[#This Row],[PESO UNI]]*Tabela1[[#This Row],[QTE]]</f>
        <v>864</v>
      </c>
      <c r="I76" s="307">
        <v>0</v>
      </c>
      <c r="J76" s="311" t="s">
        <v>3093</v>
      </c>
      <c r="K76" s="311" t="s">
        <v>23</v>
      </c>
      <c r="L76" s="312" t="s">
        <v>2984</v>
      </c>
      <c r="M76" s="313">
        <v>46181</v>
      </c>
      <c r="N76" s="311" t="s">
        <v>38</v>
      </c>
      <c r="O76" s="314"/>
      <c r="P76" s="315"/>
      <c r="Q76" s="14">
        <f>Tabela1[[#This Row],[QTDE/ Fabricação]]-Tabela1[[#This Row],[QTE]]</f>
        <v>-72</v>
      </c>
      <c r="R76" s="317">
        <f t="shared" si="11"/>
        <v>864</v>
      </c>
      <c r="S76" s="317">
        <f t="shared" si="12"/>
        <v>864</v>
      </c>
      <c r="T76" s="318">
        <f t="shared" si="13"/>
        <v>0</v>
      </c>
      <c r="U76" s="319">
        <f>IFERROR(SUMIF('LISTA DE EMBARQUE'!B:B,MICRO!E:E,'LISTA DE EMBARQUE'!G:G),"")</f>
        <v>72</v>
      </c>
      <c r="V76" s="314">
        <f>IFERROR(VLOOKUP(Tabela1[[#This Row],[COD.MDE]],'LISTA DE EMBARQUE'!B:L,11,0),"")</f>
        <v>1</v>
      </c>
      <c r="W76" s="315" t="str">
        <f>IFERROR(COUNTIF(#REF!,Tabela1[[#This Row],[Colunas5]]),"")</f>
        <v/>
      </c>
      <c r="X76" s="316">
        <f>Tabela1[[#This Row],[QIANTIDADE EXPEDIDA]]*Tabela1[[#This Row],[PESO UNI]]</f>
        <v>864</v>
      </c>
      <c r="Y76" s="316">
        <f t="shared" si="14"/>
        <v>0</v>
      </c>
      <c r="Z76" s="320">
        <f>Tabela1[[#This Row],[PESO TOTAL]]-Tabela1[[#This Row],[Peso Expedido]]</f>
        <v>0</v>
      </c>
      <c r="AA76" s="321">
        <v>1</v>
      </c>
      <c r="AB76" s="322"/>
      <c r="AC76" s="322">
        <v>1</v>
      </c>
      <c r="AD76" s="322">
        <v>1</v>
      </c>
      <c r="AE76" s="322">
        <v>1</v>
      </c>
      <c r="AF76" s="322">
        <v>1</v>
      </c>
      <c r="AG76" s="322">
        <v>1</v>
      </c>
      <c r="AH76" s="322">
        <v>1</v>
      </c>
      <c r="AI76" s="32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324" t="s">
        <v>3104</v>
      </c>
      <c r="B77" s="309"/>
      <c r="C77" s="307">
        <v>12</v>
      </c>
      <c r="D77" s="325" t="s">
        <v>3105</v>
      </c>
      <c r="E77" s="307">
        <v>3773</v>
      </c>
      <c r="F77" s="307">
        <v>18</v>
      </c>
      <c r="G77" s="326">
        <v>67</v>
      </c>
      <c r="H77" s="310">
        <f>Tabela1[[#This Row],[PESO UNI]]*Tabela1[[#This Row],[QTE]]</f>
        <v>804</v>
      </c>
      <c r="I77" s="307">
        <v>0</v>
      </c>
      <c r="J77" s="311" t="s">
        <v>3093</v>
      </c>
      <c r="K77" s="311" t="s">
        <v>23</v>
      </c>
      <c r="L77" s="312" t="s">
        <v>2984</v>
      </c>
      <c r="M77" s="313">
        <v>46181</v>
      </c>
      <c r="N77" s="311" t="s">
        <v>38</v>
      </c>
      <c r="O77" s="314"/>
      <c r="P77" s="315"/>
      <c r="Q77" s="14">
        <f>Tabela1[[#This Row],[QTDE/ Fabricação]]-Tabela1[[#This Row],[QTE]]</f>
        <v>-12</v>
      </c>
      <c r="R77" s="317">
        <f t="shared" si="11"/>
        <v>804</v>
      </c>
      <c r="S77" s="317">
        <f t="shared" si="12"/>
        <v>804</v>
      </c>
      <c r="T77" s="318">
        <f t="shared" si="13"/>
        <v>0</v>
      </c>
      <c r="U77" s="319">
        <f>IFERROR(SUMIF('LISTA DE EMBARQUE'!B:B,MICRO!E:E,'LISTA DE EMBARQUE'!G:G),"")</f>
        <v>12</v>
      </c>
      <c r="V77" s="314">
        <f>IFERROR(VLOOKUP(Tabela1[[#This Row],[COD.MDE]],'LISTA DE EMBARQUE'!B:L,11,0),"")</f>
        <v>2</v>
      </c>
      <c r="W77" s="315" t="str">
        <f>IFERROR(COUNTIF(#REF!,Tabela1[[#This Row],[Colunas5]]),"")</f>
        <v/>
      </c>
      <c r="X77" s="316">
        <f>Tabela1[[#This Row],[QIANTIDADE EXPEDIDA]]*Tabela1[[#This Row],[PESO UNI]]</f>
        <v>804</v>
      </c>
      <c r="Y77" s="316">
        <f t="shared" si="14"/>
        <v>0</v>
      </c>
      <c r="Z77" s="320">
        <f>Tabela1[[#This Row],[PESO TOTAL]]-Tabela1[[#This Row],[Peso Expedido]]</f>
        <v>0</v>
      </c>
      <c r="AA77" s="321">
        <v>1</v>
      </c>
      <c r="AB77" s="322"/>
      <c r="AC77" s="322">
        <v>1</v>
      </c>
      <c r="AD77" s="322">
        <v>1</v>
      </c>
      <c r="AE77" s="322">
        <v>1</v>
      </c>
      <c r="AF77" s="322">
        <v>1</v>
      </c>
      <c r="AG77" s="322">
        <v>1</v>
      </c>
      <c r="AH77" s="322">
        <v>1</v>
      </c>
      <c r="AI77" s="32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324" t="s">
        <v>3106</v>
      </c>
      <c r="B78" s="309"/>
      <c r="C78" s="307">
        <v>10</v>
      </c>
      <c r="D78" s="325" t="s">
        <v>3107</v>
      </c>
      <c r="E78" s="307">
        <v>3774</v>
      </c>
      <c r="F78" s="307">
        <v>18</v>
      </c>
      <c r="G78" s="326">
        <v>46.9</v>
      </c>
      <c r="H78" s="310">
        <f>Tabela1[[#This Row],[PESO UNI]]*Tabela1[[#This Row],[QTE]]</f>
        <v>469</v>
      </c>
      <c r="I78" s="307">
        <v>0</v>
      </c>
      <c r="J78" s="311" t="s">
        <v>3093</v>
      </c>
      <c r="K78" s="311" t="s">
        <v>23</v>
      </c>
      <c r="L78" s="312" t="s">
        <v>2984</v>
      </c>
      <c r="M78" s="313">
        <v>46181</v>
      </c>
      <c r="N78" s="311" t="s">
        <v>38</v>
      </c>
      <c r="O78" s="314"/>
      <c r="P78" s="315"/>
      <c r="Q78" s="14">
        <f>Tabela1[[#This Row],[QTDE/ Fabricação]]-Tabela1[[#This Row],[QTE]]</f>
        <v>-10</v>
      </c>
      <c r="R78" s="317">
        <f t="shared" si="11"/>
        <v>469</v>
      </c>
      <c r="S78" s="317">
        <f t="shared" si="12"/>
        <v>469</v>
      </c>
      <c r="T78" s="318">
        <f t="shared" si="13"/>
        <v>0</v>
      </c>
      <c r="U78" s="319">
        <f>IFERROR(SUMIF('LISTA DE EMBARQUE'!B:B,MICRO!E:E,'LISTA DE EMBARQUE'!G:G),"")</f>
        <v>10</v>
      </c>
      <c r="V78" s="314">
        <f>IFERROR(VLOOKUP(Tabela1[[#This Row],[COD.MDE]],'LISTA DE EMBARQUE'!B:L,11,0),"")</f>
        <v>2</v>
      </c>
      <c r="W78" s="315" t="str">
        <f>IFERROR(COUNTIF(#REF!,Tabela1[[#This Row],[Colunas5]]),"")</f>
        <v/>
      </c>
      <c r="X78" s="316">
        <f>Tabela1[[#This Row],[QIANTIDADE EXPEDIDA]]*Tabela1[[#This Row],[PESO UNI]]</f>
        <v>469</v>
      </c>
      <c r="Y78" s="316">
        <f t="shared" si="14"/>
        <v>0</v>
      </c>
      <c r="Z78" s="320">
        <f>Tabela1[[#This Row],[PESO TOTAL]]-Tabela1[[#This Row],[Peso Expedido]]</f>
        <v>0</v>
      </c>
      <c r="AA78" s="321">
        <v>1</v>
      </c>
      <c r="AB78" s="322"/>
      <c r="AC78" s="322">
        <v>1</v>
      </c>
      <c r="AD78" s="322">
        <v>1</v>
      </c>
      <c r="AE78" s="322">
        <v>1</v>
      </c>
      <c r="AF78" s="322">
        <v>1</v>
      </c>
      <c r="AG78" s="322">
        <v>1</v>
      </c>
      <c r="AH78" s="322">
        <v>1</v>
      </c>
      <c r="AI78" s="32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324" t="s">
        <v>3039</v>
      </c>
      <c r="B79" s="309"/>
      <c r="C79" s="307">
        <v>4</v>
      </c>
      <c r="D79" s="325" t="s">
        <v>3108</v>
      </c>
      <c r="E79" s="307">
        <v>3775</v>
      </c>
      <c r="F79" s="307">
        <v>18</v>
      </c>
      <c r="G79" s="326">
        <v>2.7</v>
      </c>
      <c r="H79" s="310">
        <f>Tabela1[[#This Row],[PESO UNI]]*Tabela1[[#This Row],[QTE]]</f>
        <v>10.8</v>
      </c>
      <c r="I79" s="307">
        <v>0</v>
      </c>
      <c r="J79" s="311" t="s">
        <v>3093</v>
      </c>
      <c r="K79" s="311" t="s">
        <v>23</v>
      </c>
      <c r="L79" s="312" t="s">
        <v>2984</v>
      </c>
      <c r="M79" s="313">
        <v>46181</v>
      </c>
      <c r="N79" s="311" t="s">
        <v>38</v>
      </c>
      <c r="O79" s="314"/>
      <c r="P79" s="315"/>
      <c r="Q79" s="14">
        <f>Tabela1[[#This Row],[QTDE/ Fabricação]]-Tabela1[[#This Row],[QTE]]</f>
        <v>-4</v>
      </c>
      <c r="R79" s="317">
        <f t="shared" si="11"/>
        <v>10.8</v>
      </c>
      <c r="S79" s="317">
        <f t="shared" si="12"/>
        <v>10.8</v>
      </c>
      <c r="T79" s="318">
        <f t="shared" si="13"/>
        <v>0</v>
      </c>
      <c r="U79" s="319">
        <f>IFERROR(SUMIF('LISTA DE EMBARQUE'!B:B,MICRO!E:E,'LISTA DE EMBARQUE'!G:G),"")</f>
        <v>4</v>
      </c>
      <c r="V79" s="314">
        <f>IFERROR(VLOOKUP(Tabela1[[#This Row],[COD.MDE]],'LISTA DE EMBARQUE'!B:L,11,0),"")</f>
        <v>2</v>
      </c>
      <c r="W79" s="315" t="str">
        <f>IFERROR(COUNTIF(#REF!,Tabela1[[#This Row],[Colunas5]]),"")</f>
        <v/>
      </c>
      <c r="X79" s="316">
        <f>Tabela1[[#This Row],[QIANTIDADE EXPEDIDA]]*Tabela1[[#This Row],[PESO UNI]]</f>
        <v>10.8</v>
      </c>
      <c r="Y79" s="316">
        <f t="shared" si="14"/>
        <v>0</v>
      </c>
      <c r="Z79" s="320">
        <f>Tabela1[[#This Row],[PESO TOTAL]]-Tabela1[[#This Row],[Peso Expedido]]</f>
        <v>0</v>
      </c>
      <c r="AA79" s="321">
        <v>1</v>
      </c>
      <c r="AB79" s="322"/>
      <c r="AC79" s="322">
        <v>1</v>
      </c>
      <c r="AD79" s="322">
        <v>1</v>
      </c>
      <c r="AE79" s="322">
        <v>1</v>
      </c>
      <c r="AF79" s="322">
        <v>1</v>
      </c>
      <c r="AG79" s="322">
        <v>1</v>
      </c>
      <c r="AH79" s="322">
        <v>1</v>
      </c>
      <c r="AI79" s="32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324" t="s">
        <v>3112</v>
      </c>
      <c r="B81" s="309" t="s">
        <v>3119</v>
      </c>
      <c r="C81" s="307">
        <v>18</v>
      </c>
      <c r="D81" s="325" t="s">
        <v>3113</v>
      </c>
      <c r="E81" s="307">
        <v>3778</v>
      </c>
      <c r="F81" s="307">
        <v>20</v>
      </c>
      <c r="G81" s="326">
        <v>2.5</v>
      </c>
      <c r="H81" s="310">
        <f>Tabela1[[#This Row],[PESO UNI]]*Tabela1[[#This Row],[QTE]]</f>
        <v>45</v>
      </c>
      <c r="I81" s="307" t="s">
        <v>4416</v>
      </c>
      <c r="J81" s="311" t="s">
        <v>3034</v>
      </c>
      <c r="K81" s="311" t="s">
        <v>31</v>
      </c>
      <c r="L81" s="312" t="s">
        <v>2984</v>
      </c>
      <c r="M81" s="313">
        <v>46183</v>
      </c>
      <c r="N81" s="311" t="s">
        <v>38</v>
      </c>
      <c r="O81" s="314"/>
      <c r="P81" s="315"/>
      <c r="Q81" s="14">
        <f>Tabela1[[#This Row],[QTDE/ Fabricação]]-Tabela1[[#This Row],[QTE]]</f>
        <v>-18</v>
      </c>
      <c r="R81" s="317">
        <f t="shared" ref="R81:R114" si="24">IFERROR(H81*((AA81*0.25)+(AC81*0.25)+(AD81*0.225)+(AE81*0.225)+(AF81*0.05)),"")</f>
        <v>45</v>
      </c>
      <c r="S81" s="317">
        <f t="shared" ref="S81:S114" si="25">IFERROR(H81*AG81,"")</f>
        <v>45</v>
      </c>
      <c r="T81" s="318">
        <f t="shared" ref="T81:T114" si="26">IFERROR(S81-H81,"")</f>
        <v>0</v>
      </c>
      <c r="U81" s="319">
        <f>IFERROR(SUMIF('LISTA DE EMBARQUE'!B:B,MICRO!E:E,'LISTA DE EMBARQUE'!G:G),"")</f>
        <v>18</v>
      </c>
      <c r="V81" s="314">
        <f>IFERROR(VLOOKUP(Tabela1[[#This Row],[COD.MDE]],'LISTA DE EMBARQUE'!B:L,11,0),"")</f>
        <v>5</v>
      </c>
      <c r="W81" s="315" t="str">
        <f>IFERROR(COUNTIF(#REF!,Tabela1[[#This Row],[Colunas5]]),"")</f>
        <v/>
      </c>
      <c r="X81" s="316">
        <f>Tabela1[[#This Row],[QIANTIDADE EXPEDIDA]]*Tabela1[[#This Row],[PESO UNI]]</f>
        <v>45</v>
      </c>
      <c r="Y81" s="316">
        <f t="shared" ref="Y81:Y114" si="27">U81-C81</f>
        <v>0</v>
      </c>
      <c r="Z81" s="320">
        <f>Tabela1[[#This Row],[PESO TOTAL]]-Tabela1[[#This Row],[Peso Expedido]]</f>
        <v>0</v>
      </c>
      <c r="AA81" s="321">
        <v>1</v>
      </c>
      <c r="AB81" s="322"/>
      <c r="AC81" s="322">
        <v>1</v>
      </c>
      <c r="AD81" s="322">
        <v>1</v>
      </c>
      <c r="AE81" s="322">
        <v>1</v>
      </c>
      <c r="AF81" s="322">
        <v>1</v>
      </c>
      <c r="AG81" s="322">
        <v>1</v>
      </c>
      <c r="AH81" s="322">
        <v>1</v>
      </c>
      <c r="AI81" s="32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324" t="s">
        <v>3112</v>
      </c>
      <c r="B82" s="309" t="s">
        <v>3119</v>
      </c>
      <c r="C82" s="307">
        <v>1</v>
      </c>
      <c r="D82" s="325" t="s">
        <v>3114</v>
      </c>
      <c r="E82" s="307">
        <v>3779</v>
      </c>
      <c r="F82" s="307">
        <v>20</v>
      </c>
      <c r="G82" s="326">
        <v>396.3</v>
      </c>
      <c r="H82" s="310">
        <f>Tabela1[[#This Row],[PESO UNI]]*Tabela1[[#This Row],[QTE]]</f>
        <v>396.3</v>
      </c>
      <c r="I82" s="307" t="s">
        <v>4416</v>
      </c>
      <c r="J82" s="311" t="s">
        <v>3034</v>
      </c>
      <c r="K82" s="311" t="s">
        <v>31</v>
      </c>
      <c r="L82" s="312" t="s">
        <v>2984</v>
      </c>
      <c r="M82" s="313">
        <v>46183</v>
      </c>
      <c r="N82" s="311" t="s">
        <v>38</v>
      </c>
      <c r="O82" s="314"/>
      <c r="P82" s="315"/>
      <c r="Q82" s="14">
        <f>Tabela1[[#This Row],[QTDE/ Fabricação]]-Tabela1[[#This Row],[QTE]]</f>
        <v>-1</v>
      </c>
      <c r="R82" s="317">
        <f t="shared" si="24"/>
        <v>396.3</v>
      </c>
      <c r="S82" s="317">
        <f t="shared" si="25"/>
        <v>396.3</v>
      </c>
      <c r="T82" s="318">
        <f t="shared" si="26"/>
        <v>0</v>
      </c>
      <c r="U82" s="319">
        <f>IFERROR(SUMIF('LISTA DE EMBARQUE'!B:B,MICRO!E:E,'LISTA DE EMBARQUE'!G:G),"")</f>
        <v>1</v>
      </c>
      <c r="V82" s="314">
        <f>IFERROR(VLOOKUP(Tabela1[[#This Row],[COD.MDE]],'LISTA DE EMBARQUE'!B:L,11,0),"")</f>
        <v>3</v>
      </c>
      <c r="W82" s="315" t="str">
        <f>IFERROR(COUNTIF(#REF!,Tabela1[[#This Row],[Colunas5]]),"")</f>
        <v/>
      </c>
      <c r="X82" s="316">
        <f>Tabela1[[#This Row],[QIANTIDADE EXPEDIDA]]*Tabela1[[#This Row],[PESO UNI]]</f>
        <v>396.3</v>
      </c>
      <c r="Y82" s="316">
        <f t="shared" si="27"/>
        <v>0</v>
      </c>
      <c r="Z82" s="320">
        <f>Tabela1[[#This Row],[PESO TOTAL]]-Tabela1[[#This Row],[Peso Expedido]]</f>
        <v>0</v>
      </c>
      <c r="AA82" s="321">
        <v>1</v>
      </c>
      <c r="AB82" s="322"/>
      <c r="AC82" s="321">
        <v>1</v>
      </c>
      <c r="AD82" s="321">
        <v>1</v>
      </c>
      <c r="AE82" s="321">
        <v>1</v>
      </c>
      <c r="AF82" s="321">
        <v>1</v>
      </c>
      <c r="AG82" s="321">
        <v>1</v>
      </c>
      <c r="AH82" s="322">
        <v>1</v>
      </c>
      <c r="AI82" s="32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324" t="s">
        <v>3112</v>
      </c>
      <c r="B83" s="309" t="s">
        <v>3119</v>
      </c>
      <c r="C83" s="307">
        <v>1</v>
      </c>
      <c r="D83" s="325" t="s">
        <v>3115</v>
      </c>
      <c r="E83" s="307">
        <v>3780</v>
      </c>
      <c r="F83" s="307">
        <v>20</v>
      </c>
      <c r="G83" s="326">
        <v>290.60000000000002</v>
      </c>
      <c r="H83" s="310">
        <f>Tabela1[[#This Row],[PESO UNI]]*Tabela1[[#This Row],[QTE]]</f>
        <v>290.60000000000002</v>
      </c>
      <c r="I83" s="307" t="s">
        <v>4416</v>
      </c>
      <c r="J83" s="311" t="s">
        <v>3034</v>
      </c>
      <c r="K83" s="311" t="s">
        <v>31</v>
      </c>
      <c r="L83" s="312" t="s">
        <v>2984</v>
      </c>
      <c r="M83" s="313">
        <v>46183</v>
      </c>
      <c r="N83" s="311" t="s">
        <v>38</v>
      </c>
      <c r="O83" s="314"/>
      <c r="P83" s="315"/>
      <c r="Q83" s="14">
        <f>Tabela1[[#This Row],[QTDE/ Fabricação]]-Tabela1[[#This Row],[QTE]]</f>
        <v>-1</v>
      </c>
      <c r="R83" s="317">
        <f t="shared" si="24"/>
        <v>290.60000000000002</v>
      </c>
      <c r="S83" s="317">
        <f t="shared" si="25"/>
        <v>290.60000000000002</v>
      </c>
      <c r="T83" s="318">
        <f t="shared" si="26"/>
        <v>0</v>
      </c>
      <c r="U83" s="319">
        <f>IFERROR(SUMIF('LISTA DE EMBARQUE'!B:B,MICRO!E:E,'LISTA DE EMBARQUE'!G:G),"")</f>
        <v>1</v>
      </c>
      <c r="V83" s="314">
        <f>IFERROR(VLOOKUP(Tabela1[[#This Row],[COD.MDE]],'LISTA DE EMBARQUE'!B:L,11,0),"")</f>
        <v>3</v>
      </c>
      <c r="W83" s="315" t="str">
        <f>IFERROR(COUNTIF(#REF!,Tabela1[[#This Row],[Colunas5]]),"")</f>
        <v/>
      </c>
      <c r="X83" s="316">
        <f>Tabela1[[#This Row],[QIANTIDADE EXPEDIDA]]*Tabela1[[#This Row],[PESO UNI]]</f>
        <v>290.60000000000002</v>
      </c>
      <c r="Y83" s="316">
        <f t="shared" si="27"/>
        <v>0</v>
      </c>
      <c r="Z83" s="320">
        <f>Tabela1[[#This Row],[PESO TOTAL]]-Tabela1[[#This Row],[Peso Expedido]]</f>
        <v>0</v>
      </c>
      <c r="AA83" s="321">
        <v>1</v>
      </c>
      <c r="AB83" s="322"/>
      <c r="AC83" s="321">
        <v>1</v>
      </c>
      <c r="AD83" s="321">
        <v>1</v>
      </c>
      <c r="AE83" s="321">
        <v>1</v>
      </c>
      <c r="AF83" s="321">
        <v>1</v>
      </c>
      <c r="AG83" s="321">
        <v>1</v>
      </c>
      <c r="AH83" s="322">
        <v>1</v>
      </c>
      <c r="AI83" s="32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324" t="s">
        <v>3112</v>
      </c>
      <c r="B84" s="309" t="s">
        <v>3119</v>
      </c>
      <c r="C84" s="307">
        <v>1</v>
      </c>
      <c r="D84" s="325" t="s">
        <v>3116</v>
      </c>
      <c r="E84" s="307">
        <v>3781</v>
      </c>
      <c r="F84" s="307">
        <v>20</v>
      </c>
      <c r="G84" s="326">
        <v>290.60000000000002</v>
      </c>
      <c r="H84" s="310">
        <f>Tabela1[[#This Row],[PESO UNI]]*Tabela1[[#This Row],[QTE]]</f>
        <v>290.60000000000002</v>
      </c>
      <c r="I84" s="307" t="s">
        <v>4416</v>
      </c>
      <c r="J84" s="311" t="s">
        <v>3034</v>
      </c>
      <c r="K84" s="311" t="s">
        <v>31</v>
      </c>
      <c r="L84" s="312" t="s">
        <v>2984</v>
      </c>
      <c r="M84" s="313">
        <v>46183</v>
      </c>
      <c r="N84" s="311" t="s">
        <v>38</v>
      </c>
      <c r="O84" s="314"/>
      <c r="P84" s="315"/>
      <c r="Q84" s="14">
        <f>Tabela1[[#This Row],[QTDE/ Fabricação]]-Tabela1[[#This Row],[QTE]]</f>
        <v>-1</v>
      </c>
      <c r="R84" s="317">
        <f t="shared" si="24"/>
        <v>290.60000000000002</v>
      </c>
      <c r="S84" s="317">
        <f t="shared" si="25"/>
        <v>290.60000000000002</v>
      </c>
      <c r="T84" s="318">
        <f t="shared" si="26"/>
        <v>0</v>
      </c>
      <c r="U84" s="319">
        <f>IFERROR(SUMIF('LISTA DE EMBARQUE'!B:B,MICRO!E:E,'LISTA DE EMBARQUE'!G:G),"")</f>
        <v>1</v>
      </c>
      <c r="V84" s="314">
        <f>IFERROR(VLOOKUP(Tabela1[[#This Row],[COD.MDE]],'LISTA DE EMBARQUE'!B:L,11,0),"")</f>
        <v>3</v>
      </c>
      <c r="W84" s="315" t="str">
        <f>IFERROR(COUNTIF(#REF!,Tabela1[[#This Row],[Colunas5]]),"")</f>
        <v/>
      </c>
      <c r="X84" s="316">
        <f>Tabela1[[#This Row],[QIANTIDADE EXPEDIDA]]*Tabela1[[#This Row],[PESO UNI]]</f>
        <v>290.60000000000002</v>
      </c>
      <c r="Y84" s="316">
        <f t="shared" si="27"/>
        <v>0</v>
      </c>
      <c r="Z84" s="320">
        <f>Tabela1[[#This Row],[PESO TOTAL]]-Tabela1[[#This Row],[Peso Expedido]]</f>
        <v>0</v>
      </c>
      <c r="AA84" s="321">
        <v>1</v>
      </c>
      <c r="AB84" s="322"/>
      <c r="AC84" s="321">
        <v>1</v>
      </c>
      <c r="AD84" s="321">
        <v>1</v>
      </c>
      <c r="AE84" s="321">
        <v>1</v>
      </c>
      <c r="AF84" s="321">
        <v>1</v>
      </c>
      <c r="AG84" s="321">
        <v>1</v>
      </c>
      <c r="AH84" s="322">
        <v>1</v>
      </c>
      <c r="AI84" s="32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324" t="s">
        <v>3112</v>
      </c>
      <c r="B85" s="309" t="s">
        <v>3119</v>
      </c>
      <c r="C85" s="307">
        <v>1</v>
      </c>
      <c r="D85" s="325" t="s">
        <v>3117</v>
      </c>
      <c r="E85" s="307">
        <v>3782</v>
      </c>
      <c r="F85" s="307">
        <v>20</v>
      </c>
      <c r="G85" s="326">
        <v>295</v>
      </c>
      <c r="H85" s="310">
        <f>Tabela1[[#This Row],[PESO UNI]]*Tabela1[[#This Row],[QTE]]</f>
        <v>295</v>
      </c>
      <c r="I85" s="307" t="s">
        <v>4416</v>
      </c>
      <c r="J85" s="311" t="s">
        <v>3034</v>
      </c>
      <c r="K85" s="311" t="s">
        <v>31</v>
      </c>
      <c r="L85" s="312" t="s">
        <v>2984</v>
      </c>
      <c r="M85" s="313">
        <v>46183</v>
      </c>
      <c r="N85" s="311" t="s">
        <v>38</v>
      </c>
      <c r="O85" s="314"/>
      <c r="P85" s="315"/>
      <c r="Q85" s="14">
        <f>Tabela1[[#This Row],[QTDE/ Fabricação]]-Tabela1[[#This Row],[QTE]]</f>
        <v>-1</v>
      </c>
      <c r="R85" s="317">
        <f t="shared" si="24"/>
        <v>295</v>
      </c>
      <c r="S85" s="317">
        <f t="shared" si="25"/>
        <v>295</v>
      </c>
      <c r="T85" s="318">
        <f t="shared" si="26"/>
        <v>0</v>
      </c>
      <c r="U85" s="319">
        <f>IFERROR(SUMIF('LISTA DE EMBARQUE'!B:B,MICRO!E:E,'LISTA DE EMBARQUE'!G:G),"")</f>
        <v>1</v>
      </c>
      <c r="V85" s="314">
        <f>IFERROR(VLOOKUP(Tabela1[[#This Row],[COD.MDE]],'LISTA DE EMBARQUE'!B:L,11,0),"")</f>
        <v>3</v>
      </c>
      <c r="W85" s="315" t="str">
        <f>IFERROR(COUNTIF(#REF!,Tabela1[[#This Row],[Colunas5]]),"")</f>
        <v/>
      </c>
      <c r="X85" s="316">
        <f>Tabela1[[#This Row],[QIANTIDADE EXPEDIDA]]*Tabela1[[#This Row],[PESO UNI]]</f>
        <v>295</v>
      </c>
      <c r="Y85" s="316">
        <f t="shared" si="27"/>
        <v>0</v>
      </c>
      <c r="Z85" s="320">
        <f>Tabela1[[#This Row],[PESO TOTAL]]-Tabela1[[#This Row],[Peso Expedido]]</f>
        <v>0</v>
      </c>
      <c r="AA85" s="321">
        <v>1</v>
      </c>
      <c r="AB85" s="322"/>
      <c r="AC85" s="321">
        <v>1</v>
      </c>
      <c r="AD85" s="321">
        <v>1</v>
      </c>
      <c r="AE85" s="321">
        <v>1</v>
      </c>
      <c r="AF85" s="321">
        <v>1</v>
      </c>
      <c r="AG85" s="321">
        <v>1</v>
      </c>
      <c r="AH85" s="322">
        <v>1</v>
      </c>
      <c r="AI85" s="32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324" t="s">
        <v>3112</v>
      </c>
      <c r="B86" s="309" t="s">
        <v>3119</v>
      </c>
      <c r="C86" s="307">
        <v>6</v>
      </c>
      <c r="D86" s="325" t="s">
        <v>3118</v>
      </c>
      <c r="E86" s="307">
        <v>3783</v>
      </c>
      <c r="F86" s="307">
        <v>20</v>
      </c>
      <c r="G86" s="326">
        <v>24</v>
      </c>
      <c r="H86" s="310">
        <f>Tabela1[[#This Row],[PESO UNI]]*Tabela1[[#This Row],[QTE]]</f>
        <v>144</v>
      </c>
      <c r="I86" s="307" t="s">
        <v>4416</v>
      </c>
      <c r="J86" s="311" t="s">
        <v>3034</v>
      </c>
      <c r="K86" s="311" t="s">
        <v>31</v>
      </c>
      <c r="L86" s="312" t="s">
        <v>2984</v>
      </c>
      <c r="M86" s="313">
        <v>46183</v>
      </c>
      <c r="N86" s="311" t="s">
        <v>38</v>
      </c>
      <c r="O86" s="314"/>
      <c r="P86" s="315"/>
      <c r="Q86" s="14">
        <f>Tabela1[[#This Row],[QTDE/ Fabricação]]-Tabela1[[#This Row],[QTE]]</f>
        <v>-6</v>
      </c>
      <c r="R86" s="317">
        <f t="shared" si="24"/>
        <v>144</v>
      </c>
      <c r="S86" s="317">
        <f t="shared" si="25"/>
        <v>144</v>
      </c>
      <c r="T86" s="318">
        <f t="shared" si="26"/>
        <v>0</v>
      </c>
      <c r="U86" s="319">
        <f>IFERROR(SUMIF('LISTA DE EMBARQUE'!B:B,MICRO!E:E,'LISTA DE EMBARQUE'!G:G),"")</f>
        <v>6</v>
      </c>
      <c r="V86" s="314">
        <f>IFERROR(VLOOKUP(Tabela1[[#This Row],[COD.MDE]],'LISTA DE EMBARQUE'!B:L,11,0),"")</f>
        <v>5</v>
      </c>
      <c r="W86" s="315" t="str">
        <f>IFERROR(COUNTIF(#REF!,Tabela1[[#This Row],[Colunas5]]),"")</f>
        <v/>
      </c>
      <c r="X86" s="316">
        <f>Tabela1[[#This Row],[QIANTIDADE EXPEDIDA]]*Tabela1[[#This Row],[PESO UNI]]</f>
        <v>144</v>
      </c>
      <c r="Y86" s="316">
        <f t="shared" si="27"/>
        <v>0</v>
      </c>
      <c r="Z86" s="320">
        <f>Tabela1[[#This Row],[PESO TOTAL]]-Tabela1[[#This Row],[Peso Expedido]]</f>
        <v>0</v>
      </c>
      <c r="AA86" s="321">
        <v>1</v>
      </c>
      <c r="AB86" s="322"/>
      <c r="AC86" s="322">
        <v>1</v>
      </c>
      <c r="AD86" s="322">
        <v>1</v>
      </c>
      <c r="AE86" s="322">
        <v>1</v>
      </c>
      <c r="AF86" s="322">
        <v>1</v>
      </c>
      <c r="AG86" s="322">
        <v>1</v>
      </c>
      <c r="AH86" s="322">
        <v>1</v>
      </c>
      <c r="AI86" s="32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324" t="s">
        <v>3120</v>
      </c>
      <c r="B87" s="309" t="s">
        <v>3121</v>
      </c>
      <c r="C87" s="307">
        <v>4</v>
      </c>
      <c r="D87" s="325" t="s">
        <v>3122</v>
      </c>
      <c r="E87" s="307">
        <v>3784</v>
      </c>
      <c r="F87" s="307">
        <v>21</v>
      </c>
      <c r="G87" s="326">
        <v>7.4</v>
      </c>
      <c r="H87" s="310">
        <f>Tabela1[[#This Row],[PESO UNI]]*Tabela1[[#This Row],[QTE]]</f>
        <v>29.6</v>
      </c>
      <c r="I87" s="307" t="s">
        <v>4415</v>
      </c>
      <c r="J87" s="311" t="s">
        <v>3034</v>
      </c>
      <c r="K87" s="311" t="s">
        <v>31</v>
      </c>
      <c r="L87" s="312" t="s">
        <v>2984</v>
      </c>
      <c r="M87" s="313">
        <v>46185</v>
      </c>
      <c r="N87" s="311" t="s">
        <v>38</v>
      </c>
      <c r="O87" s="314"/>
      <c r="P87" s="315"/>
      <c r="Q87" s="14">
        <f>Tabela1[[#This Row],[QTDE/ Fabricação]]-Tabela1[[#This Row],[QTE]]</f>
        <v>-4</v>
      </c>
      <c r="R87" s="317">
        <f t="shared" si="24"/>
        <v>29.6</v>
      </c>
      <c r="S87" s="317">
        <f t="shared" si="25"/>
        <v>29.6</v>
      </c>
      <c r="T87" s="318">
        <f t="shared" si="26"/>
        <v>0</v>
      </c>
      <c r="U87" s="319">
        <f>IFERROR(SUMIF('LISTA DE EMBARQUE'!B:B,MICRO!E:E,'LISTA DE EMBARQUE'!G:G),"")</f>
        <v>4</v>
      </c>
      <c r="V87" s="314">
        <f>IFERROR(VLOOKUP(Tabela1[[#This Row],[COD.MDE]],'LISTA DE EMBARQUE'!B:L,11,0),"")</f>
        <v>3</v>
      </c>
      <c r="W87" s="315" t="str">
        <f>IFERROR(COUNTIF(#REF!,Tabela1[[#This Row],[Colunas5]]),"")</f>
        <v/>
      </c>
      <c r="X87" s="316">
        <f>Tabela1[[#This Row],[QIANTIDADE EXPEDIDA]]*Tabela1[[#This Row],[PESO UNI]]</f>
        <v>29.6</v>
      </c>
      <c r="Y87" s="316">
        <f t="shared" si="27"/>
        <v>0</v>
      </c>
      <c r="Z87" s="320">
        <f>Tabela1[[#This Row],[PESO TOTAL]]-Tabela1[[#This Row],[Peso Expedido]]</f>
        <v>0</v>
      </c>
      <c r="AA87" s="321">
        <v>1</v>
      </c>
      <c r="AB87" s="322"/>
      <c r="AC87" s="321">
        <v>1</v>
      </c>
      <c r="AD87" s="321">
        <v>1</v>
      </c>
      <c r="AE87" s="321">
        <v>1</v>
      </c>
      <c r="AF87" s="321">
        <v>1</v>
      </c>
      <c r="AG87" s="321">
        <v>1</v>
      </c>
      <c r="AH87" s="322">
        <v>1</v>
      </c>
      <c r="AI87" s="32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324" t="s">
        <v>3120</v>
      </c>
      <c r="B88" s="309" t="s">
        <v>3121</v>
      </c>
      <c r="C88" s="307">
        <v>1</v>
      </c>
      <c r="D88" s="325" t="s">
        <v>3123</v>
      </c>
      <c r="E88" s="307">
        <v>3785</v>
      </c>
      <c r="F88" s="307">
        <v>21</v>
      </c>
      <c r="G88" s="326">
        <v>252</v>
      </c>
      <c r="H88" s="310">
        <f>Tabela1[[#This Row],[PESO UNI]]*Tabela1[[#This Row],[QTE]]</f>
        <v>252</v>
      </c>
      <c r="I88" s="307" t="s">
        <v>4415</v>
      </c>
      <c r="J88" s="311" t="s">
        <v>3034</v>
      </c>
      <c r="K88" s="311" t="s">
        <v>31</v>
      </c>
      <c r="L88" s="312" t="s">
        <v>2984</v>
      </c>
      <c r="M88" s="313">
        <v>46185</v>
      </c>
      <c r="N88" s="311" t="s">
        <v>38</v>
      </c>
      <c r="O88" s="314"/>
      <c r="P88" s="315"/>
      <c r="Q88" s="14">
        <f>Tabela1[[#This Row],[QTDE/ Fabricação]]-Tabela1[[#This Row],[QTE]]</f>
        <v>-1</v>
      </c>
      <c r="R88" s="317">
        <f t="shared" si="24"/>
        <v>252</v>
      </c>
      <c r="S88" s="317">
        <f t="shared" si="25"/>
        <v>252</v>
      </c>
      <c r="T88" s="318">
        <f t="shared" si="26"/>
        <v>0</v>
      </c>
      <c r="U88" s="319">
        <f>IFERROR(SUMIF('LISTA DE EMBARQUE'!B:B,MICRO!E:E,'LISTA DE EMBARQUE'!G:G),"")</f>
        <v>1</v>
      </c>
      <c r="V88" s="314">
        <f>IFERROR(VLOOKUP(Tabela1[[#This Row],[COD.MDE]],'LISTA DE EMBARQUE'!B:L,11,0),"")</f>
        <v>3</v>
      </c>
      <c r="W88" s="315" t="str">
        <f>IFERROR(COUNTIF(#REF!,Tabela1[[#This Row],[Colunas5]]),"")</f>
        <v/>
      </c>
      <c r="X88" s="316">
        <f>Tabela1[[#This Row],[QIANTIDADE EXPEDIDA]]*Tabela1[[#This Row],[PESO UNI]]</f>
        <v>252</v>
      </c>
      <c r="Y88" s="316">
        <f t="shared" si="27"/>
        <v>0</v>
      </c>
      <c r="Z88" s="320">
        <f>Tabela1[[#This Row],[PESO TOTAL]]-Tabela1[[#This Row],[Peso Expedido]]</f>
        <v>0</v>
      </c>
      <c r="AA88" s="321">
        <v>1</v>
      </c>
      <c r="AB88" s="322"/>
      <c r="AC88" s="321">
        <v>1</v>
      </c>
      <c r="AD88" s="321">
        <v>1</v>
      </c>
      <c r="AE88" s="321">
        <v>1</v>
      </c>
      <c r="AF88" s="321">
        <v>1</v>
      </c>
      <c r="AG88" s="321">
        <v>1</v>
      </c>
      <c r="AH88" s="322">
        <v>1</v>
      </c>
      <c r="AI88" s="32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324" t="s">
        <v>3124</v>
      </c>
      <c r="B89" s="309" t="s">
        <v>3125</v>
      </c>
      <c r="C89" s="307">
        <v>2</v>
      </c>
      <c r="D89" s="325" t="s">
        <v>3126</v>
      </c>
      <c r="E89" s="307">
        <v>3786</v>
      </c>
      <c r="F89" s="307">
        <v>22</v>
      </c>
      <c r="G89" s="326">
        <v>77.3</v>
      </c>
      <c r="H89" s="310">
        <f>Tabela1[[#This Row],[PESO UNI]]*Tabela1[[#This Row],[QTE]]</f>
        <v>154.6</v>
      </c>
      <c r="I89" s="307" t="s">
        <v>4416</v>
      </c>
      <c r="J89" s="311" t="s">
        <v>3034</v>
      </c>
      <c r="K89" s="311" t="s">
        <v>31</v>
      </c>
      <c r="L89" s="312" t="s">
        <v>2984</v>
      </c>
      <c r="M89" s="313">
        <v>46185</v>
      </c>
      <c r="N89" s="311" t="s">
        <v>38</v>
      </c>
      <c r="O89" s="314"/>
      <c r="P89" s="315"/>
      <c r="Q89" s="14">
        <f>Tabela1[[#This Row],[QTDE/ Fabricação]]-Tabela1[[#This Row],[QTE]]</f>
        <v>-2</v>
      </c>
      <c r="R89" s="317">
        <f t="shared" si="24"/>
        <v>154.6</v>
      </c>
      <c r="S89" s="317">
        <f t="shared" si="25"/>
        <v>154.6</v>
      </c>
      <c r="T89" s="318">
        <f t="shared" si="26"/>
        <v>0</v>
      </c>
      <c r="U89" s="319">
        <f>IFERROR(SUMIF('LISTA DE EMBARQUE'!B:B,MICRO!E:E,'LISTA DE EMBARQUE'!G:G),"")</f>
        <v>2</v>
      </c>
      <c r="V89" s="314">
        <f>IFERROR(VLOOKUP(Tabela1[[#This Row],[COD.MDE]],'LISTA DE EMBARQUE'!B:L,11,0),"")</f>
        <v>5</v>
      </c>
      <c r="W89" s="315" t="str">
        <f>IFERROR(COUNTIF(#REF!,Tabela1[[#This Row],[Colunas5]]),"")</f>
        <v/>
      </c>
      <c r="X89" s="316">
        <f>Tabela1[[#This Row],[QIANTIDADE EXPEDIDA]]*Tabela1[[#This Row],[PESO UNI]]</f>
        <v>154.6</v>
      </c>
      <c r="Y89" s="316">
        <f t="shared" si="27"/>
        <v>0</v>
      </c>
      <c r="Z89" s="320">
        <f>Tabela1[[#This Row],[PESO TOTAL]]-Tabela1[[#This Row],[Peso Expedido]]</f>
        <v>0</v>
      </c>
      <c r="AA89" s="321">
        <v>1</v>
      </c>
      <c r="AB89" s="322"/>
      <c r="AC89" s="322">
        <v>1</v>
      </c>
      <c r="AD89" s="322">
        <v>1</v>
      </c>
      <c r="AE89" s="322">
        <v>1</v>
      </c>
      <c r="AF89" s="322">
        <v>1</v>
      </c>
      <c r="AG89" s="322">
        <v>1</v>
      </c>
      <c r="AH89" s="322">
        <v>1</v>
      </c>
      <c r="AI89" s="32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324" t="s">
        <v>3127</v>
      </c>
      <c r="B91" s="309" t="s">
        <v>3128</v>
      </c>
      <c r="C91" s="307">
        <v>28</v>
      </c>
      <c r="D91" s="325" t="s">
        <v>3130</v>
      </c>
      <c r="E91" s="307">
        <v>3788</v>
      </c>
      <c r="F91" s="307">
        <v>25</v>
      </c>
      <c r="G91" s="326">
        <v>10.4</v>
      </c>
      <c r="H91" s="310">
        <f>Tabela1[[#This Row],[PESO UNI]]*Tabela1[[#This Row],[QTE]]</f>
        <v>291.2</v>
      </c>
      <c r="I91" s="307" t="s">
        <v>4414</v>
      </c>
      <c r="J91" s="311" t="s">
        <v>3034</v>
      </c>
      <c r="K91" s="311" t="s">
        <v>31</v>
      </c>
      <c r="L91" s="312" t="s">
        <v>2984</v>
      </c>
      <c r="M91" s="313">
        <v>46188</v>
      </c>
      <c r="N91" s="311" t="s">
        <v>38</v>
      </c>
      <c r="O91" s="314"/>
      <c r="P91" s="315"/>
      <c r="Q91" s="14">
        <f>Tabela1[[#This Row],[QTDE/ Fabricação]]-Tabela1[[#This Row],[QTE]]</f>
        <v>-28</v>
      </c>
      <c r="R91" s="317">
        <f t="shared" si="24"/>
        <v>291.2</v>
      </c>
      <c r="S91" s="317">
        <f t="shared" si="25"/>
        <v>291.2</v>
      </c>
      <c r="T91" s="318">
        <f t="shared" si="26"/>
        <v>0</v>
      </c>
      <c r="U91" s="319">
        <f>IFERROR(SUMIF('LISTA DE EMBARQUE'!B:B,MICRO!E:E,'LISTA DE EMBARQUE'!G:G),"")</f>
        <v>28</v>
      </c>
      <c r="V91" s="314">
        <f>IFERROR(VLOOKUP(Tabela1[[#This Row],[COD.MDE]],'LISTA DE EMBARQUE'!B:L,11,0),"")</f>
        <v>3</v>
      </c>
      <c r="W91" s="315" t="str">
        <f>IFERROR(COUNTIF(#REF!,Tabela1[[#This Row],[Colunas5]]),"")</f>
        <v/>
      </c>
      <c r="X91" s="316">
        <f>Tabela1[[#This Row],[QIANTIDADE EXPEDIDA]]*Tabela1[[#This Row],[PESO UNI]]</f>
        <v>291.2</v>
      </c>
      <c r="Y91" s="316">
        <f t="shared" si="27"/>
        <v>0</v>
      </c>
      <c r="Z91" s="320">
        <f>Tabela1[[#This Row],[PESO TOTAL]]-Tabela1[[#This Row],[Peso Expedido]]</f>
        <v>0</v>
      </c>
      <c r="AA91" s="321">
        <v>1</v>
      </c>
      <c r="AB91" s="322"/>
      <c r="AC91" s="321">
        <v>1</v>
      </c>
      <c r="AD91" s="321">
        <v>1</v>
      </c>
      <c r="AE91" s="321">
        <v>1</v>
      </c>
      <c r="AF91" s="321">
        <v>1</v>
      </c>
      <c r="AG91" s="321">
        <v>1</v>
      </c>
      <c r="AH91" s="322">
        <v>1</v>
      </c>
      <c r="AI91" s="32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324" t="s">
        <v>3127</v>
      </c>
      <c r="B92" s="309" t="s">
        <v>3128</v>
      </c>
      <c r="C92" s="307">
        <v>12</v>
      </c>
      <c r="D92" s="325" t="s">
        <v>3131</v>
      </c>
      <c r="E92" s="307">
        <v>3789</v>
      </c>
      <c r="F92" s="307">
        <v>25</v>
      </c>
      <c r="G92" s="326">
        <v>57.6</v>
      </c>
      <c r="H92" s="310">
        <f>Tabela1[[#This Row],[PESO UNI]]*Tabela1[[#This Row],[QTE]]</f>
        <v>691.2</v>
      </c>
      <c r="I92" s="307" t="s">
        <v>4414</v>
      </c>
      <c r="J92" s="311" t="s">
        <v>3034</v>
      </c>
      <c r="K92" s="311" t="s">
        <v>31</v>
      </c>
      <c r="L92" s="312" t="s">
        <v>2984</v>
      </c>
      <c r="M92" s="313">
        <v>46188</v>
      </c>
      <c r="N92" s="311" t="s">
        <v>38</v>
      </c>
      <c r="O92" s="314"/>
      <c r="P92" s="315"/>
      <c r="Q92" s="14">
        <f>Tabela1[[#This Row],[QTDE/ Fabricação]]-Tabela1[[#This Row],[QTE]]</f>
        <v>-12</v>
      </c>
      <c r="R92" s="317">
        <f t="shared" si="24"/>
        <v>691.2</v>
      </c>
      <c r="S92" s="317">
        <f t="shared" si="25"/>
        <v>691.2</v>
      </c>
      <c r="T92" s="318">
        <f t="shared" si="26"/>
        <v>0</v>
      </c>
      <c r="U92" s="319">
        <f>IFERROR(SUMIF('LISTA DE EMBARQUE'!B:B,MICRO!E:E,'LISTA DE EMBARQUE'!G:G),"")</f>
        <v>12</v>
      </c>
      <c r="V92" s="314">
        <f>IFERROR(VLOOKUP(Tabela1[[#This Row],[COD.MDE]],'LISTA DE EMBARQUE'!B:L,11,0),"")</f>
        <v>5</v>
      </c>
      <c r="W92" s="315" t="str">
        <f>IFERROR(COUNTIF(#REF!,Tabela1[[#This Row],[Colunas5]]),"")</f>
        <v/>
      </c>
      <c r="X92" s="316">
        <f>Tabela1[[#This Row],[QIANTIDADE EXPEDIDA]]*Tabela1[[#This Row],[PESO UNI]]</f>
        <v>691.2</v>
      </c>
      <c r="Y92" s="316">
        <f t="shared" si="27"/>
        <v>0</v>
      </c>
      <c r="Z92" s="320">
        <f>Tabela1[[#This Row],[PESO TOTAL]]-Tabela1[[#This Row],[Peso Expedido]]</f>
        <v>0</v>
      </c>
      <c r="AA92" s="321">
        <v>1</v>
      </c>
      <c r="AB92" s="322"/>
      <c r="AC92" s="322">
        <v>1</v>
      </c>
      <c r="AD92" s="322">
        <v>1</v>
      </c>
      <c r="AE92" s="322">
        <v>1</v>
      </c>
      <c r="AF92" s="322">
        <v>1</v>
      </c>
      <c r="AG92" s="322">
        <v>1</v>
      </c>
      <c r="AH92" s="322">
        <v>1</v>
      </c>
      <c r="AI92" s="32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324" t="s">
        <v>3127</v>
      </c>
      <c r="B93" s="309" t="s">
        <v>3128</v>
      </c>
      <c r="C93" s="307">
        <v>2</v>
      </c>
      <c r="D93" s="325" t="s">
        <v>3132</v>
      </c>
      <c r="E93" s="307">
        <v>3790</v>
      </c>
      <c r="F93" s="307">
        <v>25</v>
      </c>
      <c r="G93" s="326">
        <v>57.6</v>
      </c>
      <c r="H93" s="310">
        <f>Tabela1[[#This Row],[PESO UNI]]*Tabela1[[#This Row],[QTE]]</f>
        <v>115.2</v>
      </c>
      <c r="I93" s="307" t="s">
        <v>4414</v>
      </c>
      <c r="J93" s="311" t="s">
        <v>3034</v>
      </c>
      <c r="K93" s="311" t="s">
        <v>31</v>
      </c>
      <c r="L93" s="312" t="s">
        <v>2984</v>
      </c>
      <c r="M93" s="313">
        <v>46188</v>
      </c>
      <c r="N93" s="311" t="s">
        <v>38</v>
      </c>
      <c r="O93" s="314"/>
      <c r="P93" s="315"/>
      <c r="Q93" s="14">
        <f>Tabela1[[#This Row],[QTDE/ Fabricação]]-Tabela1[[#This Row],[QTE]]</f>
        <v>-2</v>
      </c>
      <c r="R93" s="317">
        <f t="shared" si="24"/>
        <v>115.2</v>
      </c>
      <c r="S93" s="317">
        <f t="shared" si="25"/>
        <v>115.2</v>
      </c>
      <c r="T93" s="318">
        <f t="shared" si="26"/>
        <v>0</v>
      </c>
      <c r="U93" s="319">
        <f>IFERROR(SUMIF('LISTA DE EMBARQUE'!B:B,MICRO!E:E,'LISTA DE EMBARQUE'!G:G),"")</f>
        <v>2</v>
      </c>
      <c r="V93" s="314">
        <f>IFERROR(VLOOKUP(Tabela1[[#This Row],[COD.MDE]],'LISTA DE EMBARQUE'!B:L,11,0),"")</f>
        <v>5</v>
      </c>
      <c r="W93" s="315" t="str">
        <f>IFERROR(COUNTIF(#REF!,Tabela1[[#This Row],[Colunas5]]),"")</f>
        <v/>
      </c>
      <c r="X93" s="316">
        <f>Tabela1[[#This Row],[QIANTIDADE EXPEDIDA]]*Tabela1[[#This Row],[PESO UNI]]</f>
        <v>115.2</v>
      </c>
      <c r="Y93" s="316">
        <f t="shared" si="27"/>
        <v>0</v>
      </c>
      <c r="Z93" s="320">
        <f>Tabela1[[#This Row],[PESO TOTAL]]-Tabela1[[#This Row],[Peso Expedido]]</f>
        <v>0</v>
      </c>
      <c r="AA93" s="321">
        <v>1</v>
      </c>
      <c r="AB93" s="322"/>
      <c r="AC93" s="322">
        <v>1</v>
      </c>
      <c r="AD93" s="322">
        <v>1</v>
      </c>
      <c r="AE93" s="322">
        <v>1</v>
      </c>
      <c r="AF93" s="322">
        <v>1</v>
      </c>
      <c r="AG93" s="322">
        <v>1</v>
      </c>
      <c r="AH93" s="322">
        <v>1</v>
      </c>
      <c r="AI93" s="32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324" t="s">
        <v>3127</v>
      </c>
      <c r="B94" s="309" t="s">
        <v>3128</v>
      </c>
      <c r="C94" s="307">
        <v>28</v>
      </c>
      <c r="D94" s="325" t="s">
        <v>3133</v>
      </c>
      <c r="E94" s="307">
        <v>3791</v>
      </c>
      <c r="F94" s="307">
        <v>25</v>
      </c>
      <c r="G94" s="326">
        <v>4.8</v>
      </c>
      <c r="H94" s="310">
        <f>Tabela1[[#This Row],[PESO UNI]]*Tabela1[[#This Row],[QTE]]</f>
        <v>134.4</v>
      </c>
      <c r="I94" s="307" t="s">
        <v>4414</v>
      </c>
      <c r="J94" s="311" t="s">
        <v>3034</v>
      </c>
      <c r="K94" s="311" t="s">
        <v>31</v>
      </c>
      <c r="L94" s="312" t="s">
        <v>2984</v>
      </c>
      <c r="M94" s="313">
        <v>46188</v>
      </c>
      <c r="N94" s="311" t="s">
        <v>38</v>
      </c>
      <c r="O94" s="314"/>
      <c r="P94" s="315"/>
      <c r="Q94" s="14">
        <f>Tabela1[[#This Row],[QTDE/ Fabricação]]-Tabela1[[#This Row],[QTE]]</f>
        <v>-28</v>
      </c>
      <c r="R94" s="317">
        <f t="shared" si="24"/>
        <v>134.4</v>
      </c>
      <c r="S94" s="317">
        <f t="shared" si="25"/>
        <v>134.4</v>
      </c>
      <c r="T94" s="318">
        <f t="shared" si="26"/>
        <v>0</v>
      </c>
      <c r="U94" s="319">
        <f>IFERROR(SUMIF('LISTA DE EMBARQUE'!B:B,MICRO!E:E,'LISTA DE EMBARQUE'!G:G),"")</f>
        <v>28</v>
      </c>
      <c r="V94" s="314">
        <f>IFERROR(VLOOKUP(Tabela1[[#This Row],[COD.MDE]],'LISTA DE EMBARQUE'!B:L,11,0),"")</f>
        <v>6</v>
      </c>
      <c r="W94" s="315" t="str">
        <f>IFERROR(COUNTIF(#REF!,Tabela1[[#This Row],[Colunas5]]),"")</f>
        <v/>
      </c>
      <c r="X94" s="316">
        <f>Tabela1[[#This Row],[QIANTIDADE EXPEDIDA]]*Tabela1[[#This Row],[PESO UNI]]</f>
        <v>134.4</v>
      </c>
      <c r="Y94" s="316">
        <f t="shared" si="27"/>
        <v>0</v>
      </c>
      <c r="Z94" s="320">
        <f>Tabela1[[#This Row],[PESO TOTAL]]-Tabela1[[#This Row],[Peso Expedido]]</f>
        <v>0</v>
      </c>
      <c r="AA94" s="321">
        <v>1</v>
      </c>
      <c r="AB94" s="322"/>
      <c r="AC94" s="321">
        <v>1</v>
      </c>
      <c r="AD94" s="321">
        <v>1</v>
      </c>
      <c r="AE94" s="321">
        <v>1</v>
      </c>
      <c r="AF94" s="321">
        <v>1</v>
      </c>
      <c r="AG94" s="321">
        <v>1</v>
      </c>
      <c r="AH94" s="321">
        <v>1</v>
      </c>
      <c r="AI94" s="32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324" t="s">
        <v>3127</v>
      </c>
      <c r="B97" s="309" t="s">
        <v>3128</v>
      </c>
      <c r="C97" s="307">
        <v>1</v>
      </c>
      <c r="D97" s="325" t="s">
        <v>3136</v>
      </c>
      <c r="E97" s="307">
        <v>3794</v>
      </c>
      <c r="F97" s="307">
        <v>25</v>
      </c>
      <c r="G97" s="326">
        <v>26.3</v>
      </c>
      <c r="H97" s="310">
        <f>Tabela1[[#This Row],[PESO UNI]]*Tabela1[[#This Row],[QTE]]</f>
        <v>26.3</v>
      </c>
      <c r="I97" s="307" t="s">
        <v>4414</v>
      </c>
      <c r="J97" s="311" t="s">
        <v>3034</v>
      </c>
      <c r="K97" s="311" t="s">
        <v>31</v>
      </c>
      <c r="L97" s="312" t="s">
        <v>2984</v>
      </c>
      <c r="M97" s="313">
        <v>46188</v>
      </c>
      <c r="N97" s="311" t="s">
        <v>38</v>
      </c>
      <c r="O97" s="314"/>
      <c r="P97" s="315"/>
      <c r="Q97" s="14">
        <f>Tabela1[[#This Row],[QTDE/ Fabricação]]-Tabela1[[#This Row],[QTE]]</f>
        <v>-1</v>
      </c>
      <c r="R97" s="317">
        <f t="shared" si="24"/>
        <v>26.3</v>
      </c>
      <c r="S97" s="317">
        <f t="shared" si="25"/>
        <v>26.3</v>
      </c>
      <c r="T97" s="318">
        <f t="shared" si="26"/>
        <v>0</v>
      </c>
      <c r="U97" s="319">
        <f>IFERROR(SUMIF('LISTA DE EMBARQUE'!B:B,MICRO!E:E,'LISTA DE EMBARQUE'!G:G),"")</f>
        <v>1</v>
      </c>
      <c r="V97" s="314">
        <f>IFERROR(VLOOKUP(Tabela1[[#This Row],[COD.MDE]],'LISTA DE EMBARQUE'!B:L,11,0),"")</f>
        <v>3</v>
      </c>
      <c r="W97" s="315" t="str">
        <f>IFERROR(COUNTIF(#REF!,Tabela1[[#This Row],[Colunas5]]),"")</f>
        <v/>
      </c>
      <c r="X97" s="316">
        <f>Tabela1[[#This Row],[QIANTIDADE EXPEDIDA]]*Tabela1[[#This Row],[PESO UNI]]</f>
        <v>26.3</v>
      </c>
      <c r="Y97" s="316">
        <f t="shared" si="27"/>
        <v>0</v>
      </c>
      <c r="Z97" s="320">
        <f>Tabela1[[#This Row],[PESO TOTAL]]-Tabela1[[#This Row],[Peso Expedido]]</f>
        <v>0</v>
      </c>
      <c r="AA97" s="321">
        <v>1</v>
      </c>
      <c r="AB97" s="322"/>
      <c r="AC97" s="321">
        <v>1</v>
      </c>
      <c r="AD97" s="321">
        <v>1</v>
      </c>
      <c r="AE97" s="321">
        <v>1</v>
      </c>
      <c r="AF97" s="321">
        <v>1</v>
      </c>
      <c r="AG97" s="321">
        <v>1</v>
      </c>
      <c r="AH97" s="322">
        <v>1</v>
      </c>
      <c r="AI97" s="32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324" t="s">
        <v>3127</v>
      </c>
      <c r="B98" s="309" t="s">
        <v>3128</v>
      </c>
      <c r="C98" s="307">
        <v>1</v>
      </c>
      <c r="D98" s="325" t="s">
        <v>3137</v>
      </c>
      <c r="E98" s="307">
        <v>3795</v>
      </c>
      <c r="F98" s="307">
        <v>25</v>
      </c>
      <c r="G98" s="326">
        <v>2.4</v>
      </c>
      <c r="H98" s="310">
        <f>Tabela1[[#This Row],[PESO UNI]]*Tabela1[[#This Row],[QTE]]</f>
        <v>2.4</v>
      </c>
      <c r="I98" s="307" t="s">
        <v>4414</v>
      </c>
      <c r="J98" s="311" t="s">
        <v>3034</v>
      </c>
      <c r="K98" s="311" t="s">
        <v>31</v>
      </c>
      <c r="L98" s="312" t="s">
        <v>2984</v>
      </c>
      <c r="M98" s="313">
        <v>46188</v>
      </c>
      <c r="N98" s="311" t="s">
        <v>38</v>
      </c>
      <c r="O98" s="314"/>
      <c r="P98" s="315"/>
      <c r="Q98" s="14">
        <f>Tabela1[[#This Row],[QTDE/ Fabricação]]-Tabela1[[#This Row],[QTE]]</f>
        <v>-1</v>
      </c>
      <c r="R98" s="317">
        <f t="shared" si="24"/>
        <v>2.4</v>
      </c>
      <c r="S98" s="317">
        <f t="shared" si="25"/>
        <v>2.4</v>
      </c>
      <c r="T98" s="318">
        <f t="shared" si="26"/>
        <v>0</v>
      </c>
      <c r="U98" s="319">
        <f>IFERROR(SUMIF('LISTA DE EMBARQUE'!B:B,MICRO!E:E,'LISTA DE EMBARQUE'!G:G),"")</f>
        <v>1</v>
      </c>
      <c r="V98" s="314">
        <f>IFERROR(VLOOKUP(Tabela1[[#This Row],[COD.MDE]],'LISTA DE EMBARQUE'!B:L,11,0),"")</f>
        <v>6</v>
      </c>
      <c r="W98" s="315" t="str">
        <f>IFERROR(COUNTIF(#REF!,Tabela1[[#This Row],[Colunas5]]),"")</f>
        <v/>
      </c>
      <c r="X98" s="316">
        <f>Tabela1[[#This Row],[QIANTIDADE EXPEDIDA]]*Tabela1[[#This Row],[PESO UNI]]</f>
        <v>2.4</v>
      </c>
      <c r="Y98" s="316">
        <f t="shared" si="27"/>
        <v>0</v>
      </c>
      <c r="Z98" s="320">
        <f>Tabela1[[#This Row],[PESO TOTAL]]-Tabela1[[#This Row],[Peso Expedido]]</f>
        <v>0</v>
      </c>
      <c r="AA98" s="321">
        <v>1</v>
      </c>
      <c r="AB98" s="322"/>
      <c r="AC98" s="321">
        <v>1</v>
      </c>
      <c r="AD98" s="321">
        <v>1</v>
      </c>
      <c r="AE98" s="321">
        <v>1</v>
      </c>
      <c r="AF98" s="321">
        <v>1</v>
      </c>
      <c r="AG98" s="321">
        <v>1</v>
      </c>
      <c r="AH98" s="321">
        <v>1</v>
      </c>
      <c r="AI98" s="32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324" t="s">
        <v>3039</v>
      </c>
      <c r="B101" s="309"/>
      <c r="C101" s="307">
        <v>4</v>
      </c>
      <c r="D101" s="325" t="s">
        <v>3040</v>
      </c>
      <c r="E101" s="307">
        <v>3798</v>
      </c>
      <c r="F101" s="307">
        <v>24</v>
      </c>
      <c r="G101" s="326">
        <v>2.7</v>
      </c>
      <c r="H101" s="310">
        <f>Tabela1[[#This Row],[PESO UNI]]*Tabela1[[#This Row],[QTE]]</f>
        <v>10.8</v>
      </c>
      <c r="I101" s="307">
        <v>0</v>
      </c>
      <c r="J101" s="311" t="s">
        <v>3140</v>
      </c>
      <c r="K101" s="311" t="s">
        <v>23</v>
      </c>
      <c r="L101" s="312" t="s">
        <v>2984</v>
      </c>
      <c r="M101" s="313">
        <v>46188</v>
      </c>
      <c r="N101" s="311" t="s">
        <v>38</v>
      </c>
      <c r="O101" s="314"/>
      <c r="P101" s="315"/>
      <c r="Q101" s="14">
        <f>Tabela1[[#This Row],[QTDE/ Fabricação]]-Tabela1[[#This Row],[QTE]]</f>
        <v>-4</v>
      </c>
      <c r="R101" s="317">
        <f t="shared" si="24"/>
        <v>10.8</v>
      </c>
      <c r="S101" s="317">
        <f t="shared" si="25"/>
        <v>10.8</v>
      </c>
      <c r="T101" s="318">
        <f t="shared" si="26"/>
        <v>0</v>
      </c>
      <c r="U101" s="319">
        <f>IFERROR(SUMIF('LISTA DE EMBARQUE'!B:B,MICRO!E:E,'LISTA DE EMBARQUE'!G:G),"")</f>
        <v>4</v>
      </c>
      <c r="V101" s="314">
        <f>IFERROR(VLOOKUP(Tabela1[[#This Row],[COD.MDE]],'LISTA DE EMBARQUE'!B:L,11,0),"")</f>
        <v>2</v>
      </c>
      <c r="W101" s="315" t="str">
        <f>IFERROR(COUNTIF(#REF!,Tabela1[[#This Row],[Colunas5]]),"")</f>
        <v/>
      </c>
      <c r="X101" s="316">
        <f>Tabela1[[#This Row],[QIANTIDADE EXPEDIDA]]*Tabela1[[#This Row],[PESO UNI]]</f>
        <v>10.8</v>
      </c>
      <c r="Y101" s="316">
        <f t="shared" si="27"/>
        <v>0</v>
      </c>
      <c r="Z101" s="320">
        <f>Tabela1[[#This Row],[PESO TOTAL]]-Tabela1[[#This Row],[Peso Expedido]]</f>
        <v>0</v>
      </c>
      <c r="AA101" s="321">
        <v>1</v>
      </c>
      <c r="AB101" s="322"/>
      <c r="AC101" s="322">
        <v>1</v>
      </c>
      <c r="AD101" s="322">
        <v>1</v>
      </c>
      <c r="AE101" s="322">
        <v>1</v>
      </c>
      <c r="AF101" s="322">
        <v>1</v>
      </c>
      <c r="AG101" s="322">
        <v>1</v>
      </c>
      <c r="AH101" s="322">
        <v>1</v>
      </c>
      <c r="AI101" s="32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324" t="s">
        <v>3043</v>
      </c>
      <c r="B102" s="309"/>
      <c r="C102" s="307">
        <v>4</v>
      </c>
      <c r="D102" s="325" t="s">
        <v>3141</v>
      </c>
      <c r="E102" s="307">
        <v>3799</v>
      </c>
      <c r="F102" s="307">
        <v>24</v>
      </c>
      <c r="G102" s="326">
        <v>3.2</v>
      </c>
      <c r="H102" s="310">
        <f>Tabela1[[#This Row],[PESO UNI]]*Tabela1[[#This Row],[QTE]]</f>
        <v>12.8</v>
      </c>
      <c r="I102" s="307">
        <v>0</v>
      </c>
      <c r="J102" s="311" t="s">
        <v>3140</v>
      </c>
      <c r="K102" s="311" t="s">
        <v>23</v>
      </c>
      <c r="L102" s="312" t="s">
        <v>2984</v>
      </c>
      <c r="M102" s="313">
        <v>46188</v>
      </c>
      <c r="N102" s="311" t="s">
        <v>38</v>
      </c>
      <c r="O102" s="314"/>
      <c r="P102" s="315"/>
      <c r="Q102" s="14">
        <f>Tabela1[[#This Row],[QTDE/ Fabricação]]-Tabela1[[#This Row],[QTE]]</f>
        <v>-4</v>
      </c>
      <c r="R102" s="317">
        <f t="shared" si="24"/>
        <v>12.8</v>
      </c>
      <c r="S102" s="317">
        <f t="shared" si="25"/>
        <v>12.8</v>
      </c>
      <c r="T102" s="318">
        <f t="shared" si="26"/>
        <v>0</v>
      </c>
      <c r="U102" s="319">
        <f>IFERROR(SUMIF('LISTA DE EMBARQUE'!B:B,MICRO!E:E,'LISTA DE EMBARQUE'!G:G),"")</f>
        <v>4</v>
      </c>
      <c r="V102" s="314">
        <f>IFERROR(VLOOKUP(Tabela1[[#This Row],[COD.MDE]],'LISTA DE EMBARQUE'!B:L,11,0),"")</f>
        <v>2</v>
      </c>
      <c r="W102" s="315" t="str">
        <f>IFERROR(COUNTIF(#REF!,Tabela1[[#This Row],[Colunas5]]),"")</f>
        <v/>
      </c>
      <c r="X102" s="316">
        <f>Tabela1[[#This Row],[QIANTIDADE EXPEDIDA]]*Tabela1[[#This Row],[PESO UNI]]</f>
        <v>12.8</v>
      </c>
      <c r="Y102" s="316">
        <f t="shared" si="27"/>
        <v>0</v>
      </c>
      <c r="Z102" s="320">
        <f>Tabela1[[#This Row],[PESO TOTAL]]-Tabela1[[#This Row],[Peso Expedido]]</f>
        <v>0</v>
      </c>
      <c r="AA102" s="321">
        <v>1</v>
      </c>
      <c r="AB102" s="322"/>
      <c r="AC102" s="322">
        <v>1</v>
      </c>
      <c r="AD102" s="322">
        <v>1</v>
      </c>
      <c r="AE102" s="322">
        <v>1</v>
      </c>
      <c r="AF102" s="322">
        <v>1</v>
      </c>
      <c r="AG102" s="322">
        <v>1</v>
      </c>
      <c r="AH102" s="322">
        <v>1</v>
      </c>
      <c r="AI102" s="32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324" t="s">
        <v>3142</v>
      </c>
      <c r="B103" s="309"/>
      <c r="C103" s="307">
        <v>6</v>
      </c>
      <c r="D103" s="325" t="s">
        <v>3143</v>
      </c>
      <c r="E103" s="307">
        <v>3800</v>
      </c>
      <c r="F103" s="307">
        <v>24</v>
      </c>
      <c r="G103" s="326">
        <v>54</v>
      </c>
      <c r="H103" s="310">
        <f>Tabela1[[#This Row],[PESO UNI]]*Tabela1[[#This Row],[QTE]]</f>
        <v>324</v>
      </c>
      <c r="I103" s="307">
        <v>0</v>
      </c>
      <c r="J103" s="311" t="s">
        <v>3140</v>
      </c>
      <c r="K103" s="311" t="s">
        <v>23</v>
      </c>
      <c r="L103" s="312" t="s">
        <v>2984</v>
      </c>
      <c r="M103" s="313">
        <v>46188</v>
      </c>
      <c r="N103" s="311" t="s">
        <v>38</v>
      </c>
      <c r="O103" s="314"/>
      <c r="P103" s="315"/>
      <c r="Q103" s="14">
        <f>Tabela1[[#This Row],[QTDE/ Fabricação]]-Tabela1[[#This Row],[QTE]]</f>
        <v>-6</v>
      </c>
      <c r="R103" s="317">
        <f t="shared" si="24"/>
        <v>324</v>
      </c>
      <c r="S103" s="317">
        <f t="shared" si="25"/>
        <v>324</v>
      </c>
      <c r="T103" s="318">
        <f t="shared" si="26"/>
        <v>0</v>
      </c>
      <c r="U103" s="319">
        <f>IFERROR(SUMIF('LISTA DE EMBARQUE'!B:B,MICRO!E:E,'LISTA DE EMBARQUE'!G:G),"")</f>
        <v>6</v>
      </c>
      <c r="V103" s="314">
        <f>IFERROR(VLOOKUP(Tabela1[[#This Row],[COD.MDE]],'LISTA DE EMBARQUE'!B:L,11,0),"")</f>
        <v>1</v>
      </c>
      <c r="W103" s="315" t="str">
        <f>IFERROR(COUNTIF(#REF!,Tabela1[[#This Row],[Colunas5]]),"")</f>
        <v/>
      </c>
      <c r="X103" s="316">
        <f>Tabela1[[#This Row],[QIANTIDADE EXPEDIDA]]*Tabela1[[#This Row],[PESO UNI]]</f>
        <v>324</v>
      </c>
      <c r="Y103" s="316">
        <f t="shared" si="27"/>
        <v>0</v>
      </c>
      <c r="Z103" s="320">
        <f>Tabela1[[#This Row],[PESO TOTAL]]-Tabela1[[#This Row],[Peso Expedido]]</f>
        <v>0</v>
      </c>
      <c r="AA103" s="321">
        <v>1</v>
      </c>
      <c r="AB103" s="322"/>
      <c r="AC103" s="322">
        <v>1</v>
      </c>
      <c r="AD103" s="322">
        <v>1</v>
      </c>
      <c r="AE103" s="322">
        <v>1</v>
      </c>
      <c r="AF103" s="322">
        <v>1</v>
      </c>
      <c r="AG103" s="322">
        <v>1</v>
      </c>
      <c r="AH103" s="322">
        <v>1</v>
      </c>
      <c r="AI103" s="32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324" t="s">
        <v>3144</v>
      </c>
      <c r="B104" s="309"/>
      <c r="C104" s="307">
        <v>14</v>
      </c>
      <c r="D104" s="325" t="s">
        <v>660</v>
      </c>
      <c r="E104" s="307">
        <v>3801</v>
      </c>
      <c r="F104" s="307">
        <v>24</v>
      </c>
      <c r="G104" s="326">
        <v>4.7</v>
      </c>
      <c r="H104" s="310">
        <f>Tabela1[[#This Row],[PESO UNI]]*Tabela1[[#This Row],[QTE]]</f>
        <v>65.8</v>
      </c>
      <c r="I104" s="307">
        <v>0</v>
      </c>
      <c r="J104" s="311" t="s">
        <v>3140</v>
      </c>
      <c r="K104" s="311" t="s">
        <v>23</v>
      </c>
      <c r="L104" s="312" t="s">
        <v>2984</v>
      </c>
      <c r="M104" s="313">
        <v>46188</v>
      </c>
      <c r="N104" s="311" t="s">
        <v>38</v>
      </c>
      <c r="O104" s="314"/>
      <c r="P104" s="315"/>
      <c r="Q104" s="14">
        <f>Tabela1[[#This Row],[QTDE/ Fabricação]]-Tabela1[[#This Row],[QTE]]</f>
        <v>-14</v>
      </c>
      <c r="R104" s="317">
        <f t="shared" si="24"/>
        <v>65.8</v>
      </c>
      <c r="S104" s="317">
        <f t="shared" si="25"/>
        <v>65.8</v>
      </c>
      <c r="T104" s="318">
        <f t="shared" si="26"/>
        <v>0</v>
      </c>
      <c r="U104" s="319">
        <f>IFERROR(SUMIF('LISTA DE EMBARQUE'!B:B,MICRO!E:E,'LISTA DE EMBARQUE'!G:G),"")</f>
        <v>14</v>
      </c>
      <c r="V104" s="314">
        <f>IFERROR(VLOOKUP(Tabela1[[#This Row],[COD.MDE]],'LISTA DE EMBARQUE'!B:L,11,0),"")</f>
        <v>5</v>
      </c>
      <c r="W104" s="315" t="str">
        <f>IFERROR(COUNTIF(#REF!,Tabela1[[#This Row],[Colunas5]]),"")</f>
        <v/>
      </c>
      <c r="X104" s="316">
        <f>Tabela1[[#This Row],[QIANTIDADE EXPEDIDA]]*Tabela1[[#This Row],[PESO UNI]]</f>
        <v>65.8</v>
      </c>
      <c r="Y104" s="316">
        <f t="shared" si="27"/>
        <v>0</v>
      </c>
      <c r="Z104" s="320">
        <f>Tabela1[[#This Row],[PESO TOTAL]]-Tabela1[[#This Row],[Peso Expedido]]</f>
        <v>0</v>
      </c>
      <c r="AA104" s="321">
        <v>1</v>
      </c>
      <c r="AB104" s="322"/>
      <c r="AC104" s="322">
        <v>1</v>
      </c>
      <c r="AD104" s="322">
        <v>1</v>
      </c>
      <c r="AE104" s="322">
        <v>1</v>
      </c>
      <c r="AF104" s="322">
        <v>1</v>
      </c>
      <c r="AG104" s="322">
        <v>1</v>
      </c>
      <c r="AH104" s="322">
        <v>1</v>
      </c>
      <c r="AI104" s="32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324" t="s">
        <v>144</v>
      </c>
      <c r="B105" s="309"/>
      <c r="C105" s="307">
        <v>42</v>
      </c>
      <c r="D105" s="325" t="s">
        <v>205</v>
      </c>
      <c r="E105" s="307">
        <v>3802</v>
      </c>
      <c r="F105" s="307">
        <v>24</v>
      </c>
      <c r="G105" s="326">
        <v>9</v>
      </c>
      <c r="H105" s="310">
        <f>Tabela1[[#This Row],[PESO UNI]]*Tabela1[[#This Row],[QTE]]</f>
        <v>378</v>
      </c>
      <c r="I105" s="307">
        <v>0</v>
      </c>
      <c r="J105" s="311" t="s">
        <v>3140</v>
      </c>
      <c r="K105" s="311" t="s">
        <v>23</v>
      </c>
      <c r="L105" s="312" t="s">
        <v>2984</v>
      </c>
      <c r="M105" s="313">
        <v>46188</v>
      </c>
      <c r="N105" s="311" t="s">
        <v>38</v>
      </c>
      <c r="O105" s="314"/>
      <c r="P105" s="315"/>
      <c r="Q105" s="14">
        <f>Tabela1[[#This Row],[QTDE/ Fabricação]]-Tabela1[[#This Row],[QTE]]</f>
        <v>-42</v>
      </c>
      <c r="R105" s="317">
        <f t="shared" si="24"/>
        <v>378</v>
      </c>
      <c r="S105" s="317">
        <f t="shared" si="25"/>
        <v>378</v>
      </c>
      <c r="T105" s="318">
        <f t="shared" si="26"/>
        <v>0</v>
      </c>
      <c r="U105" s="319">
        <f>IFERROR(SUMIF('LISTA DE EMBARQUE'!B:B,MICRO!E:E,'LISTA DE EMBARQUE'!G:G),"")</f>
        <v>42</v>
      </c>
      <c r="V105" s="314">
        <f>IFERROR(VLOOKUP(Tabela1[[#This Row],[COD.MDE]],'LISTA DE EMBARQUE'!B:L,11,0),"")</f>
        <v>2</v>
      </c>
      <c r="W105" s="315" t="str">
        <f>IFERROR(COUNTIF(#REF!,Tabela1[[#This Row],[Colunas5]]),"")</f>
        <v/>
      </c>
      <c r="X105" s="316">
        <f>Tabela1[[#This Row],[QIANTIDADE EXPEDIDA]]*Tabela1[[#This Row],[PESO UNI]]</f>
        <v>378</v>
      </c>
      <c r="Y105" s="316">
        <f t="shared" si="27"/>
        <v>0</v>
      </c>
      <c r="Z105" s="320">
        <f>Tabela1[[#This Row],[PESO TOTAL]]-Tabela1[[#This Row],[Peso Expedido]]</f>
        <v>0</v>
      </c>
      <c r="AA105" s="321">
        <v>1</v>
      </c>
      <c r="AB105" s="322"/>
      <c r="AC105" s="322">
        <v>1</v>
      </c>
      <c r="AD105" s="322">
        <v>1</v>
      </c>
      <c r="AE105" s="322">
        <v>1</v>
      </c>
      <c r="AF105" s="322">
        <v>1</v>
      </c>
      <c r="AG105" s="322">
        <v>1</v>
      </c>
      <c r="AH105" s="322">
        <v>1</v>
      </c>
      <c r="AI105" s="32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324" t="s">
        <v>414</v>
      </c>
      <c r="B106" s="309"/>
      <c r="C106" s="307">
        <v>24</v>
      </c>
      <c r="D106" s="325" t="s">
        <v>3145</v>
      </c>
      <c r="E106" s="307">
        <v>3803</v>
      </c>
      <c r="F106" s="307">
        <v>24</v>
      </c>
      <c r="G106" s="326">
        <v>5</v>
      </c>
      <c r="H106" s="310">
        <f>Tabela1[[#This Row],[PESO UNI]]*Tabela1[[#This Row],[QTE]]</f>
        <v>120</v>
      </c>
      <c r="I106" s="307">
        <v>0</v>
      </c>
      <c r="J106" s="311" t="s">
        <v>3140</v>
      </c>
      <c r="K106" s="311" t="s">
        <v>23</v>
      </c>
      <c r="L106" s="312" t="s">
        <v>2984</v>
      </c>
      <c r="M106" s="313">
        <v>46188</v>
      </c>
      <c r="N106" s="311" t="s">
        <v>38</v>
      </c>
      <c r="O106" s="314"/>
      <c r="P106" s="315"/>
      <c r="Q106" s="14">
        <f>Tabela1[[#This Row],[QTDE/ Fabricação]]-Tabela1[[#This Row],[QTE]]</f>
        <v>-24</v>
      </c>
      <c r="R106" s="317">
        <f t="shared" si="24"/>
        <v>120</v>
      </c>
      <c r="S106" s="317">
        <f t="shared" si="25"/>
        <v>120</v>
      </c>
      <c r="T106" s="318">
        <f t="shared" si="26"/>
        <v>0</v>
      </c>
      <c r="U106" s="319">
        <f>IFERROR(SUMIF('LISTA DE EMBARQUE'!B:B,MICRO!E:E,'LISTA DE EMBARQUE'!G:G),"")</f>
        <v>24</v>
      </c>
      <c r="V106" s="314">
        <f>IFERROR(VLOOKUP(Tabela1[[#This Row],[COD.MDE]],'LISTA DE EMBARQUE'!B:L,11,0),"")</f>
        <v>2</v>
      </c>
      <c r="W106" s="315" t="str">
        <f>IFERROR(COUNTIF(#REF!,Tabela1[[#This Row],[Colunas5]]),"")</f>
        <v/>
      </c>
      <c r="X106" s="316">
        <f>Tabela1[[#This Row],[QIANTIDADE EXPEDIDA]]*Tabela1[[#This Row],[PESO UNI]]</f>
        <v>120</v>
      </c>
      <c r="Y106" s="316">
        <f t="shared" si="27"/>
        <v>0</v>
      </c>
      <c r="Z106" s="320">
        <f>Tabela1[[#This Row],[PESO TOTAL]]-Tabela1[[#This Row],[Peso Expedido]]</f>
        <v>0</v>
      </c>
      <c r="AA106" s="321">
        <v>1</v>
      </c>
      <c r="AB106" s="322"/>
      <c r="AC106" s="322">
        <v>1</v>
      </c>
      <c r="AD106" s="322">
        <v>1</v>
      </c>
      <c r="AE106" s="322">
        <v>1</v>
      </c>
      <c r="AF106" s="322">
        <v>1</v>
      </c>
      <c r="AG106" s="322">
        <v>1</v>
      </c>
      <c r="AH106" s="322">
        <v>1</v>
      </c>
      <c r="AI106" s="32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324" t="s">
        <v>3146</v>
      </c>
      <c r="B107" s="309"/>
      <c r="C107" s="307">
        <v>1</v>
      </c>
      <c r="D107" s="325" t="s">
        <v>3147</v>
      </c>
      <c r="E107" s="307">
        <v>3804</v>
      </c>
      <c r="F107" s="307">
        <v>23</v>
      </c>
      <c r="G107" s="326">
        <v>18.5</v>
      </c>
      <c r="H107" s="310">
        <f>Tabela1[[#This Row],[PESO UNI]]*Tabela1[[#This Row],[QTE]]</f>
        <v>18.5</v>
      </c>
      <c r="I107" s="307">
        <v>0</v>
      </c>
      <c r="J107" s="311" t="s">
        <v>3140</v>
      </c>
      <c r="K107" s="311" t="s">
        <v>33</v>
      </c>
      <c r="L107" s="312" t="s">
        <v>2984</v>
      </c>
      <c r="M107" s="313">
        <v>46188</v>
      </c>
      <c r="N107" s="311" t="s">
        <v>38</v>
      </c>
      <c r="O107" s="314"/>
      <c r="P107" s="315"/>
      <c r="Q107" s="14">
        <f>Tabela1[[#This Row],[QTDE/ Fabricação]]-Tabela1[[#This Row],[QTE]]</f>
        <v>-1</v>
      </c>
      <c r="R107" s="317">
        <f t="shared" si="24"/>
        <v>18.5</v>
      </c>
      <c r="S107" s="317">
        <f t="shared" si="25"/>
        <v>18.5</v>
      </c>
      <c r="T107" s="318">
        <f t="shared" si="26"/>
        <v>0</v>
      </c>
      <c r="U107" s="319">
        <f>IFERROR(SUMIF('LISTA DE EMBARQUE'!B:B,MICRO!E:E,'LISTA DE EMBARQUE'!G:G),"")</f>
        <v>1</v>
      </c>
      <c r="V107" s="314">
        <f>IFERROR(VLOOKUP(Tabela1[[#This Row],[COD.MDE]],'LISTA DE EMBARQUE'!B:L,11,0),"")</f>
        <v>2</v>
      </c>
      <c r="W107" s="315" t="str">
        <f>IFERROR(COUNTIF(#REF!,Tabela1[[#This Row],[Colunas5]]),"")</f>
        <v/>
      </c>
      <c r="X107" s="316">
        <f>Tabela1[[#This Row],[QIANTIDADE EXPEDIDA]]*Tabela1[[#This Row],[PESO UNI]]</f>
        <v>18.5</v>
      </c>
      <c r="Y107" s="316">
        <f t="shared" si="27"/>
        <v>0</v>
      </c>
      <c r="Z107" s="320">
        <f>Tabela1[[#This Row],[PESO TOTAL]]-Tabela1[[#This Row],[Peso Expedido]]</f>
        <v>0</v>
      </c>
      <c r="AA107" s="321">
        <v>1</v>
      </c>
      <c r="AB107" s="322"/>
      <c r="AC107" s="322">
        <v>1</v>
      </c>
      <c r="AD107" s="322">
        <v>1</v>
      </c>
      <c r="AE107" s="322">
        <v>1</v>
      </c>
      <c r="AF107" s="322">
        <v>1</v>
      </c>
      <c r="AG107" s="322">
        <v>1</v>
      </c>
      <c r="AH107" s="322">
        <v>1</v>
      </c>
      <c r="AI107" s="32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324" t="s">
        <v>3148</v>
      </c>
      <c r="B108" s="309"/>
      <c r="C108" s="307">
        <v>1</v>
      </c>
      <c r="D108" s="325" t="s">
        <v>3149</v>
      </c>
      <c r="E108" s="307">
        <v>3805</v>
      </c>
      <c r="F108" s="307">
        <v>23</v>
      </c>
      <c r="G108" s="326">
        <v>31.2</v>
      </c>
      <c r="H108" s="310">
        <f>Tabela1[[#This Row],[PESO UNI]]*Tabela1[[#This Row],[QTE]]</f>
        <v>31.2</v>
      </c>
      <c r="I108" s="307">
        <v>0</v>
      </c>
      <c r="J108" s="311" t="s">
        <v>3140</v>
      </c>
      <c r="K108" s="311" t="s">
        <v>33</v>
      </c>
      <c r="L108" s="312" t="s">
        <v>2984</v>
      </c>
      <c r="M108" s="313">
        <v>46188</v>
      </c>
      <c r="N108" s="311" t="s">
        <v>38</v>
      </c>
      <c r="O108" s="314"/>
      <c r="P108" s="315"/>
      <c r="Q108" s="14">
        <f>Tabela1[[#This Row],[QTDE/ Fabricação]]-Tabela1[[#This Row],[QTE]]</f>
        <v>-1</v>
      </c>
      <c r="R108" s="317">
        <f t="shared" si="24"/>
        <v>31.2</v>
      </c>
      <c r="S108" s="317">
        <f t="shared" si="25"/>
        <v>31.2</v>
      </c>
      <c r="T108" s="318">
        <f t="shared" si="26"/>
        <v>0</v>
      </c>
      <c r="U108" s="319">
        <f>IFERROR(SUMIF('LISTA DE EMBARQUE'!B:B,MICRO!E:E,'LISTA DE EMBARQUE'!G:G),"")</f>
        <v>1</v>
      </c>
      <c r="V108" s="314">
        <f>IFERROR(VLOOKUP(Tabela1[[#This Row],[COD.MDE]],'LISTA DE EMBARQUE'!B:L,11,0),"")</f>
        <v>2</v>
      </c>
      <c r="W108" s="315" t="str">
        <f>IFERROR(COUNTIF(#REF!,Tabela1[[#This Row],[Colunas5]]),"")</f>
        <v/>
      </c>
      <c r="X108" s="316">
        <f>Tabela1[[#This Row],[QIANTIDADE EXPEDIDA]]*Tabela1[[#This Row],[PESO UNI]]</f>
        <v>31.2</v>
      </c>
      <c r="Y108" s="316">
        <f t="shared" si="27"/>
        <v>0</v>
      </c>
      <c r="Z108" s="320">
        <f>Tabela1[[#This Row],[PESO TOTAL]]-Tabela1[[#This Row],[Peso Expedido]]</f>
        <v>0</v>
      </c>
      <c r="AA108" s="321">
        <v>1</v>
      </c>
      <c r="AB108" s="322"/>
      <c r="AC108" s="322">
        <v>1</v>
      </c>
      <c r="AD108" s="322">
        <v>1</v>
      </c>
      <c r="AE108" s="322">
        <v>1</v>
      </c>
      <c r="AF108" s="322">
        <v>1</v>
      </c>
      <c r="AG108" s="322">
        <v>1</v>
      </c>
      <c r="AH108" s="322">
        <v>1</v>
      </c>
      <c r="AI108" s="32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324" t="s">
        <v>3150</v>
      </c>
      <c r="B109" s="309"/>
      <c r="C109" s="307">
        <v>5</v>
      </c>
      <c r="D109" s="325" t="s">
        <v>3151</v>
      </c>
      <c r="E109" s="307">
        <v>3806</v>
      </c>
      <c r="F109" s="307">
        <v>23</v>
      </c>
      <c r="G109" s="326">
        <v>6</v>
      </c>
      <c r="H109" s="310">
        <f>Tabela1[[#This Row],[PESO UNI]]*Tabela1[[#This Row],[QTE]]</f>
        <v>30</v>
      </c>
      <c r="I109" s="307">
        <v>0</v>
      </c>
      <c r="J109" s="311" t="s">
        <v>3140</v>
      </c>
      <c r="K109" s="311" t="s">
        <v>33</v>
      </c>
      <c r="L109" s="312" t="s">
        <v>2984</v>
      </c>
      <c r="M109" s="313">
        <v>46188</v>
      </c>
      <c r="N109" s="311" t="s">
        <v>38</v>
      </c>
      <c r="O109" s="314"/>
      <c r="P109" s="315"/>
      <c r="Q109" s="14">
        <f>Tabela1[[#This Row],[QTDE/ Fabricação]]-Tabela1[[#This Row],[QTE]]</f>
        <v>-5</v>
      </c>
      <c r="R109" s="317">
        <f t="shared" si="24"/>
        <v>30</v>
      </c>
      <c r="S109" s="317">
        <f t="shared" si="25"/>
        <v>30</v>
      </c>
      <c r="T109" s="318">
        <f t="shared" si="26"/>
        <v>0</v>
      </c>
      <c r="U109" s="319">
        <f>IFERROR(SUMIF('LISTA DE EMBARQUE'!B:B,MICRO!E:E,'LISTA DE EMBARQUE'!G:G),"")</f>
        <v>5</v>
      </c>
      <c r="V109" s="314">
        <f>IFERROR(VLOOKUP(Tabela1[[#This Row],[COD.MDE]],'LISTA DE EMBARQUE'!B:L,11,0),"")</f>
        <v>5</v>
      </c>
      <c r="W109" s="315" t="str">
        <f>IFERROR(COUNTIF(#REF!,Tabela1[[#This Row],[Colunas5]]),"")</f>
        <v/>
      </c>
      <c r="X109" s="316">
        <f>Tabela1[[#This Row],[QIANTIDADE EXPEDIDA]]*Tabela1[[#This Row],[PESO UNI]]</f>
        <v>30</v>
      </c>
      <c r="Y109" s="316">
        <f t="shared" si="27"/>
        <v>0</v>
      </c>
      <c r="Z109" s="320">
        <f>Tabela1[[#This Row],[PESO TOTAL]]-Tabela1[[#This Row],[Peso Expedido]]</f>
        <v>0</v>
      </c>
      <c r="AA109" s="321">
        <v>1</v>
      </c>
      <c r="AB109" s="322"/>
      <c r="AC109" s="322">
        <v>1</v>
      </c>
      <c r="AD109" s="322">
        <v>1</v>
      </c>
      <c r="AE109" s="322">
        <v>1</v>
      </c>
      <c r="AF109" s="322">
        <v>1</v>
      </c>
      <c r="AG109" s="322">
        <v>1</v>
      </c>
      <c r="AH109" s="322">
        <v>1</v>
      </c>
      <c r="AI109" s="32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324" t="s">
        <v>3152</v>
      </c>
      <c r="B110" s="309"/>
      <c r="C110" s="307">
        <v>2</v>
      </c>
      <c r="D110" s="325" t="s">
        <v>3153</v>
      </c>
      <c r="E110" s="307">
        <v>3807</v>
      </c>
      <c r="F110" s="307">
        <v>23</v>
      </c>
      <c r="G110" s="326">
        <v>51.6</v>
      </c>
      <c r="H110" s="310">
        <f>Tabela1[[#This Row],[PESO UNI]]*Tabela1[[#This Row],[QTE]]</f>
        <v>103.2</v>
      </c>
      <c r="I110" s="307">
        <v>0</v>
      </c>
      <c r="J110" s="311" t="s">
        <v>3140</v>
      </c>
      <c r="K110" s="311" t="s">
        <v>33</v>
      </c>
      <c r="L110" s="312" t="s">
        <v>2984</v>
      </c>
      <c r="M110" s="313">
        <v>46188</v>
      </c>
      <c r="N110" s="311" t="s">
        <v>38</v>
      </c>
      <c r="O110" s="314"/>
      <c r="P110" s="315"/>
      <c r="Q110" s="14">
        <f>Tabela1[[#This Row],[QTDE/ Fabricação]]-Tabela1[[#This Row],[QTE]]</f>
        <v>-2</v>
      </c>
      <c r="R110" s="317">
        <f t="shared" si="24"/>
        <v>103.2</v>
      </c>
      <c r="S110" s="317">
        <f t="shared" si="25"/>
        <v>103.2</v>
      </c>
      <c r="T110" s="318">
        <f t="shared" si="26"/>
        <v>0</v>
      </c>
      <c r="U110" s="319">
        <f>IFERROR(SUMIF('LISTA DE EMBARQUE'!B:B,MICRO!E:E,'LISTA DE EMBARQUE'!G:G),"")</f>
        <v>2</v>
      </c>
      <c r="V110" s="314">
        <f>IFERROR(VLOOKUP(Tabela1[[#This Row],[COD.MDE]],'LISTA DE EMBARQUE'!B:L,11,0),"")</f>
        <v>2</v>
      </c>
      <c r="W110" s="315" t="str">
        <f>IFERROR(COUNTIF(#REF!,Tabela1[[#This Row],[Colunas5]]),"")</f>
        <v/>
      </c>
      <c r="X110" s="316">
        <f>Tabela1[[#This Row],[QIANTIDADE EXPEDIDA]]*Tabela1[[#This Row],[PESO UNI]]</f>
        <v>103.2</v>
      </c>
      <c r="Y110" s="316">
        <f t="shared" si="27"/>
        <v>0</v>
      </c>
      <c r="Z110" s="320">
        <f>Tabela1[[#This Row],[PESO TOTAL]]-Tabela1[[#This Row],[Peso Expedido]]</f>
        <v>0</v>
      </c>
      <c r="AA110" s="321">
        <v>1</v>
      </c>
      <c r="AB110" s="322"/>
      <c r="AC110" s="322">
        <v>1</v>
      </c>
      <c r="AD110" s="322">
        <v>1</v>
      </c>
      <c r="AE110" s="322">
        <v>1</v>
      </c>
      <c r="AF110" s="322">
        <v>1</v>
      </c>
      <c r="AG110" s="322">
        <v>1</v>
      </c>
      <c r="AH110" s="322">
        <v>1</v>
      </c>
      <c r="AI110" s="32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324" t="s">
        <v>3154</v>
      </c>
      <c r="B111" s="309"/>
      <c r="C111" s="307">
        <v>11</v>
      </c>
      <c r="D111" s="325" t="s">
        <v>3155</v>
      </c>
      <c r="E111" s="307">
        <v>3808</v>
      </c>
      <c r="F111" s="307">
        <v>23</v>
      </c>
      <c r="G111" s="326">
        <v>28.1</v>
      </c>
      <c r="H111" s="310">
        <f>Tabela1[[#This Row],[PESO UNI]]*Tabela1[[#This Row],[QTE]]</f>
        <v>309.10000000000002</v>
      </c>
      <c r="I111" s="307">
        <v>0</v>
      </c>
      <c r="J111" s="311" t="s">
        <v>3140</v>
      </c>
      <c r="K111" s="311" t="s">
        <v>33</v>
      </c>
      <c r="L111" s="312" t="s">
        <v>2984</v>
      </c>
      <c r="M111" s="313">
        <v>46188</v>
      </c>
      <c r="N111" s="311" t="s">
        <v>38</v>
      </c>
      <c r="O111" s="314"/>
      <c r="P111" s="315"/>
      <c r="Q111" s="14">
        <f>Tabela1[[#This Row],[QTDE/ Fabricação]]-Tabela1[[#This Row],[QTE]]</f>
        <v>-11</v>
      </c>
      <c r="R111" s="317">
        <f t="shared" si="24"/>
        <v>309.10000000000002</v>
      </c>
      <c r="S111" s="317">
        <f t="shared" si="25"/>
        <v>309.10000000000002</v>
      </c>
      <c r="T111" s="318">
        <f t="shared" si="26"/>
        <v>0</v>
      </c>
      <c r="U111" s="319">
        <f>IFERROR(SUMIF('LISTA DE EMBARQUE'!B:B,MICRO!E:E,'LISTA DE EMBARQUE'!G:G),"")</f>
        <v>11</v>
      </c>
      <c r="V111" s="314">
        <f>IFERROR(VLOOKUP(Tabela1[[#This Row],[COD.MDE]],'LISTA DE EMBARQUE'!B:L,11,0),"")</f>
        <v>2</v>
      </c>
      <c r="W111" s="315" t="str">
        <f>IFERROR(COUNTIF(#REF!,Tabela1[[#This Row],[Colunas5]]),"")</f>
        <v/>
      </c>
      <c r="X111" s="316">
        <f>Tabela1[[#This Row],[QIANTIDADE EXPEDIDA]]*Tabela1[[#This Row],[PESO UNI]]</f>
        <v>309.10000000000002</v>
      </c>
      <c r="Y111" s="316">
        <f t="shared" si="27"/>
        <v>0</v>
      </c>
      <c r="Z111" s="320">
        <f>Tabela1[[#This Row],[PESO TOTAL]]-Tabela1[[#This Row],[Peso Expedido]]</f>
        <v>0</v>
      </c>
      <c r="AA111" s="321">
        <v>1</v>
      </c>
      <c r="AB111" s="322"/>
      <c r="AC111" s="322">
        <v>1</v>
      </c>
      <c r="AD111" s="322">
        <v>1</v>
      </c>
      <c r="AE111" s="322">
        <v>1</v>
      </c>
      <c r="AF111" s="322">
        <v>1</v>
      </c>
      <c r="AG111" s="322">
        <v>1</v>
      </c>
      <c r="AH111" s="322">
        <v>1</v>
      </c>
      <c r="AI111" s="32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324" t="s">
        <v>3156</v>
      </c>
      <c r="B112" s="309"/>
      <c r="C112" s="307">
        <v>14</v>
      </c>
      <c r="D112" s="325" t="s">
        <v>3159</v>
      </c>
      <c r="E112" s="307">
        <v>3809</v>
      </c>
      <c r="F112" s="307">
        <v>23</v>
      </c>
      <c r="G112" s="326">
        <v>28</v>
      </c>
      <c r="H112" s="310">
        <f>Tabela1[[#This Row],[PESO UNI]]*Tabela1[[#This Row],[QTE]]</f>
        <v>392</v>
      </c>
      <c r="I112" s="307">
        <v>0</v>
      </c>
      <c r="J112" s="311" t="s">
        <v>3140</v>
      </c>
      <c r="K112" s="311" t="s">
        <v>33</v>
      </c>
      <c r="L112" s="312" t="s">
        <v>2984</v>
      </c>
      <c r="M112" s="313">
        <v>46188</v>
      </c>
      <c r="N112" s="311" t="s">
        <v>38</v>
      </c>
      <c r="O112" s="314"/>
      <c r="P112" s="315"/>
      <c r="Q112" s="14">
        <f>Tabela1[[#This Row],[QTDE/ Fabricação]]-Tabela1[[#This Row],[QTE]]</f>
        <v>-14</v>
      </c>
      <c r="R112" s="317">
        <f t="shared" si="24"/>
        <v>392</v>
      </c>
      <c r="S112" s="317">
        <f t="shared" si="25"/>
        <v>392</v>
      </c>
      <c r="T112" s="318">
        <f t="shared" si="26"/>
        <v>0</v>
      </c>
      <c r="U112" s="319">
        <f>IFERROR(SUMIF('LISTA DE EMBARQUE'!B:B,MICRO!E:E,'LISTA DE EMBARQUE'!G:G),"")</f>
        <v>14</v>
      </c>
      <c r="V112" s="314">
        <f>IFERROR(VLOOKUP(Tabela1[[#This Row],[COD.MDE]],'LISTA DE EMBARQUE'!B:L,11,0),"")</f>
        <v>1</v>
      </c>
      <c r="W112" s="315" t="str">
        <f>IFERROR(COUNTIF(#REF!,Tabela1[[#This Row],[Colunas5]]),"")</f>
        <v/>
      </c>
      <c r="X112" s="316">
        <f>Tabela1[[#This Row],[QIANTIDADE EXPEDIDA]]*Tabela1[[#This Row],[PESO UNI]]</f>
        <v>392</v>
      </c>
      <c r="Y112" s="316">
        <f t="shared" si="27"/>
        <v>0</v>
      </c>
      <c r="Z112" s="320">
        <f>Tabela1[[#This Row],[PESO TOTAL]]-Tabela1[[#This Row],[Peso Expedido]]</f>
        <v>0</v>
      </c>
      <c r="AA112" s="321">
        <v>1</v>
      </c>
      <c r="AB112" s="322"/>
      <c r="AC112" s="322">
        <v>1</v>
      </c>
      <c r="AD112" s="322">
        <v>1</v>
      </c>
      <c r="AE112" s="322">
        <v>1</v>
      </c>
      <c r="AF112" s="322">
        <v>1</v>
      </c>
      <c r="AG112" s="322">
        <v>1</v>
      </c>
      <c r="AH112" s="322">
        <v>1</v>
      </c>
      <c r="AI112" s="32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324" t="s">
        <v>3157</v>
      </c>
      <c r="B113" s="309"/>
      <c r="C113" s="307">
        <v>1</v>
      </c>
      <c r="D113" s="325" t="s">
        <v>3158</v>
      </c>
      <c r="E113" s="307">
        <v>3810</v>
      </c>
      <c r="F113" s="307">
        <v>23</v>
      </c>
      <c r="G113" s="327">
        <v>41.8</v>
      </c>
      <c r="H113" s="310">
        <f>Tabela1[[#This Row],[PESO UNI]]*Tabela1[[#This Row],[QTE]]</f>
        <v>41.8</v>
      </c>
      <c r="I113" s="307">
        <v>0</v>
      </c>
      <c r="J113" s="311" t="s">
        <v>3140</v>
      </c>
      <c r="K113" s="311" t="s">
        <v>33</v>
      </c>
      <c r="L113" s="312" t="s">
        <v>2984</v>
      </c>
      <c r="M113" s="313">
        <v>46188</v>
      </c>
      <c r="N113" s="311" t="s">
        <v>38</v>
      </c>
      <c r="O113" s="314"/>
      <c r="P113" s="315"/>
      <c r="Q113" s="14">
        <f>Tabela1[[#This Row],[QTDE/ Fabricação]]-Tabela1[[#This Row],[QTE]]</f>
        <v>-1</v>
      </c>
      <c r="R113" s="317">
        <f t="shared" si="24"/>
        <v>41.8</v>
      </c>
      <c r="S113" s="317">
        <f t="shared" si="25"/>
        <v>41.8</v>
      </c>
      <c r="T113" s="318">
        <f t="shared" si="26"/>
        <v>0</v>
      </c>
      <c r="U113" s="319">
        <f>IFERROR(SUMIF('LISTA DE EMBARQUE'!B:B,MICRO!E:E,'LISTA DE EMBARQUE'!G:G),"")</f>
        <v>1</v>
      </c>
      <c r="V113" s="314">
        <f>IFERROR(VLOOKUP(Tabela1[[#This Row],[COD.MDE]],'LISTA DE EMBARQUE'!B:L,11,0),"")</f>
        <v>2</v>
      </c>
      <c r="W113" s="315" t="str">
        <f>IFERROR(COUNTIF(#REF!,Tabela1[[#This Row],[Colunas5]]),"")</f>
        <v/>
      </c>
      <c r="X113" s="316">
        <f>Tabela1[[#This Row],[QIANTIDADE EXPEDIDA]]*Tabela1[[#This Row],[PESO UNI]]</f>
        <v>41.8</v>
      </c>
      <c r="Y113" s="316">
        <f t="shared" si="27"/>
        <v>0</v>
      </c>
      <c r="Z113" s="320">
        <f>Tabela1[[#This Row],[PESO TOTAL]]-Tabela1[[#This Row],[Peso Expedido]]</f>
        <v>0</v>
      </c>
      <c r="AA113" s="321">
        <v>1</v>
      </c>
      <c r="AB113" s="322"/>
      <c r="AC113" s="322">
        <v>1</v>
      </c>
      <c r="AD113" s="322">
        <v>1</v>
      </c>
      <c r="AE113" s="322">
        <v>1</v>
      </c>
      <c r="AF113" s="322">
        <v>1</v>
      </c>
      <c r="AG113" s="322">
        <v>1</v>
      </c>
      <c r="AH113" s="322">
        <v>1</v>
      </c>
      <c r="AI113" s="32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324" t="s">
        <v>3063</v>
      </c>
      <c r="B114" s="309"/>
      <c r="C114" s="307">
        <v>4</v>
      </c>
      <c r="D114" s="325" t="s">
        <v>3160</v>
      </c>
      <c r="E114" s="307">
        <v>3811</v>
      </c>
      <c r="F114" s="307">
        <v>23</v>
      </c>
      <c r="G114" s="326">
        <v>2.7</v>
      </c>
      <c r="H114" s="310">
        <f>Tabela1[[#This Row],[PESO UNI]]*Tabela1[[#This Row],[QTE]]</f>
        <v>10.8</v>
      </c>
      <c r="I114" s="307">
        <v>0</v>
      </c>
      <c r="J114" s="311" t="s">
        <v>3140</v>
      </c>
      <c r="K114" s="311" t="s">
        <v>33</v>
      </c>
      <c r="L114" s="312" t="s">
        <v>2984</v>
      </c>
      <c r="M114" s="313">
        <v>46188</v>
      </c>
      <c r="N114" s="311" t="s">
        <v>38</v>
      </c>
      <c r="O114" s="314"/>
      <c r="P114" s="315"/>
      <c r="Q114" s="14">
        <f>Tabela1[[#This Row],[QTDE/ Fabricação]]-Tabela1[[#This Row],[QTE]]</f>
        <v>-4</v>
      </c>
      <c r="R114" s="317">
        <f t="shared" si="24"/>
        <v>10.8</v>
      </c>
      <c r="S114" s="317">
        <f t="shared" si="25"/>
        <v>10.8</v>
      </c>
      <c r="T114" s="318">
        <f t="shared" si="26"/>
        <v>0</v>
      </c>
      <c r="U114" s="319">
        <f>IFERROR(SUMIF('LISTA DE EMBARQUE'!B:B,MICRO!E:E,'LISTA DE EMBARQUE'!G:G),"")</f>
        <v>4</v>
      </c>
      <c r="V114" s="314">
        <f>IFERROR(VLOOKUP(Tabela1[[#This Row],[COD.MDE]],'LISTA DE EMBARQUE'!B:L,11,0),"")</f>
        <v>1</v>
      </c>
      <c r="W114" s="315" t="str">
        <f>IFERROR(COUNTIF(#REF!,Tabela1[[#This Row],[Colunas5]]),"")</f>
        <v/>
      </c>
      <c r="X114" s="316">
        <f>Tabela1[[#This Row],[QIANTIDADE EXPEDIDA]]*Tabela1[[#This Row],[PESO UNI]]</f>
        <v>10.8</v>
      </c>
      <c r="Y114" s="316">
        <f t="shared" si="27"/>
        <v>0</v>
      </c>
      <c r="Z114" s="320">
        <f>Tabela1[[#This Row],[PESO TOTAL]]-Tabela1[[#This Row],[Peso Expedido]]</f>
        <v>0</v>
      </c>
      <c r="AA114" s="321">
        <v>1</v>
      </c>
      <c r="AB114" s="322"/>
      <c r="AC114" s="322">
        <v>1</v>
      </c>
      <c r="AD114" s="322">
        <v>1</v>
      </c>
      <c r="AE114" s="322">
        <v>1</v>
      </c>
      <c r="AF114" s="322">
        <v>1</v>
      </c>
      <c r="AG114" s="322">
        <v>1</v>
      </c>
      <c r="AH114" s="322">
        <v>1</v>
      </c>
      <c r="AI114" s="32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5639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5639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5639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5639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5639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5639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5932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5932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324" t="s">
        <v>3301</v>
      </c>
      <c r="B130" s="309" t="s">
        <v>3302</v>
      </c>
      <c r="C130" s="307">
        <v>3</v>
      </c>
      <c r="D130" s="325" t="s">
        <v>3303</v>
      </c>
      <c r="E130" s="307">
        <v>3827</v>
      </c>
      <c r="F130" s="307">
        <v>28</v>
      </c>
      <c r="G130" s="326">
        <v>7.4</v>
      </c>
      <c r="H130" s="310">
        <f>Tabela1[[#This Row],[PESO UNI]]*Tabela1[[#This Row],[QTE]]</f>
        <v>22.200000000000003</v>
      </c>
      <c r="I130" s="307" t="s">
        <v>4865</v>
      </c>
      <c r="J130" s="311" t="s">
        <v>3034</v>
      </c>
      <c r="K130" s="311" t="s">
        <v>31</v>
      </c>
      <c r="L130" s="312" t="s">
        <v>2984</v>
      </c>
      <c r="M130" s="313">
        <v>46202</v>
      </c>
      <c r="N130" s="311" t="s">
        <v>38</v>
      </c>
      <c r="O130" s="314"/>
      <c r="P130" s="315"/>
      <c r="Q130" s="14">
        <f>Tabela1[[#This Row],[QTDE/ Fabricação]]-Tabela1[[#This Row],[QTE]]</f>
        <v>-3</v>
      </c>
      <c r="R130" s="317">
        <f t="shared" si="34"/>
        <v>22.200000000000003</v>
      </c>
      <c r="S130" s="317">
        <f t="shared" si="35"/>
        <v>22.200000000000003</v>
      </c>
      <c r="T130" s="318">
        <f t="shared" si="36"/>
        <v>0</v>
      </c>
      <c r="U130" s="319">
        <f>IFERROR(SUMIF('LISTA DE EMBARQUE'!B:B,MICRO!E:E,'LISTA DE EMBARQUE'!G:G),"")</f>
        <v>3</v>
      </c>
      <c r="V130" s="314">
        <f>IFERROR(VLOOKUP(Tabela1[[#This Row],[COD.MDE]],'LISTA DE EMBARQUE'!B:L,11,0),"")</f>
        <v>5</v>
      </c>
      <c r="W130" s="315" t="str">
        <f>IFERROR(COUNTIF(#REF!,Tabela1[[#This Row],[Colunas5]]),"")</f>
        <v/>
      </c>
      <c r="X130" s="316">
        <f>Tabela1[[#This Row],[QIANTIDADE EXPEDIDA]]*Tabela1[[#This Row],[PESO UNI]]</f>
        <v>22.200000000000003</v>
      </c>
      <c r="Y130" s="316">
        <f t="shared" si="37"/>
        <v>0</v>
      </c>
      <c r="Z130" s="320">
        <f>Tabela1[[#This Row],[PESO TOTAL]]-Tabela1[[#This Row],[Peso Expedido]]</f>
        <v>0</v>
      </c>
      <c r="AA130" s="321">
        <v>1</v>
      </c>
      <c r="AB130" s="322"/>
      <c r="AC130" s="322">
        <v>1</v>
      </c>
      <c r="AD130" s="322">
        <v>1</v>
      </c>
      <c r="AE130" s="322">
        <v>1</v>
      </c>
      <c r="AF130" s="322">
        <v>1</v>
      </c>
      <c r="AG130" s="322">
        <v>1</v>
      </c>
      <c r="AH130" s="322">
        <v>1</v>
      </c>
      <c r="AI130" s="322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324" t="s">
        <v>3301</v>
      </c>
      <c r="B131" s="309" t="s">
        <v>3302</v>
      </c>
      <c r="C131" s="307">
        <v>1</v>
      </c>
      <c r="D131" s="325" t="s">
        <v>3304</v>
      </c>
      <c r="E131" s="307">
        <v>3828</v>
      </c>
      <c r="F131" s="307">
        <v>28</v>
      </c>
      <c r="G131" s="326">
        <v>470.6</v>
      </c>
      <c r="H131" s="310">
        <f>Tabela1[[#This Row],[PESO UNI]]*Tabela1[[#This Row],[QTE]]</f>
        <v>470.6</v>
      </c>
      <c r="I131" s="307" t="s">
        <v>4865</v>
      </c>
      <c r="J131" s="311" t="s">
        <v>3034</v>
      </c>
      <c r="K131" s="311" t="s">
        <v>31</v>
      </c>
      <c r="L131" s="312" t="s">
        <v>2984</v>
      </c>
      <c r="M131" s="313">
        <v>46202</v>
      </c>
      <c r="N131" s="311" t="s">
        <v>38</v>
      </c>
      <c r="O131" s="314"/>
      <c r="P131" s="315"/>
      <c r="Q131" s="14">
        <f>Tabela1[[#This Row],[QTDE/ Fabricação]]-Tabela1[[#This Row],[QTE]]</f>
        <v>-1</v>
      </c>
      <c r="R131" s="317">
        <f t="shared" si="34"/>
        <v>470.6</v>
      </c>
      <c r="S131" s="317">
        <f t="shared" si="35"/>
        <v>470.6</v>
      </c>
      <c r="T131" s="318">
        <f t="shared" si="36"/>
        <v>0</v>
      </c>
      <c r="U131" s="319">
        <f>IFERROR(SUMIF('LISTA DE EMBARQUE'!B:B,MICRO!E:E,'LISTA DE EMBARQUE'!G:G),"")</f>
        <v>1</v>
      </c>
      <c r="V131" s="314">
        <f>IFERROR(VLOOKUP(Tabela1[[#This Row],[COD.MDE]],'LISTA DE EMBARQUE'!B:L,11,0),"")</f>
        <v>3</v>
      </c>
      <c r="W131" s="315" t="str">
        <f>IFERROR(COUNTIF(#REF!,Tabela1[[#This Row],[Colunas5]]),"")</f>
        <v/>
      </c>
      <c r="X131" s="316">
        <f>Tabela1[[#This Row],[QIANTIDADE EXPEDIDA]]*Tabela1[[#This Row],[PESO UNI]]</f>
        <v>470.6</v>
      </c>
      <c r="Y131" s="316">
        <f t="shared" si="37"/>
        <v>0</v>
      </c>
      <c r="Z131" s="320">
        <f>Tabela1[[#This Row],[PESO TOTAL]]-Tabela1[[#This Row],[Peso Expedido]]</f>
        <v>0</v>
      </c>
      <c r="AA131" s="321">
        <v>1</v>
      </c>
      <c r="AB131" s="322"/>
      <c r="AC131" s="322">
        <v>1</v>
      </c>
      <c r="AD131" s="322">
        <v>1</v>
      </c>
      <c r="AE131" s="322">
        <v>1</v>
      </c>
      <c r="AF131" s="322">
        <v>1</v>
      </c>
      <c r="AG131" s="322">
        <v>1</v>
      </c>
      <c r="AH131" s="322">
        <v>1</v>
      </c>
      <c r="AI131" s="32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324" t="s">
        <v>3081</v>
      </c>
      <c r="B134" s="309"/>
      <c r="C134" s="307">
        <v>76</v>
      </c>
      <c r="D134" s="325" t="s">
        <v>3312</v>
      </c>
      <c r="E134" s="307">
        <v>3831</v>
      </c>
      <c r="F134" s="307">
        <v>9</v>
      </c>
      <c r="G134" s="326">
        <v>7.2</v>
      </c>
      <c r="H134" s="310">
        <f>Tabela1[[#This Row],[PESO UNI]]*Tabela1[[#This Row],[QTE]]</f>
        <v>547.20000000000005</v>
      </c>
      <c r="I134" s="307">
        <v>0</v>
      </c>
      <c r="J134" s="311" t="s">
        <v>3034</v>
      </c>
      <c r="K134" s="311" t="s">
        <v>33</v>
      </c>
      <c r="L134" s="312" t="s">
        <v>2984</v>
      </c>
      <c r="M134" s="313">
        <v>46175</v>
      </c>
      <c r="N134" s="311" t="s">
        <v>38</v>
      </c>
      <c r="O134" s="314"/>
      <c r="P134" s="315"/>
      <c r="Q134" s="14">
        <f>Tabela1[[#This Row],[QTDE/ Fabricação]]-Tabela1[[#This Row],[QTE]]</f>
        <v>-76</v>
      </c>
      <c r="R134" s="317">
        <f t="shared" si="34"/>
        <v>547.20000000000005</v>
      </c>
      <c r="S134" s="317">
        <f t="shared" si="35"/>
        <v>547.20000000000005</v>
      </c>
      <c r="T134" s="318">
        <f t="shared" si="36"/>
        <v>0</v>
      </c>
      <c r="U134" s="319">
        <f>IFERROR(SUMIF('LISTA DE EMBARQUE'!B:B,MICRO!E:E,'LISTA DE EMBARQUE'!G:G),"")</f>
        <v>76</v>
      </c>
      <c r="V134" s="314">
        <f>IFERROR(VLOOKUP(Tabela1[[#This Row],[COD.MDE]],'LISTA DE EMBARQUE'!B:L,11,0),"")</f>
        <v>1</v>
      </c>
      <c r="W134" s="315" t="str">
        <f>IFERROR(COUNTIF(#REF!,Tabela1[[#This Row],[Colunas5]]),"")</f>
        <v/>
      </c>
      <c r="X134" s="316">
        <f>Tabela1[[#This Row],[QIANTIDADE EXPEDIDA]]*Tabela1[[#This Row],[PESO UNI]]</f>
        <v>547.20000000000005</v>
      </c>
      <c r="Y134" s="316">
        <f t="shared" si="37"/>
        <v>0</v>
      </c>
      <c r="Z134" s="320">
        <f>Tabela1[[#This Row],[PESO TOTAL]]-Tabela1[[#This Row],[Peso Expedido]]</f>
        <v>0</v>
      </c>
      <c r="AA134" s="321">
        <v>1</v>
      </c>
      <c r="AB134" s="322"/>
      <c r="AC134" s="322">
        <v>1</v>
      </c>
      <c r="AD134" s="322">
        <v>1</v>
      </c>
      <c r="AE134" s="322">
        <v>1</v>
      </c>
      <c r="AF134" s="322">
        <v>1</v>
      </c>
      <c r="AG134" s="322">
        <v>1</v>
      </c>
      <c r="AH134" s="322">
        <v>1</v>
      </c>
      <c r="AI134" s="32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324" t="s">
        <v>3315</v>
      </c>
      <c r="B135" s="309" t="s">
        <v>3316</v>
      </c>
      <c r="C135" s="307">
        <v>38</v>
      </c>
      <c r="D135" s="325" t="s">
        <v>3317</v>
      </c>
      <c r="E135" s="307">
        <v>3832</v>
      </c>
      <c r="F135" s="307">
        <v>29</v>
      </c>
      <c r="G135" s="326">
        <v>2.6</v>
      </c>
      <c r="H135" s="310">
        <f>Tabela1[[#This Row],[PESO UNI]]*Tabela1[[#This Row],[QTE]]</f>
        <v>98.8</v>
      </c>
      <c r="I135" s="307" t="s">
        <v>4301</v>
      </c>
      <c r="J135" s="311" t="s">
        <v>3034</v>
      </c>
      <c r="K135" s="311" t="s">
        <v>31</v>
      </c>
      <c r="L135" s="312" t="s">
        <v>2984</v>
      </c>
      <c r="M135" s="313">
        <v>46206</v>
      </c>
      <c r="N135" s="311" t="s">
        <v>38</v>
      </c>
      <c r="O135" s="314"/>
      <c r="P135" s="315"/>
      <c r="Q135" s="14">
        <f>Tabela1[[#This Row],[QTDE/ Fabricação]]-Tabela1[[#This Row],[QTE]]</f>
        <v>-38</v>
      </c>
      <c r="R135" s="317">
        <f t="shared" si="34"/>
        <v>98.8</v>
      </c>
      <c r="S135" s="317">
        <f t="shared" si="35"/>
        <v>98.8</v>
      </c>
      <c r="T135" s="318">
        <f t="shared" si="36"/>
        <v>0</v>
      </c>
      <c r="U135" s="319">
        <f>IFERROR(SUMIF('LISTA DE EMBARQUE'!B:B,MICRO!E:E,'LISTA DE EMBARQUE'!G:G),"")</f>
        <v>38</v>
      </c>
      <c r="V135" s="314">
        <f>IFERROR(VLOOKUP(Tabela1[[#This Row],[COD.MDE]],'LISTA DE EMBARQUE'!B:L,11,0),"")</f>
        <v>5</v>
      </c>
      <c r="W135" s="315" t="str">
        <f>IFERROR(COUNTIF(#REF!,Tabela1[[#This Row],[Colunas5]]),"")</f>
        <v/>
      </c>
      <c r="X135" s="316">
        <f>Tabela1[[#This Row],[QIANTIDADE EXPEDIDA]]*Tabela1[[#This Row],[PESO UNI]]</f>
        <v>98.8</v>
      </c>
      <c r="Y135" s="316">
        <f t="shared" si="37"/>
        <v>0</v>
      </c>
      <c r="Z135" s="320">
        <f>Tabela1[[#This Row],[PESO TOTAL]]-Tabela1[[#This Row],[Peso Expedido]]</f>
        <v>0</v>
      </c>
      <c r="AA135" s="321">
        <v>1</v>
      </c>
      <c r="AB135" s="322"/>
      <c r="AC135" s="322">
        <v>1</v>
      </c>
      <c r="AD135" s="322">
        <v>1</v>
      </c>
      <c r="AE135" s="322">
        <v>1</v>
      </c>
      <c r="AF135" s="322">
        <v>1</v>
      </c>
      <c r="AG135" s="322">
        <v>1</v>
      </c>
      <c r="AH135" s="322">
        <v>1</v>
      </c>
      <c r="AI135" s="32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324" t="s">
        <v>3315</v>
      </c>
      <c r="B136" s="309" t="s">
        <v>3316</v>
      </c>
      <c r="C136" s="307">
        <v>16</v>
      </c>
      <c r="D136" s="325" t="s">
        <v>3319</v>
      </c>
      <c r="E136" s="307">
        <v>3833</v>
      </c>
      <c r="F136" s="307">
        <v>29</v>
      </c>
      <c r="G136" s="326">
        <v>2.5</v>
      </c>
      <c r="H136" s="310">
        <f>Tabela1[[#This Row],[PESO UNI]]*Tabela1[[#This Row],[QTE]]</f>
        <v>40</v>
      </c>
      <c r="I136" s="307" t="s">
        <v>4301</v>
      </c>
      <c r="J136" s="311" t="s">
        <v>3034</v>
      </c>
      <c r="K136" s="311" t="s">
        <v>31</v>
      </c>
      <c r="L136" s="312" t="s">
        <v>2984</v>
      </c>
      <c r="M136" s="313">
        <v>46206</v>
      </c>
      <c r="N136" s="311" t="s">
        <v>38</v>
      </c>
      <c r="O136" s="314"/>
      <c r="P136" s="315"/>
      <c r="Q136" s="14">
        <f>Tabela1[[#This Row],[QTDE/ Fabricação]]-Tabela1[[#This Row],[QTE]]</f>
        <v>-16</v>
      </c>
      <c r="R136" s="317">
        <f t="shared" si="34"/>
        <v>40</v>
      </c>
      <c r="S136" s="317">
        <f t="shared" si="35"/>
        <v>40</v>
      </c>
      <c r="T136" s="318">
        <f t="shared" si="36"/>
        <v>0</v>
      </c>
      <c r="U136" s="319">
        <f>IFERROR(SUMIF('LISTA DE EMBARQUE'!B:B,MICRO!E:E,'LISTA DE EMBARQUE'!G:G),"")</f>
        <v>18</v>
      </c>
      <c r="V136" s="314">
        <f>IFERROR(VLOOKUP(Tabela1[[#This Row],[COD.MDE]],'LISTA DE EMBARQUE'!B:L,11,0),"")</f>
        <v>5</v>
      </c>
      <c r="W136" s="315" t="str">
        <f>IFERROR(COUNTIF(#REF!,Tabela1[[#This Row],[Colunas5]]),"")</f>
        <v/>
      </c>
      <c r="X136" s="316">
        <f>Tabela1[[#This Row],[QIANTIDADE EXPEDIDA]]*Tabela1[[#This Row],[PESO UNI]]</f>
        <v>45</v>
      </c>
      <c r="Y136" s="316">
        <f t="shared" si="37"/>
        <v>2</v>
      </c>
      <c r="Z136" s="320">
        <v>0</v>
      </c>
      <c r="AA136" s="321">
        <v>1</v>
      </c>
      <c r="AB136" s="322"/>
      <c r="AC136" s="322">
        <v>1</v>
      </c>
      <c r="AD136" s="322">
        <v>1</v>
      </c>
      <c r="AE136" s="322">
        <v>1</v>
      </c>
      <c r="AF136" s="322">
        <v>1</v>
      </c>
      <c r="AG136" s="322">
        <v>1</v>
      </c>
      <c r="AH136" s="322">
        <v>1</v>
      </c>
      <c r="AI136" s="32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324" t="s">
        <v>3729</v>
      </c>
      <c r="B151" s="309" t="s">
        <v>3730</v>
      </c>
      <c r="C151" s="307">
        <v>4</v>
      </c>
      <c r="D151" s="325" t="s">
        <v>3731</v>
      </c>
      <c r="E151" s="307">
        <v>3848</v>
      </c>
      <c r="F151" s="307">
        <v>30</v>
      </c>
      <c r="G151" s="326">
        <v>60.1</v>
      </c>
      <c r="H151" s="310">
        <f>Tabela1[[#This Row],[PESO UNI]]*Tabela1[[#This Row],[QTE]]</f>
        <v>240.4</v>
      </c>
      <c r="I151" s="307" t="s">
        <v>4301</v>
      </c>
      <c r="J151" s="311" t="s">
        <v>3045</v>
      </c>
      <c r="K151" s="311" t="s">
        <v>31</v>
      </c>
      <c r="L151" s="312" t="s">
        <v>2984</v>
      </c>
      <c r="M151" s="313">
        <v>46210</v>
      </c>
      <c r="N151" s="311" t="s">
        <v>38</v>
      </c>
      <c r="O151" s="314"/>
      <c r="P151" s="315"/>
      <c r="Q151" s="14">
        <f>Tabela1[[#This Row],[QTDE/ Fabricação]]-Tabela1[[#This Row],[QTE]]</f>
        <v>-4</v>
      </c>
      <c r="R151" s="317">
        <f t="shared" si="34"/>
        <v>240.4</v>
      </c>
      <c r="S151" s="317">
        <f t="shared" si="35"/>
        <v>240.4</v>
      </c>
      <c r="T151" s="318">
        <f t="shared" si="36"/>
        <v>0</v>
      </c>
      <c r="U151" s="319">
        <f>IFERROR(SUMIF('LISTA DE EMBARQUE'!B:B,MICRO!E:E,'LISTA DE EMBARQUE'!G:G),"")</f>
        <v>4</v>
      </c>
      <c r="V151" s="314">
        <f>IFERROR(VLOOKUP(Tabela1[[#This Row],[COD.MDE]],'LISTA DE EMBARQUE'!B:L,11,0),"")</f>
        <v>3</v>
      </c>
      <c r="W151" s="315" t="str">
        <f>IFERROR(COUNTIF(#REF!,Tabela1[[#This Row],[Colunas5]]),"")</f>
        <v/>
      </c>
      <c r="X151" s="316">
        <f>Tabela1[[#This Row],[QIANTIDADE EXPEDIDA]]*Tabela1[[#This Row],[PESO UNI]]</f>
        <v>240.4</v>
      </c>
      <c r="Y151" s="316">
        <f t="shared" si="37"/>
        <v>0</v>
      </c>
      <c r="Z151" s="320">
        <f>Tabela1[[#This Row],[PESO TOTAL]]-Tabela1[[#This Row],[Peso Expedido]]</f>
        <v>0</v>
      </c>
      <c r="AA151" s="321">
        <v>1</v>
      </c>
      <c r="AB151" s="322"/>
      <c r="AC151" s="322">
        <v>1</v>
      </c>
      <c r="AD151" s="322">
        <v>1</v>
      </c>
      <c r="AE151" s="322">
        <v>1</v>
      </c>
      <c r="AF151" s="322">
        <v>1</v>
      </c>
      <c r="AG151" s="322">
        <v>1</v>
      </c>
      <c r="AH151" s="322">
        <v>1</v>
      </c>
      <c r="AI151" s="32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324" t="s">
        <v>3732</v>
      </c>
      <c r="B152" s="309" t="s">
        <v>3733</v>
      </c>
      <c r="C152" s="307">
        <v>1</v>
      </c>
      <c r="D152" s="325" t="s">
        <v>3734</v>
      </c>
      <c r="E152" s="307">
        <v>3849</v>
      </c>
      <c r="F152" s="307">
        <v>31</v>
      </c>
      <c r="G152" s="326">
        <v>374.4</v>
      </c>
      <c r="H152" s="310">
        <f>Tabela1[[#This Row],[PESO UNI]]*Tabela1[[#This Row],[QTE]]</f>
        <v>374.4</v>
      </c>
      <c r="I152" s="307" t="s">
        <v>4868</v>
      </c>
      <c r="J152" s="311" t="s">
        <v>3045</v>
      </c>
      <c r="K152" s="311" t="s">
        <v>31</v>
      </c>
      <c r="L152" s="312" t="s">
        <v>2984</v>
      </c>
      <c r="M152" s="313">
        <v>46210</v>
      </c>
      <c r="N152" s="311" t="s">
        <v>38</v>
      </c>
      <c r="O152" s="314"/>
      <c r="P152" s="315"/>
      <c r="Q152" s="14">
        <f>Tabela1[[#This Row],[QTDE/ Fabricação]]-Tabela1[[#This Row],[QTE]]</f>
        <v>-1</v>
      </c>
      <c r="R152" s="317">
        <f t="shared" si="34"/>
        <v>374.4</v>
      </c>
      <c r="S152" s="317">
        <f t="shared" si="35"/>
        <v>374.4</v>
      </c>
      <c r="T152" s="318">
        <f t="shared" si="36"/>
        <v>0</v>
      </c>
      <c r="U152" s="319">
        <f>IFERROR(SUMIF('LISTA DE EMBARQUE'!B:B,MICRO!E:E,'LISTA DE EMBARQUE'!G:G),"")</f>
        <v>1</v>
      </c>
      <c r="V152" s="314">
        <f>IFERROR(VLOOKUP(Tabela1[[#This Row],[COD.MDE]],'LISTA DE EMBARQUE'!B:L,11,0),"")</f>
        <v>5</v>
      </c>
      <c r="W152" s="315" t="str">
        <f>IFERROR(COUNTIF(#REF!,Tabela1[[#This Row],[Colunas5]]),"")</f>
        <v/>
      </c>
      <c r="X152" s="316">
        <f>Tabela1[[#This Row],[QIANTIDADE EXPEDIDA]]*Tabela1[[#This Row],[PESO UNI]]</f>
        <v>374.4</v>
      </c>
      <c r="Y152" s="316">
        <f t="shared" si="37"/>
        <v>0</v>
      </c>
      <c r="Z152" s="320">
        <f>Tabela1[[#This Row],[PESO TOTAL]]-Tabela1[[#This Row],[Peso Expedido]]</f>
        <v>0</v>
      </c>
      <c r="AA152" s="321">
        <v>1</v>
      </c>
      <c r="AB152" s="322"/>
      <c r="AC152" s="322">
        <v>1</v>
      </c>
      <c r="AD152" s="322">
        <v>1</v>
      </c>
      <c r="AE152" s="322">
        <v>1</v>
      </c>
      <c r="AF152" s="322">
        <v>1</v>
      </c>
      <c r="AG152" s="322">
        <v>1</v>
      </c>
      <c r="AH152" s="322">
        <v>1</v>
      </c>
      <c r="AI152" s="322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4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4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4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4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4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4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4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4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4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4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4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4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4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4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4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4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4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4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4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4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4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4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4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4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4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4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4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4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4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4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4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4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4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4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4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4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4">
        <v>1</v>
      </c>
      <c r="V245" s="12">
        <v>1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4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4">
        <v>1</v>
      </c>
      <c r="V247" s="12">
        <v>1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4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4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4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4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4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4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4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4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4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4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4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4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4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1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4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4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4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4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4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4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4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4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4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4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4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4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60</v>
      </c>
      <c r="S439" s="18">
        <f t="shared" si="82"/>
        <v>60</v>
      </c>
      <c r="T439" s="19">
        <f t="shared" ref="T439" si="84">IFERROR(S439-H439,"")</f>
        <v>0</v>
      </c>
      <c r="U439" s="16">
        <f>IFERROR(SUMIF('LISTA DE EMBARQUE'!B:B,MICRO!E:E,'LISTA DE EMBARQUE'!G:G),"")</f>
        <v>6</v>
      </c>
      <c r="V439" s="12">
        <f>IFERROR(VLOOKUP(Tabela1[[#This Row],[COD.MDE]],'LISTA DE EMBARQUE'!B:L,11,0),"")</f>
        <v>1</v>
      </c>
      <c r="W439" s="13" t="str">
        <f>IFERROR(COUNTIF(#REF!,Tabela1[[#This Row],[Colunas5]]),"")</f>
        <v/>
      </c>
      <c r="X439" s="14">
        <f>Tabela1[[#This Row],[QIANTIDADE EXPEDIDA]]*Tabela1[[#This Row],[PESO UNI]]</f>
        <v>60</v>
      </c>
      <c r="Y439" s="14">
        <f t="shared" ref="Y439" si="85">U439-C439</f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tr">
        <f t="shared" si="77"/>
        <v>ok</v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ref="AU439" si="87">IF(AH439="",0,IF(ISTEXT(AH439),H439*VALUE(SUBSTITUTE(AH439,"%",""))/100,H439*AH439))</f>
        <v>60</v>
      </c>
      <c r="AV439" s="37">
        <f t="shared" ref="AV439" si="88">IF(AG439="",0,IF(ISTEXT(AG439),H439*VALUE(SUBSTITUTE(AG439,"%",""))/100,H439*AG439))</f>
        <v>60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75</v>
      </c>
      <c r="S440" s="18">
        <f t="shared" si="82"/>
        <v>75</v>
      </c>
      <c r="T440" s="19">
        <f t="shared" ref="T440:T509" si="90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75</v>
      </c>
      <c r="Y440" s="14">
        <f t="shared" ref="Y440:Y509" si="91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:AU509" si="93">IF(AH440="",0,IF(ISTEXT(AH440),H440*VALUE(SUBSTITUTE(AH440,"%",""))/100,H440*AH440))</f>
        <v>75</v>
      </c>
      <c r="AV440" s="37">
        <f t="shared" ref="AV440:AV509" si="94">IF(AG440="",0,IF(ISTEXT(AG440),H440*VALUE(SUBSTITUTE(AG440,"%",""))/100,H440*AG440))</f>
        <v>75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324" t="s">
        <v>4310</v>
      </c>
      <c r="B442" s="309" t="s">
        <v>4311</v>
      </c>
      <c r="C442" s="307">
        <v>8</v>
      </c>
      <c r="D442" s="325" t="s">
        <v>4313</v>
      </c>
      <c r="E442" s="307">
        <v>4328</v>
      </c>
      <c r="F442" s="307">
        <v>32</v>
      </c>
      <c r="G442" s="326">
        <v>1.2</v>
      </c>
      <c r="H442" s="310">
        <f>Tabela1[[#This Row],[PESO UNI]]*Tabela1[[#This Row],[QTE]]</f>
        <v>9.6</v>
      </c>
      <c r="I442" s="307" t="s">
        <v>4841</v>
      </c>
      <c r="J442" s="311" t="s">
        <v>3045</v>
      </c>
      <c r="K442" s="311" t="s">
        <v>4320</v>
      </c>
      <c r="L442" s="312" t="s">
        <v>2984</v>
      </c>
      <c r="M442" s="313">
        <v>46211</v>
      </c>
      <c r="N442" s="311" t="s">
        <v>38</v>
      </c>
      <c r="O442" s="314"/>
      <c r="P442" s="315"/>
      <c r="Q442" s="14">
        <f>Tabela1[[#This Row],[QTDE/ Fabricação]]-Tabela1[[#This Row],[QTE]]</f>
        <v>-8</v>
      </c>
      <c r="R442" s="317">
        <f t="shared" ref="R442:R451" si="95">IFERROR(H442*((AA442*0.25)+(AC442*0.25)+(AD442*0.225)+(AE442*0.225)+(AF442*0.05)),"")</f>
        <v>9.6</v>
      </c>
      <c r="S442" s="317">
        <f t="shared" ref="S442:S451" si="96">IFERROR(H442*AG442,"")</f>
        <v>9.6</v>
      </c>
      <c r="T442" s="318">
        <f t="shared" ref="T442:T451" si="97">IFERROR(S442-H442,"")</f>
        <v>0</v>
      </c>
      <c r="U442" s="319">
        <f>IFERROR(SUMIF('LISTA DE EMBARQUE'!B:B,MICRO!E:E,'LISTA DE EMBARQUE'!G:G),"")</f>
        <v>8</v>
      </c>
      <c r="V442" s="314">
        <f>IFERROR(VLOOKUP(Tabela1[[#This Row],[COD.MDE]],'LISTA DE EMBARQUE'!B:L,11,0),"")</f>
        <v>6</v>
      </c>
      <c r="W442" s="315" t="str">
        <f>IFERROR(COUNTIF(#REF!,Tabela1[[#This Row],[Colunas5]]),"")</f>
        <v/>
      </c>
      <c r="X442" s="316">
        <f>Tabela1[[#This Row],[QIANTIDADE EXPEDIDA]]*Tabela1[[#This Row],[PESO UNI]]</f>
        <v>9.6</v>
      </c>
      <c r="Y442" s="316">
        <f t="shared" ref="Y442:Y451" si="98">U442-C442</f>
        <v>0</v>
      </c>
      <c r="Z442" s="320">
        <f>Tabela1[[#This Row],[PESO TOTAL]]-Tabela1[[#This Row],[Peso Expedido]]</f>
        <v>0</v>
      </c>
      <c r="AA442" s="321">
        <v>1</v>
      </c>
      <c r="AB442" s="322"/>
      <c r="AC442" s="321">
        <v>1</v>
      </c>
      <c r="AD442" s="321">
        <v>1</v>
      </c>
      <c r="AE442" s="321">
        <v>1</v>
      </c>
      <c r="AF442" s="321">
        <v>1</v>
      </c>
      <c r="AG442" s="321">
        <v>1</v>
      </c>
      <c r="AH442" s="321">
        <v>1</v>
      </c>
      <c r="AI442" s="322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hidden="1" customHeight="1" x14ac:dyDescent="0.25">
      <c r="A443" s="324" t="s">
        <v>4310</v>
      </c>
      <c r="B443" s="309" t="s">
        <v>4311</v>
      </c>
      <c r="C443" s="307">
        <v>8</v>
      </c>
      <c r="D443" s="325" t="s">
        <v>4312</v>
      </c>
      <c r="E443" s="307">
        <v>4329</v>
      </c>
      <c r="F443" s="307">
        <v>32</v>
      </c>
      <c r="G443" s="326">
        <v>11.4</v>
      </c>
      <c r="H443" s="310">
        <f>Tabela1[[#This Row],[PESO UNI]]*Tabela1[[#This Row],[QTE]]</f>
        <v>91.2</v>
      </c>
      <c r="I443" s="307" t="s">
        <v>4841</v>
      </c>
      <c r="J443" s="311" t="s">
        <v>3045</v>
      </c>
      <c r="K443" s="311" t="s">
        <v>4320</v>
      </c>
      <c r="L443" s="312" t="s">
        <v>2984</v>
      </c>
      <c r="M443" s="313">
        <v>46211</v>
      </c>
      <c r="N443" s="311" t="s">
        <v>38</v>
      </c>
      <c r="O443" s="314"/>
      <c r="P443" s="315"/>
      <c r="Q443" s="14">
        <f>Tabela1[[#This Row],[QTDE/ Fabricação]]-Tabela1[[#This Row],[QTE]]</f>
        <v>-8</v>
      </c>
      <c r="R443" s="317">
        <f t="shared" si="95"/>
        <v>91.2</v>
      </c>
      <c r="S443" s="317">
        <f t="shared" si="96"/>
        <v>91.2</v>
      </c>
      <c r="T443" s="318">
        <f t="shared" si="97"/>
        <v>0</v>
      </c>
      <c r="U443" s="319">
        <f>IFERROR(SUMIF('LISTA DE EMBARQUE'!B:B,MICRO!E:E,'LISTA DE EMBARQUE'!G:G),"")</f>
        <v>8</v>
      </c>
      <c r="V443" s="314">
        <f>IFERROR(VLOOKUP(Tabela1[[#This Row],[COD.MDE]],'LISTA DE EMBARQUE'!B:L,11,0),"")</f>
        <v>3</v>
      </c>
      <c r="W443" s="315" t="str">
        <f>IFERROR(COUNTIF(#REF!,Tabela1[[#This Row],[Colunas5]]),"")</f>
        <v/>
      </c>
      <c r="X443" s="316">
        <f>Tabela1[[#This Row],[QIANTIDADE EXPEDIDA]]*Tabela1[[#This Row],[PESO UNI]]</f>
        <v>91.2</v>
      </c>
      <c r="Y443" s="316">
        <f t="shared" si="98"/>
        <v>0</v>
      </c>
      <c r="Z443" s="320">
        <f>Tabela1[[#This Row],[PESO TOTAL]]-Tabela1[[#This Row],[Peso Expedido]]</f>
        <v>0</v>
      </c>
      <c r="AA443" s="321">
        <v>1</v>
      </c>
      <c r="AB443" s="322"/>
      <c r="AC443" s="322">
        <v>1</v>
      </c>
      <c r="AD443" s="322">
        <v>1</v>
      </c>
      <c r="AE443" s="322">
        <v>1</v>
      </c>
      <c r="AF443" s="322">
        <v>1</v>
      </c>
      <c r="AG443" s="322">
        <v>1</v>
      </c>
      <c r="AH443" s="322">
        <v>1</v>
      </c>
      <c r="AI443" s="322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324" t="s">
        <v>4310</v>
      </c>
      <c r="B444" s="309" t="s">
        <v>4311</v>
      </c>
      <c r="C444" s="307">
        <v>4</v>
      </c>
      <c r="D444" s="325" t="s">
        <v>4314</v>
      </c>
      <c r="E444" s="307">
        <v>4330</v>
      </c>
      <c r="F444" s="307">
        <v>32</v>
      </c>
      <c r="G444" s="326">
        <v>51.3</v>
      </c>
      <c r="H444" s="310">
        <f>Tabela1[[#This Row],[PESO UNI]]*Tabela1[[#This Row],[QTE]]</f>
        <v>205.2</v>
      </c>
      <c r="I444" s="307" t="s">
        <v>4841</v>
      </c>
      <c r="J444" s="311" t="s">
        <v>3045</v>
      </c>
      <c r="K444" s="311" t="s">
        <v>4320</v>
      </c>
      <c r="L444" s="312" t="s">
        <v>2984</v>
      </c>
      <c r="M444" s="313">
        <v>46211</v>
      </c>
      <c r="N444" s="311" t="s">
        <v>38</v>
      </c>
      <c r="O444" s="314"/>
      <c r="P444" s="315"/>
      <c r="Q444" s="14">
        <f>Tabela1[[#This Row],[QTDE/ Fabricação]]-Tabela1[[#This Row],[QTE]]</f>
        <v>-4</v>
      </c>
      <c r="R444" s="317">
        <f t="shared" si="95"/>
        <v>205.2</v>
      </c>
      <c r="S444" s="317">
        <f t="shared" si="96"/>
        <v>205.2</v>
      </c>
      <c r="T444" s="318">
        <f t="shared" si="97"/>
        <v>0</v>
      </c>
      <c r="U444" s="319">
        <f>IFERROR(SUMIF('LISTA DE EMBARQUE'!B:B,MICRO!E:E,'LISTA DE EMBARQUE'!G:G),"")</f>
        <v>4</v>
      </c>
      <c r="V444" s="314">
        <f>IFERROR(VLOOKUP(Tabela1[[#This Row],[COD.MDE]],'LISTA DE EMBARQUE'!B:L,11,0),"")</f>
        <v>5</v>
      </c>
      <c r="W444" s="315" t="str">
        <f>IFERROR(COUNTIF(#REF!,Tabela1[[#This Row],[Colunas5]]),"")</f>
        <v/>
      </c>
      <c r="X444" s="316">
        <f>Tabela1[[#This Row],[QIANTIDADE EXPEDIDA]]*Tabela1[[#This Row],[PESO UNI]]</f>
        <v>205.2</v>
      </c>
      <c r="Y444" s="316">
        <f t="shared" si="98"/>
        <v>0</v>
      </c>
      <c r="Z444" s="320">
        <f>Tabela1[[#This Row],[PESO TOTAL]]-Tabela1[[#This Row],[Peso Expedido]]</f>
        <v>0</v>
      </c>
      <c r="AA444" s="321">
        <v>1</v>
      </c>
      <c r="AB444" s="322"/>
      <c r="AC444" s="322">
        <v>1</v>
      </c>
      <c r="AD444" s="322">
        <v>1</v>
      </c>
      <c r="AE444" s="322">
        <v>1</v>
      </c>
      <c r="AF444" s="322">
        <v>1</v>
      </c>
      <c r="AG444" s="322">
        <v>1</v>
      </c>
      <c r="AH444" s="322">
        <v>1</v>
      </c>
      <c r="AI444" s="32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324" t="s">
        <v>4310</v>
      </c>
      <c r="B445" s="309" t="s">
        <v>4311</v>
      </c>
      <c r="C445" s="307">
        <v>8</v>
      </c>
      <c r="D445" s="325" t="s">
        <v>4315</v>
      </c>
      <c r="E445" s="307">
        <v>4331</v>
      </c>
      <c r="F445" s="307">
        <v>32</v>
      </c>
      <c r="G445" s="326">
        <v>4.8</v>
      </c>
      <c r="H445" s="310">
        <f>Tabela1[[#This Row],[PESO UNI]]*Tabela1[[#This Row],[QTE]]</f>
        <v>38.4</v>
      </c>
      <c r="I445" s="307" t="s">
        <v>4841</v>
      </c>
      <c r="J445" s="311" t="s">
        <v>3045</v>
      </c>
      <c r="K445" s="311" t="s">
        <v>4320</v>
      </c>
      <c r="L445" s="312" t="s">
        <v>2984</v>
      </c>
      <c r="M445" s="313">
        <v>46211</v>
      </c>
      <c r="N445" s="311" t="s">
        <v>38</v>
      </c>
      <c r="O445" s="314"/>
      <c r="P445" s="315"/>
      <c r="Q445" s="14">
        <f>Tabela1[[#This Row],[QTDE/ Fabricação]]-Tabela1[[#This Row],[QTE]]</f>
        <v>-8</v>
      </c>
      <c r="R445" s="317">
        <f t="shared" si="95"/>
        <v>38.4</v>
      </c>
      <c r="S445" s="317">
        <f t="shared" si="96"/>
        <v>38.4</v>
      </c>
      <c r="T445" s="318">
        <f t="shared" si="97"/>
        <v>0</v>
      </c>
      <c r="U445" s="319">
        <f>IFERROR(SUMIF('LISTA DE EMBARQUE'!B:B,MICRO!E:E,'LISTA DE EMBARQUE'!G:G),"")</f>
        <v>8</v>
      </c>
      <c r="V445" s="314">
        <f>IFERROR(VLOOKUP(Tabela1[[#This Row],[COD.MDE]],'LISTA DE EMBARQUE'!B:L,11,0),"")</f>
        <v>6</v>
      </c>
      <c r="W445" s="315" t="str">
        <f>IFERROR(COUNTIF(#REF!,Tabela1[[#This Row],[Colunas5]]),"")</f>
        <v/>
      </c>
      <c r="X445" s="316">
        <f>Tabela1[[#This Row],[QIANTIDADE EXPEDIDA]]*Tabela1[[#This Row],[PESO UNI]]</f>
        <v>38.4</v>
      </c>
      <c r="Y445" s="316">
        <f t="shared" si="98"/>
        <v>0</v>
      </c>
      <c r="Z445" s="320">
        <f>Tabela1[[#This Row],[PESO TOTAL]]-Tabela1[[#This Row],[Peso Expedido]]</f>
        <v>0</v>
      </c>
      <c r="AA445" s="321">
        <v>1</v>
      </c>
      <c r="AB445" s="322"/>
      <c r="AC445" s="321">
        <v>1</v>
      </c>
      <c r="AD445" s="321">
        <v>1</v>
      </c>
      <c r="AE445" s="321">
        <v>1</v>
      </c>
      <c r="AF445" s="321">
        <v>1</v>
      </c>
      <c r="AG445" s="321">
        <v>1</v>
      </c>
      <c r="AH445" s="321">
        <v>1</v>
      </c>
      <c r="AI445" s="32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hidden="1" customHeight="1" x14ac:dyDescent="0.25">
      <c r="A446" s="324" t="s">
        <v>4310</v>
      </c>
      <c r="B446" s="309" t="s">
        <v>4311</v>
      </c>
      <c r="C446" s="307">
        <v>22</v>
      </c>
      <c r="D446" s="325" t="s">
        <v>4316</v>
      </c>
      <c r="E446" s="307">
        <v>4333</v>
      </c>
      <c r="F446" s="307">
        <v>32</v>
      </c>
      <c r="G446" s="326">
        <v>7.6</v>
      </c>
      <c r="H446" s="310">
        <f>Tabela1[[#This Row],[PESO UNI]]*Tabela1[[#This Row],[QTE]]</f>
        <v>167.2</v>
      </c>
      <c r="I446" s="307" t="s">
        <v>4841</v>
      </c>
      <c r="J446" s="311" t="s">
        <v>3045</v>
      </c>
      <c r="K446" s="311" t="s">
        <v>4320</v>
      </c>
      <c r="L446" s="312" t="s">
        <v>2984</v>
      </c>
      <c r="M446" s="313">
        <v>46211</v>
      </c>
      <c r="N446" s="311" t="s">
        <v>38</v>
      </c>
      <c r="O446" s="314"/>
      <c r="P446" s="315"/>
      <c r="Q446" s="14">
        <f>Tabela1[[#This Row],[QTDE/ Fabricação]]-Tabela1[[#This Row],[QTE]]</f>
        <v>-22</v>
      </c>
      <c r="R446" s="317">
        <f t="shared" si="95"/>
        <v>167.2</v>
      </c>
      <c r="S446" s="317">
        <f t="shared" si="96"/>
        <v>167.2</v>
      </c>
      <c r="T446" s="318">
        <f t="shared" si="97"/>
        <v>0</v>
      </c>
      <c r="U446" s="319">
        <f>IFERROR(SUMIF('LISTA DE EMBARQUE'!B:B,MICRO!E:E,'LISTA DE EMBARQUE'!G:G),"")</f>
        <v>22</v>
      </c>
      <c r="V446" s="314">
        <f>IFERROR(VLOOKUP(Tabela1[[#This Row],[COD.MDE]],'LISTA DE EMBARQUE'!B:L,11,0),"")</f>
        <v>5</v>
      </c>
      <c r="W446" s="315" t="str">
        <f>IFERROR(COUNTIF(#REF!,Tabela1[[#This Row],[Colunas5]]),"")</f>
        <v/>
      </c>
      <c r="X446" s="316">
        <f>Tabela1[[#This Row],[QIANTIDADE EXPEDIDA]]*Tabela1[[#This Row],[PESO UNI]]</f>
        <v>167.2</v>
      </c>
      <c r="Y446" s="316">
        <f t="shared" si="98"/>
        <v>0</v>
      </c>
      <c r="Z446" s="320">
        <f>Tabela1[[#This Row],[PESO TOTAL]]-Tabela1[[#This Row],[Peso Expedido]]</f>
        <v>0</v>
      </c>
      <c r="AA446" s="321">
        <v>1</v>
      </c>
      <c r="AB446" s="322"/>
      <c r="AC446" s="322">
        <v>1</v>
      </c>
      <c r="AD446" s="322">
        <v>1</v>
      </c>
      <c r="AE446" s="322">
        <v>1</v>
      </c>
      <c r="AF446" s="322">
        <v>1</v>
      </c>
      <c r="AG446" s="322">
        <v>1</v>
      </c>
      <c r="AH446" s="322">
        <v>1</v>
      </c>
      <c r="AI446" s="32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324" t="s">
        <v>4310</v>
      </c>
      <c r="B447" s="309" t="s">
        <v>4311</v>
      </c>
      <c r="C447" s="307">
        <v>1</v>
      </c>
      <c r="D447" s="325" t="s">
        <v>4317</v>
      </c>
      <c r="E447" s="307">
        <v>4334</v>
      </c>
      <c r="F447" s="307">
        <v>32</v>
      </c>
      <c r="G447" s="326">
        <v>25.9</v>
      </c>
      <c r="H447" s="310">
        <f>Tabela1[[#This Row],[PESO UNI]]*Tabela1[[#This Row],[QTE]]</f>
        <v>25.9</v>
      </c>
      <c r="I447" s="307" t="s">
        <v>4841</v>
      </c>
      <c r="J447" s="311" t="s">
        <v>3045</v>
      </c>
      <c r="K447" s="311" t="s">
        <v>4320</v>
      </c>
      <c r="L447" s="312" t="s">
        <v>2984</v>
      </c>
      <c r="M447" s="313">
        <v>46211</v>
      </c>
      <c r="N447" s="311" t="s">
        <v>38</v>
      </c>
      <c r="O447" s="314"/>
      <c r="P447" s="315"/>
      <c r="Q447" s="14">
        <f>Tabela1[[#This Row],[QTDE/ Fabricação]]-Tabela1[[#This Row],[QTE]]</f>
        <v>-1</v>
      </c>
      <c r="R447" s="317">
        <f t="shared" si="95"/>
        <v>25.9</v>
      </c>
      <c r="S447" s="317">
        <f t="shared" si="96"/>
        <v>25.9</v>
      </c>
      <c r="T447" s="318">
        <f t="shared" si="97"/>
        <v>0</v>
      </c>
      <c r="U447" s="319">
        <f>IFERROR(SUMIF('LISTA DE EMBARQUE'!B:B,MICRO!E:E,'LISTA DE EMBARQUE'!G:G),"")</f>
        <v>1</v>
      </c>
      <c r="V447" s="314">
        <f>IFERROR(VLOOKUP(Tabela1[[#This Row],[COD.MDE]],'LISTA DE EMBARQUE'!B:L,11,0),"")</f>
        <v>5</v>
      </c>
      <c r="W447" s="315" t="str">
        <f>IFERROR(COUNTIF(#REF!,Tabela1[[#This Row],[Colunas5]]),"")</f>
        <v/>
      </c>
      <c r="X447" s="316">
        <f>Tabela1[[#This Row],[QIANTIDADE EXPEDIDA]]*Tabela1[[#This Row],[PESO UNI]]</f>
        <v>25.9</v>
      </c>
      <c r="Y447" s="316">
        <f t="shared" si="98"/>
        <v>0</v>
      </c>
      <c r="Z447" s="320">
        <f>Tabela1[[#This Row],[PESO TOTAL]]-Tabela1[[#This Row],[Peso Expedido]]</f>
        <v>0</v>
      </c>
      <c r="AA447" s="321">
        <v>1</v>
      </c>
      <c r="AB447" s="322"/>
      <c r="AC447" s="322">
        <v>1</v>
      </c>
      <c r="AD447" s="322">
        <v>1</v>
      </c>
      <c r="AE447" s="322">
        <v>1</v>
      </c>
      <c r="AF447" s="322">
        <v>1</v>
      </c>
      <c r="AG447" s="322">
        <v>1</v>
      </c>
      <c r="AH447" s="322">
        <v>1</v>
      </c>
      <c r="AI447" s="32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324" t="s">
        <v>4310</v>
      </c>
      <c r="B448" s="309" t="s">
        <v>4311</v>
      </c>
      <c r="C448" s="307">
        <v>1</v>
      </c>
      <c r="D448" s="325" t="s">
        <v>4318</v>
      </c>
      <c r="E448" s="307">
        <v>4335</v>
      </c>
      <c r="F448" s="307">
        <v>32</v>
      </c>
      <c r="G448" s="326">
        <v>2.6</v>
      </c>
      <c r="H448" s="310">
        <f>Tabela1[[#This Row],[PESO UNI]]*Tabela1[[#This Row],[QTE]]</f>
        <v>2.6</v>
      </c>
      <c r="I448" s="307" t="s">
        <v>4841</v>
      </c>
      <c r="J448" s="311" t="s">
        <v>3045</v>
      </c>
      <c r="K448" s="311" t="s">
        <v>4320</v>
      </c>
      <c r="L448" s="312" t="s">
        <v>2984</v>
      </c>
      <c r="M448" s="313">
        <v>46211</v>
      </c>
      <c r="N448" s="311" t="s">
        <v>38</v>
      </c>
      <c r="O448" s="314"/>
      <c r="P448" s="315"/>
      <c r="Q448" s="14">
        <f>Tabela1[[#This Row],[QTDE/ Fabricação]]-Tabela1[[#This Row],[QTE]]</f>
        <v>-1</v>
      </c>
      <c r="R448" s="317">
        <f t="shared" si="95"/>
        <v>2.6</v>
      </c>
      <c r="S448" s="317">
        <f t="shared" si="96"/>
        <v>2.6</v>
      </c>
      <c r="T448" s="318">
        <f t="shared" si="97"/>
        <v>0</v>
      </c>
      <c r="U448" s="319">
        <f>IFERROR(SUMIF('LISTA DE EMBARQUE'!B:B,MICRO!E:E,'LISTA DE EMBARQUE'!G:G),"")</f>
        <v>1</v>
      </c>
      <c r="V448" s="314">
        <f>IFERROR(VLOOKUP(Tabela1[[#This Row],[COD.MDE]],'LISTA DE EMBARQUE'!B:L,11,0),"")</f>
        <v>6</v>
      </c>
      <c r="W448" s="315" t="str">
        <f>IFERROR(COUNTIF(#REF!,Tabela1[[#This Row],[Colunas5]]),"")</f>
        <v/>
      </c>
      <c r="X448" s="316">
        <f>Tabela1[[#This Row],[QIANTIDADE EXPEDIDA]]*Tabela1[[#This Row],[PESO UNI]]</f>
        <v>2.6</v>
      </c>
      <c r="Y448" s="316">
        <f t="shared" si="98"/>
        <v>0</v>
      </c>
      <c r="Z448" s="320">
        <f>Tabela1[[#This Row],[PESO TOTAL]]-Tabela1[[#This Row],[Peso Expedido]]</f>
        <v>0</v>
      </c>
      <c r="AA448" s="321">
        <v>1</v>
      </c>
      <c r="AB448" s="322"/>
      <c r="AC448" s="321">
        <v>1</v>
      </c>
      <c r="AD448" s="321">
        <v>1</v>
      </c>
      <c r="AE448" s="321">
        <v>1</v>
      </c>
      <c r="AF448" s="321">
        <v>1</v>
      </c>
      <c r="AG448" s="321">
        <v>1</v>
      </c>
      <c r="AH448" s="321">
        <v>1</v>
      </c>
      <c r="AI448" s="32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324" t="s">
        <v>4417</v>
      </c>
      <c r="B450" s="309" t="s">
        <v>4418</v>
      </c>
      <c r="C450" s="307">
        <v>1</v>
      </c>
      <c r="D450" s="325" t="s">
        <v>4419</v>
      </c>
      <c r="E450" s="307">
        <v>4338</v>
      </c>
      <c r="F450" s="307">
        <v>35</v>
      </c>
      <c r="G450" s="326">
        <v>748.2</v>
      </c>
      <c r="H450" s="310">
        <f>Tabela1[[#This Row],[PESO UNI]]*Tabela1[[#This Row],[QTE]]</f>
        <v>748.2</v>
      </c>
      <c r="I450" s="307" t="s">
        <v>4950</v>
      </c>
      <c r="J450" s="311" t="s">
        <v>3045</v>
      </c>
      <c r="K450" s="311" t="s">
        <v>31</v>
      </c>
      <c r="L450" s="312" t="s">
        <v>2984</v>
      </c>
      <c r="M450" s="313">
        <v>46218</v>
      </c>
      <c r="N450" s="311" t="s">
        <v>38</v>
      </c>
      <c r="O450" s="316"/>
      <c r="P450" s="317"/>
      <c r="Q450" s="14">
        <f>Tabela1[[#This Row],[QTDE/ Fabricação]]-Tabela1[[#This Row],[QTE]]</f>
        <v>-1</v>
      </c>
      <c r="R450" s="317">
        <f t="shared" si="95"/>
        <v>748.2</v>
      </c>
      <c r="S450" s="317">
        <f t="shared" si="96"/>
        <v>748.2</v>
      </c>
      <c r="T450" s="318">
        <f t="shared" si="97"/>
        <v>0</v>
      </c>
      <c r="U450" s="319">
        <f>IFERROR(SUMIF('LISTA DE EMBARQUE'!B:B,MICRO!E:E,'LISTA DE EMBARQUE'!G:G),"")</f>
        <v>1</v>
      </c>
      <c r="V450" s="314">
        <f>IFERROR(VLOOKUP(Tabela1[[#This Row],[COD.MDE]],'LISTA DE EMBARQUE'!B:L,11,0),"")</f>
        <v>4</v>
      </c>
      <c r="W450" s="315"/>
      <c r="X450" s="316">
        <f>IFERROR(Tabela1[[#This Row],[QIANTIDADE EXPEDIDA]]*Tabela1[[#This Row],[PESO UNI]],"")</f>
        <v>748.2</v>
      </c>
      <c r="Y450" s="316">
        <f t="shared" si="98"/>
        <v>0</v>
      </c>
      <c r="Z450" s="320">
        <f>Tabela1[[#This Row],[PESO TOTAL]]-Tabela1[[#This Row],[Peso Expedido]]</f>
        <v>0</v>
      </c>
      <c r="AA450" s="322">
        <v>1</v>
      </c>
      <c r="AB450" s="322"/>
      <c r="AC450" s="322">
        <v>1</v>
      </c>
      <c r="AD450" s="322">
        <v>1</v>
      </c>
      <c r="AE450" s="322">
        <v>1</v>
      </c>
      <c r="AF450" s="322">
        <v>1</v>
      </c>
      <c r="AG450" s="322">
        <v>1</v>
      </c>
      <c r="AH450" s="322">
        <v>1</v>
      </c>
      <c r="AI450" s="322" t="str">
        <f t="shared" si="99"/>
        <v>ok</v>
      </c>
    </row>
    <row r="451" spans="1:49" ht="15.75" hidden="1" customHeight="1" x14ac:dyDescent="0.25">
      <c r="A451" s="324" t="s">
        <v>4420</v>
      </c>
      <c r="B451" s="309" t="s">
        <v>4421</v>
      </c>
      <c r="C451" s="307">
        <v>5</v>
      </c>
      <c r="D451" s="325" t="s">
        <v>4422</v>
      </c>
      <c r="E451" s="307">
        <v>4339</v>
      </c>
      <c r="F451" s="307">
        <v>35</v>
      </c>
      <c r="G451" s="326">
        <v>730.2</v>
      </c>
      <c r="H451" s="310">
        <f>Tabela1[[#This Row],[PESO UNI]]*Tabela1[[#This Row],[QTE]]</f>
        <v>3651</v>
      </c>
      <c r="I451" s="307" t="s">
        <v>4441</v>
      </c>
      <c r="J451" s="311" t="s">
        <v>3045</v>
      </c>
      <c r="K451" s="311" t="s">
        <v>31</v>
      </c>
      <c r="L451" s="312" t="s">
        <v>2984</v>
      </c>
      <c r="M451" s="313">
        <v>46218</v>
      </c>
      <c r="N451" s="311" t="s">
        <v>38</v>
      </c>
      <c r="O451" s="316"/>
      <c r="P451" s="317"/>
      <c r="Q451" s="14">
        <f>Tabela1[[#This Row],[QTDE/ Fabricação]]-Tabela1[[#This Row],[QTE]]</f>
        <v>-5</v>
      </c>
      <c r="R451" s="317">
        <f t="shared" si="95"/>
        <v>3651</v>
      </c>
      <c r="S451" s="317">
        <f t="shared" si="96"/>
        <v>3651</v>
      </c>
      <c r="T451" s="318">
        <f t="shared" si="97"/>
        <v>0</v>
      </c>
      <c r="U451" s="319">
        <f>IFERROR(SUMIF('LISTA DE EMBARQUE'!B:B,MICRO!E:E,'LISTA DE EMBARQUE'!G:G),"")</f>
        <v>5</v>
      </c>
      <c r="V451" s="314">
        <f>IFERROR(VLOOKUP(Tabela1[[#This Row],[COD.MDE]],'LISTA DE EMBARQUE'!B:L,11,0),"")</f>
        <v>4</v>
      </c>
      <c r="W451" s="315"/>
      <c r="X451" s="316">
        <f>IFERROR(Tabela1[[#This Row],[QIANTIDADE EXPEDIDA]]*Tabela1[[#This Row],[PESO UNI]],"")</f>
        <v>3651</v>
      </c>
      <c r="Y451" s="316">
        <f t="shared" si="98"/>
        <v>0</v>
      </c>
      <c r="Z451" s="320">
        <f>Tabela1[[#This Row],[PESO TOTAL]]-Tabela1[[#This Row],[Peso Expedido]]</f>
        <v>0</v>
      </c>
      <c r="AA451" s="322">
        <v>1</v>
      </c>
      <c r="AB451" s="322"/>
      <c r="AC451" s="322">
        <v>1</v>
      </c>
      <c r="AD451" s="322">
        <v>1</v>
      </c>
      <c r="AE451" s="322">
        <v>1</v>
      </c>
      <c r="AF451" s="322">
        <v>1</v>
      </c>
      <c r="AG451" s="322">
        <v>1</v>
      </c>
      <c r="AH451" s="322">
        <v>1</v>
      </c>
      <c r="AI451" s="322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5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>Tabela1[[#This Row],[QTDE/ Fabricação]]-Tabela1[[#This Row],[QTE]]</f>
        <v>-18</v>
      </c>
      <c r="R452" s="18">
        <f t="shared" si="89"/>
        <v>18</v>
      </c>
      <c r="S452" s="18">
        <f t="shared" ref="S452:S458" si="100">IFERROR(H452*AG452,"")</f>
        <v>18</v>
      </c>
      <c r="T452" s="19">
        <f t="shared" ref="T452:T458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>IFERROR(Tabela1[[#This Row],[QIANTIDADE EXPEDIDA]]*Tabela1[[#This Row],[PESO UNI]],"")</f>
        <v>18</v>
      </c>
      <c r="Y452" s="14">
        <f t="shared" ref="Y452:Y458" si="102">U452-C452</f>
        <v>0</v>
      </c>
      <c r="Z452" s="20">
        <f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si="77"/>
        <v>ok</v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5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-53</v>
      </c>
      <c r="R453" s="18">
        <f>IFERROR(H453*((AA453*0.25)+(AC453*0.25)+(AD453*0.225)+(AE453*0.225)+(AF453*0.05)),"")</f>
        <v>275.60000000000002</v>
      </c>
      <c r="S453" s="18">
        <f t="shared" si="100"/>
        <v>275.60000000000002</v>
      </c>
      <c r="T453" s="19">
        <f t="shared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275.60000000000002</v>
      </c>
      <c r="Y453" s="14">
        <f t="shared" si="102"/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5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7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133.70000000000002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5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109.19999999999999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5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48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5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70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5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23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138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324" t="s">
        <v>4510</v>
      </c>
      <c r="B604" s="309" t="s">
        <v>4511</v>
      </c>
      <c r="C604" s="307">
        <v>1</v>
      </c>
      <c r="D604" s="325" t="s">
        <v>4512</v>
      </c>
      <c r="E604" s="307">
        <v>4395</v>
      </c>
      <c r="F604" s="307">
        <v>36</v>
      </c>
      <c r="G604" s="327">
        <v>1065.9000000000001</v>
      </c>
      <c r="H604" s="310">
        <f>Tabela1[[#This Row],[PESO UNI]]*Tabela1[[#This Row],[QTE]]</f>
        <v>1065.9000000000001</v>
      </c>
      <c r="I604" s="307" t="s">
        <v>4864</v>
      </c>
      <c r="J604" s="311" t="s">
        <v>3045</v>
      </c>
      <c r="K604" s="311" t="s">
        <v>31</v>
      </c>
      <c r="L604" s="312" t="s">
        <v>2984</v>
      </c>
      <c r="M604" s="313">
        <v>46220</v>
      </c>
      <c r="N604" s="311" t="s">
        <v>38</v>
      </c>
      <c r="O604" s="314"/>
      <c r="P604" s="315"/>
      <c r="Q604" s="14">
        <f>Tabela1[[#This Row],[QTDE/ Fabricação]]-Tabela1[[#This Row],[QTE]]</f>
        <v>-1</v>
      </c>
      <c r="R604" s="317">
        <f>IFERROR(H604*((AA604*0.25)+(AC604*0.25)+(AD604*0.225)+(AE604*0.225)+(AF604*0.05)),"")</f>
        <v>1065.9000000000001</v>
      </c>
      <c r="S604" s="317">
        <f t="shared" ref="S604:S624" si="117">IFERROR(H604*AG604,"")</f>
        <v>1065.9000000000001</v>
      </c>
      <c r="T604" s="318">
        <f>IFERROR(S604-H604,"")</f>
        <v>0</v>
      </c>
      <c r="U604" s="319">
        <f>IFERROR(SUMIF('LISTA DE EMBARQUE'!B:B,MICRO!E:E,'LISTA DE EMBARQUE'!G:G),"")</f>
        <v>1</v>
      </c>
      <c r="V604" s="314">
        <f>IFERROR(VLOOKUP(Tabela1[[#This Row],[COD.MDE]],'LISTA DE EMBARQUE'!B:L,11,0),"")</f>
        <v>5</v>
      </c>
      <c r="W604" s="315" t="str">
        <f>IFERROR(COUNTIF(#REF!,Tabela1[[#This Row],[Colunas5]]),"")</f>
        <v/>
      </c>
      <c r="X604" s="316">
        <f>Tabela1[[#This Row],[QIANTIDADE EXPEDIDA]]*Tabela1[[#This Row],[PESO UNI]]</f>
        <v>1065.9000000000001</v>
      </c>
      <c r="Y604" s="316">
        <f>U604-C604</f>
        <v>0</v>
      </c>
      <c r="Z604" s="320">
        <f>Tabela1[[#This Row],[PESO TOTAL]]-Tabela1[[#This Row],[Peso Expedido]]</f>
        <v>0</v>
      </c>
      <c r="AA604" s="321">
        <v>1</v>
      </c>
      <c r="AB604" s="322"/>
      <c r="AC604" s="322">
        <v>1</v>
      </c>
      <c r="AD604" s="322">
        <v>1</v>
      </c>
      <c r="AE604" s="322">
        <v>1</v>
      </c>
      <c r="AF604" s="322">
        <v>1</v>
      </c>
      <c r="AG604" s="322">
        <v>1</v>
      </c>
      <c r="AH604" s="322">
        <v>1</v>
      </c>
      <c r="AI604" s="322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3"/>
      <c r="C605" s="195">
        <v>47</v>
      </c>
      <c r="D605" s="206" t="s">
        <v>3735</v>
      </c>
      <c r="E605" s="192" t="s">
        <v>4446</v>
      </c>
      <c r="F605" s="195" t="s">
        <v>4411</v>
      </c>
      <c r="G605" s="196">
        <v>121.38</v>
      </c>
      <c r="H605" s="34">
        <f>Tabela1[[#This Row],[PESO UNI]]*Tabela1[[#This Row],[QTE]]</f>
        <v>5704.86</v>
      </c>
      <c r="I605" s="196">
        <v>0</v>
      </c>
      <c r="J605" s="8" t="s">
        <v>2550</v>
      </c>
      <c r="K605" s="8" t="s">
        <v>4320</v>
      </c>
      <c r="L605" s="9" t="s">
        <v>2551</v>
      </c>
      <c r="M605" s="197"/>
      <c r="N605" s="203" t="s">
        <v>38</v>
      </c>
      <c r="O605" s="198"/>
      <c r="P605" s="199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0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308" t="s">
        <v>4513</v>
      </c>
      <c r="B606" s="309" t="s">
        <v>4514</v>
      </c>
      <c r="C606" s="308">
        <v>1</v>
      </c>
      <c r="D606" s="308" t="s">
        <v>4515</v>
      </c>
      <c r="E606" s="307">
        <v>4396</v>
      </c>
      <c r="F606" s="307">
        <v>37</v>
      </c>
      <c r="G606" s="308">
        <v>1283.7</v>
      </c>
      <c r="H606" s="310">
        <f>Tabela1[[#This Row],[PESO UNI]]*Tabela1[[#This Row],[QTE]]</f>
        <v>1283.7</v>
      </c>
      <c r="I606" s="307" t="s">
        <v>5491</v>
      </c>
      <c r="J606" s="311" t="s">
        <v>3140</v>
      </c>
      <c r="K606" s="311" t="s">
        <v>4320</v>
      </c>
      <c r="L606" s="312" t="s">
        <v>2984</v>
      </c>
      <c r="M606" s="313">
        <v>46220</v>
      </c>
      <c r="N606" s="311" t="s">
        <v>38</v>
      </c>
      <c r="O606" s="314"/>
      <c r="P606" s="315"/>
      <c r="Q606" s="14">
        <f>Tabela1[[#This Row],[QTDE/ Fabricação]]-Tabela1[[#This Row],[QTE]]</f>
        <v>-1</v>
      </c>
      <c r="R606" s="317">
        <f t="shared" ref="R606:R624" si="121">IFERROR(H606*((AA606*0.25)+(AC606*0.25)+(AD606*0.225)+(AE606*0.225)+(AF606*0.05)),"")</f>
        <v>1283.7</v>
      </c>
      <c r="S606" s="317">
        <f t="shared" si="117"/>
        <v>1283.7</v>
      </c>
      <c r="T606" s="318">
        <f t="shared" ref="T606:T624" si="122">IFERROR(S606-H606,"")</f>
        <v>0</v>
      </c>
      <c r="U606" s="319">
        <f>IFERROR(SUMIF('LISTA DE EMBARQUE'!B:B,MICRO!E:E,'LISTA DE EMBARQUE'!G:G),"")</f>
        <v>1</v>
      </c>
      <c r="V606" s="314">
        <f>IFERROR(VLOOKUP(Tabela1[[#This Row],[COD.MDE]],'LISTA DE EMBARQUE'!B:L,11,0),"")</f>
        <v>6</v>
      </c>
      <c r="W606" s="315" t="str">
        <f>IFERROR(COUNTIF(#REF!,Tabela1[[#This Row],[Colunas5]]),"")</f>
        <v/>
      </c>
      <c r="X606" s="316">
        <f>Tabela1[[#This Row],[QIANTIDADE EXPEDIDA]]*Tabela1[[#This Row],[PESO UNI]]</f>
        <v>1283.7</v>
      </c>
      <c r="Y606" s="316">
        <f t="shared" ref="Y606:Y624" si="123">U606-C606</f>
        <v>0</v>
      </c>
      <c r="Z606" s="320">
        <f>Tabela1[[#This Row],[PESO TOTAL]]-Tabela1[[#This Row],[Peso Expedido]]</f>
        <v>0</v>
      </c>
      <c r="AA606" s="321">
        <v>1</v>
      </c>
      <c r="AB606" s="322"/>
      <c r="AC606" s="321">
        <v>1</v>
      </c>
      <c r="AD606" s="321">
        <v>1</v>
      </c>
      <c r="AE606" s="321">
        <v>1</v>
      </c>
      <c r="AF606" s="321">
        <v>1</v>
      </c>
      <c r="AG606" s="321">
        <v>1</v>
      </c>
      <c r="AH606" s="321">
        <v>1</v>
      </c>
      <c r="AI606" s="322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5490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2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792.4</v>
      </c>
      <c r="Y607" s="14">
        <f t="shared" si="123"/>
        <v>1</v>
      </c>
      <c r="Z607" s="20">
        <f>Tabela1[[#This Row],[PESO TOTAL]]-Tabela1[[#This Row],[Peso Expedido]]</f>
        <v>-396.2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5489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166</v>
      </c>
      <c r="S608" s="18">
        <f t="shared" si="117"/>
        <v>166</v>
      </c>
      <c r="T608" s="19">
        <f t="shared" si="122"/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5489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5488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126.7</v>
      </c>
      <c r="S610" s="18">
        <f t="shared" si="117"/>
        <v>126.7</v>
      </c>
      <c r="T610" s="19">
        <f t="shared" si="122"/>
        <v>0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>
        <v>1</v>
      </c>
      <c r="AD610" s="33">
        <v>1</v>
      </c>
      <c r="AE610" s="33">
        <v>1</v>
      </c>
      <c r="AF610" s="33">
        <v>1</v>
      </c>
      <c r="AG610" s="33">
        <v>1</v>
      </c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5488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117.8</v>
      </c>
      <c r="S611" s="18">
        <f t="shared" si="117"/>
        <v>117.8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308" t="s">
        <v>4527</v>
      </c>
      <c r="B612" s="309" t="s">
        <v>4528</v>
      </c>
      <c r="C612" s="308">
        <v>1</v>
      </c>
      <c r="D612" s="308" t="s">
        <v>4529</v>
      </c>
      <c r="E612" s="307">
        <v>4402</v>
      </c>
      <c r="F612" s="307">
        <v>37</v>
      </c>
      <c r="G612" s="308">
        <v>100.9</v>
      </c>
      <c r="H612" s="310">
        <f>Tabela1[[#This Row],[PESO UNI]]*Tabela1[[#This Row],[QTE]]</f>
        <v>100.9</v>
      </c>
      <c r="I612" s="307" t="s">
        <v>4839</v>
      </c>
      <c r="J612" s="311" t="s">
        <v>3140</v>
      </c>
      <c r="K612" s="311" t="s">
        <v>4320</v>
      </c>
      <c r="L612" s="312" t="s">
        <v>2984</v>
      </c>
      <c r="M612" s="313">
        <v>46220</v>
      </c>
      <c r="N612" s="311" t="s">
        <v>38</v>
      </c>
      <c r="O612" s="314"/>
      <c r="P612" s="315"/>
      <c r="Q612" s="14">
        <f>Tabela1[[#This Row],[QTDE/ Fabricação]]-Tabela1[[#This Row],[QTE]]</f>
        <v>-1</v>
      </c>
      <c r="R612" s="317">
        <f t="shared" si="121"/>
        <v>100.9</v>
      </c>
      <c r="S612" s="317">
        <f t="shared" si="117"/>
        <v>100.9</v>
      </c>
      <c r="T612" s="318">
        <f t="shared" si="122"/>
        <v>0</v>
      </c>
      <c r="U612" s="319">
        <f>IFERROR(SUMIF('LISTA DE EMBARQUE'!B:B,MICRO!E:E,'LISTA DE EMBARQUE'!G:G),"")</f>
        <v>1</v>
      </c>
      <c r="V612" s="314">
        <f>IFERROR(VLOOKUP(Tabela1[[#This Row],[COD.MDE]],'LISTA DE EMBARQUE'!B:L,11,0),"")</f>
        <v>7</v>
      </c>
      <c r="W612" s="315" t="str">
        <f>IFERROR(COUNTIF(#REF!,Tabela1[[#This Row],[Colunas5]]),"")</f>
        <v/>
      </c>
      <c r="X612" s="316">
        <f>Tabela1[[#This Row],[QIANTIDADE EXPEDIDA]]*Tabela1[[#This Row],[PESO UNI]]</f>
        <v>100.9</v>
      </c>
      <c r="Y612" s="316">
        <f t="shared" si="123"/>
        <v>0</v>
      </c>
      <c r="Z612" s="320">
        <f>Tabela1[[#This Row],[PESO TOTAL]]-Tabela1[[#This Row],[Peso Expedido]]</f>
        <v>0</v>
      </c>
      <c r="AA612" s="321">
        <v>1</v>
      </c>
      <c r="AB612" s="322"/>
      <c r="AC612" s="322">
        <v>1</v>
      </c>
      <c r="AD612" s="322">
        <v>1</v>
      </c>
      <c r="AE612" s="322">
        <v>1</v>
      </c>
      <c r="AF612" s="322">
        <v>1</v>
      </c>
      <c r="AG612" s="322">
        <v>1</v>
      </c>
      <c r="AH612" s="322">
        <v>1</v>
      </c>
      <c r="AI612" s="322" t="s">
        <v>4412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308" t="s">
        <v>4527</v>
      </c>
      <c r="B613" s="309" t="s">
        <v>4528</v>
      </c>
      <c r="C613" s="308">
        <v>2</v>
      </c>
      <c r="D613" s="308" t="s">
        <v>4530</v>
      </c>
      <c r="E613" s="307">
        <v>4403</v>
      </c>
      <c r="F613" s="307">
        <v>37</v>
      </c>
      <c r="G613" s="308">
        <v>83.4</v>
      </c>
      <c r="H613" s="310">
        <f>Tabela1[[#This Row],[PESO UNI]]*Tabela1[[#This Row],[QTE]]</f>
        <v>166.8</v>
      </c>
      <c r="I613" s="307" t="s">
        <v>4839</v>
      </c>
      <c r="J613" s="311" t="s">
        <v>3140</v>
      </c>
      <c r="K613" s="311" t="s">
        <v>4320</v>
      </c>
      <c r="L613" s="312" t="s">
        <v>2984</v>
      </c>
      <c r="M613" s="313">
        <v>46220</v>
      </c>
      <c r="N613" s="311" t="s">
        <v>38</v>
      </c>
      <c r="O613" s="314"/>
      <c r="P613" s="315"/>
      <c r="Q613" s="14">
        <f>Tabela1[[#This Row],[QTDE/ Fabricação]]-Tabela1[[#This Row],[QTE]]</f>
        <v>-2</v>
      </c>
      <c r="R613" s="317">
        <f t="shared" si="121"/>
        <v>166.8</v>
      </c>
      <c r="S613" s="317">
        <f t="shared" si="117"/>
        <v>166.8</v>
      </c>
      <c r="T613" s="318">
        <f t="shared" si="122"/>
        <v>0</v>
      </c>
      <c r="U613" s="319">
        <f>IFERROR(SUMIF('LISTA DE EMBARQUE'!B:B,MICRO!E:E,'LISTA DE EMBARQUE'!G:G),"")</f>
        <v>2</v>
      </c>
      <c r="V613" s="314">
        <f>IFERROR(VLOOKUP(Tabela1[[#This Row],[COD.MDE]],'LISTA DE EMBARQUE'!B:L,11,0),"")</f>
        <v>7</v>
      </c>
      <c r="W613" s="315" t="str">
        <f>IFERROR(COUNTIF(#REF!,Tabela1[[#This Row],[Colunas5]]),"")</f>
        <v/>
      </c>
      <c r="X613" s="316">
        <f>Tabela1[[#This Row],[QIANTIDADE EXPEDIDA]]*Tabela1[[#This Row],[PESO UNI]]</f>
        <v>166.8</v>
      </c>
      <c r="Y613" s="316">
        <f t="shared" si="123"/>
        <v>0</v>
      </c>
      <c r="Z613" s="320">
        <f>Tabela1[[#This Row],[PESO TOTAL]]-Tabela1[[#This Row],[Peso Expedido]]</f>
        <v>0</v>
      </c>
      <c r="AA613" s="321">
        <v>1</v>
      </c>
      <c r="AB613" s="322"/>
      <c r="AC613" s="322">
        <v>1</v>
      </c>
      <c r="AD613" s="322">
        <v>1</v>
      </c>
      <c r="AE613" s="322">
        <v>1</v>
      </c>
      <c r="AF613" s="322">
        <v>1</v>
      </c>
      <c r="AG613" s="322">
        <v>1</v>
      </c>
      <c r="AH613" s="322">
        <v>1</v>
      </c>
      <c r="AI613" s="32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308" t="s">
        <v>4527</v>
      </c>
      <c r="B614" s="309" t="s">
        <v>4528</v>
      </c>
      <c r="C614" s="308">
        <v>1</v>
      </c>
      <c r="D614" s="308" t="s">
        <v>4531</v>
      </c>
      <c r="E614" s="307">
        <v>4404</v>
      </c>
      <c r="F614" s="307">
        <v>37</v>
      </c>
      <c r="G614" s="308">
        <v>120.2</v>
      </c>
      <c r="H614" s="310">
        <f>Tabela1[[#This Row],[PESO UNI]]*Tabela1[[#This Row],[QTE]]</f>
        <v>120.2</v>
      </c>
      <c r="I614" s="307" t="s">
        <v>4839</v>
      </c>
      <c r="J614" s="311" t="s">
        <v>3140</v>
      </c>
      <c r="K614" s="311" t="s">
        <v>4320</v>
      </c>
      <c r="L614" s="312" t="s">
        <v>2984</v>
      </c>
      <c r="M614" s="313">
        <v>46220</v>
      </c>
      <c r="N614" s="311" t="s">
        <v>38</v>
      </c>
      <c r="O614" s="314"/>
      <c r="P614" s="315"/>
      <c r="Q614" s="14">
        <f>Tabela1[[#This Row],[QTDE/ Fabricação]]-Tabela1[[#This Row],[QTE]]</f>
        <v>-1</v>
      </c>
      <c r="R614" s="317">
        <f t="shared" si="121"/>
        <v>120.2</v>
      </c>
      <c r="S614" s="317">
        <f t="shared" si="117"/>
        <v>120.2</v>
      </c>
      <c r="T614" s="318">
        <f t="shared" si="122"/>
        <v>0</v>
      </c>
      <c r="U614" s="319">
        <f>IFERROR(SUMIF('LISTA DE EMBARQUE'!B:B,MICRO!E:E,'LISTA DE EMBARQUE'!G:G),"")</f>
        <v>1</v>
      </c>
      <c r="V614" s="314">
        <f>IFERROR(VLOOKUP(Tabela1[[#This Row],[COD.MDE]],'LISTA DE EMBARQUE'!B:L,11,0),"")</f>
        <v>7</v>
      </c>
      <c r="W614" s="315" t="str">
        <f>IFERROR(COUNTIF(#REF!,Tabela1[[#This Row],[Colunas5]]),"")</f>
        <v/>
      </c>
      <c r="X614" s="316">
        <f>Tabela1[[#This Row],[QIANTIDADE EXPEDIDA]]*Tabela1[[#This Row],[PESO UNI]]</f>
        <v>120.2</v>
      </c>
      <c r="Y614" s="316">
        <f t="shared" si="123"/>
        <v>0</v>
      </c>
      <c r="Z614" s="320">
        <f>Tabela1[[#This Row],[PESO TOTAL]]-Tabela1[[#This Row],[Peso Expedido]]</f>
        <v>0</v>
      </c>
      <c r="AA614" s="321">
        <v>1</v>
      </c>
      <c r="AB614" s="322"/>
      <c r="AC614" s="322">
        <v>1</v>
      </c>
      <c r="AD614" s="322">
        <v>1</v>
      </c>
      <c r="AE614" s="322">
        <v>1</v>
      </c>
      <c r="AF614" s="322">
        <v>1</v>
      </c>
      <c r="AG614" s="322">
        <v>1</v>
      </c>
      <c r="AH614" s="322">
        <v>1</v>
      </c>
      <c r="AI614" s="32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308" t="s">
        <v>4527</v>
      </c>
      <c r="B615" s="309" t="s">
        <v>4528</v>
      </c>
      <c r="C615" s="308">
        <v>1</v>
      </c>
      <c r="D615" s="308" t="s">
        <v>4532</v>
      </c>
      <c r="E615" s="307">
        <v>4405</v>
      </c>
      <c r="F615" s="307">
        <v>37</v>
      </c>
      <c r="G615" s="308">
        <v>63.6</v>
      </c>
      <c r="H615" s="310">
        <f>Tabela1[[#This Row],[PESO UNI]]*Tabela1[[#This Row],[QTE]]</f>
        <v>63.6</v>
      </c>
      <c r="I615" s="307" t="s">
        <v>4839</v>
      </c>
      <c r="J615" s="311" t="s">
        <v>3140</v>
      </c>
      <c r="K615" s="311" t="s">
        <v>4320</v>
      </c>
      <c r="L615" s="312" t="s">
        <v>2984</v>
      </c>
      <c r="M615" s="313">
        <v>46220</v>
      </c>
      <c r="N615" s="311" t="s">
        <v>38</v>
      </c>
      <c r="O615" s="314"/>
      <c r="P615" s="315"/>
      <c r="Q615" s="14">
        <f>Tabela1[[#This Row],[QTDE/ Fabricação]]-Tabela1[[#This Row],[QTE]]</f>
        <v>-1</v>
      </c>
      <c r="R615" s="317">
        <f t="shared" si="121"/>
        <v>63.6</v>
      </c>
      <c r="S615" s="317">
        <f t="shared" si="117"/>
        <v>63.6</v>
      </c>
      <c r="T615" s="318">
        <f t="shared" si="122"/>
        <v>0</v>
      </c>
      <c r="U615" s="319">
        <f>IFERROR(SUMIF('LISTA DE EMBARQUE'!B:B,MICRO!E:E,'LISTA DE EMBARQUE'!G:G),"")</f>
        <v>1</v>
      </c>
      <c r="V615" s="314">
        <f>IFERROR(VLOOKUP(Tabela1[[#This Row],[COD.MDE]],'LISTA DE EMBARQUE'!B:L,11,0),"")</f>
        <v>7</v>
      </c>
      <c r="W615" s="315" t="str">
        <f>IFERROR(COUNTIF(#REF!,Tabela1[[#This Row],[Colunas5]]),"")</f>
        <v/>
      </c>
      <c r="X615" s="316">
        <f>Tabela1[[#This Row],[QIANTIDADE EXPEDIDA]]*Tabela1[[#This Row],[PESO UNI]]</f>
        <v>63.6</v>
      </c>
      <c r="Y615" s="316">
        <f t="shared" si="123"/>
        <v>0</v>
      </c>
      <c r="Z615" s="320">
        <f>Tabela1[[#This Row],[PESO TOTAL]]-Tabela1[[#This Row],[Peso Expedido]]</f>
        <v>0</v>
      </c>
      <c r="AA615" s="321">
        <v>1</v>
      </c>
      <c r="AB615" s="322"/>
      <c r="AC615" s="322">
        <v>1</v>
      </c>
      <c r="AD615" s="322">
        <v>1</v>
      </c>
      <c r="AE615" s="322">
        <v>1</v>
      </c>
      <c r="AF615" s="322">
        <v>1</v>
      </c>
      <c r="AG615" s="322">
        <v>1</v>
      </c>
      <c r="AH615" s="322">
        <v>1</v>
      </c>
      <c r="AI615" s="32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308" t="s">
        <v>4527</v>
      </c>
      <c r="B616" s="309" t="s">
        <v>4528</v>
      </c>
      <c r="C616" s="308">
        <v>1</v>
      </c>
      <c r="D616" s="308" t="s">
        <v>4533</v>
      </c>
      <c r="E616" s="307">
        <v>4406</v>
      </c>
      <c r="F616" s="307">
        <v>37</v>
      </c>
      <c r="G616" s="308">
        <v>75.8</v>
      </c>
      <c r="H616" s="310">
        <f>Tabela1[[#This Row],[PESO UNI]]*Tabela1[[#This Row],[QTE]]</f>
        <v>75.8</v>
      </c>
      <c r="I616" s="307" t="s">
        <v>4839</v>
      </c>
      <c r="J616" s="311" t="s">
        <v>3140</v>
      </c>
      <c r="K616" s="311" t="s">
        <v>4320</v>
      </c>
      <c r="L616" s="312" t="s">
        <v>2984</v>
      </c>
      <c r="M616" s="313">
        <v>46220</v>
      </c>
      <c r="N616" s="311" t="s">
        <v>38</v>
      </c>
      <c r="O616" s="314"/>
      <c r="P616" s="315"/>
      <c r="Q616" s="14">
        <f>Tabela1[[#This Row],[QTDE/ Fabricação]]-Tabela1[[#This Row],[QTE]]</f>
        <v>-1</v>
      </c>
      <c r="R616" s="317">
        <f t="shared" si="121"/>
        <v>75.8</v>
      </c>
      <c r="S616" s="317">
        <f t="shared" si="117"/>
        <v>75.8</v>
      </c>
      <c r="T616" s="318">
        <f t="shared" si="122"/>
        <v>0</v>
      </c>
      <c r="U616" s="319">
        <f>IFERROR(SUMIF('LISTA DE EMBARQUE'!B:B,MICRO!E:E,'LISTA DE EMBARQUE'!G:G),"")</f>
        <v>1</v>
      </c>
      <c r="V616" s="314">
        <f>IFERROR(VLOOKUP(Tabela1[[#This Row],[COD.MDE]],'LISTA DE EMBARQUE'!B:L,11,0),"")</f>
        <v>7</v>
      </c>
      <c r="W616" s="315" t="str">
        <f>IFERROR(COUNTIF(#REF!,Tabela1[[#This Row],[Colunas5]]),"")</f>
        <v/>
      </c>
      <c r="X616" s="316">
        <f>Tabela1[[#This Row],[QIANTIDADE EXPEDIDA]]*Tabela1[[#This Row],[PESO UNI]]</f>
        <v>75.8</v>
      </c>
      <c r="Y616" s="316">
        <f t="shared" si="123"/>
        <v>0</v>
      </c>
      <c r="Z616" s="320">
        <f>Tabela1[[#This Row],[PESO TOTAL]]-Tabela1[[#This Row],[Peso Expedido]]</f>
        <v>0</v>
      </c>
      <c r="AA616" s="321">
        <v>1</v>
      </c>
      <c r="AB616" s="322"/>
      <c r="AC616" s="322">
        <v>1</v>
      </c>
      <c r="AD616" s="322">
        <v>1</v>
      </c>
      <c r="AE616" s="322">
        <v>1</v>
      </c>
      <c r="AF616" s="322">
        <v>1</v>
      </c>
      <c r="AG616" s="322">
        <v>1</v>
      </c>
      <c r="AH616" s="322">
        <v>1</v>
      </c>
      <c r="AI616" s="32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308" t="s">
        <v>4535</v>
      </c>
      <c r="B617" s="309" t="s">
        <v>4536</v>
      </c>
      <c r="C617" s="308">
        <v>1</v>
      </c>
      <c r="D617" s="308" t="s">
        <v>4537</v>
      </c>
      <c r="E617" s="307">
        <v>4407</v>
      </c>
      <c r="F617" s="307">
        <v>38</v>
      </c>
      <c r="G617" s="308">
        <v>761.9</v>
      </c>
      <c r="H617" s="310">
        <f>Tabela1[[#This Row],[PESO UNI]]*Tabela1[[#This Row],[QTE]]</f>
        <v>761.9</v>
      </c>
      <c r="I617" s="307" t="s">
        <v>5952</v>
      </c>
      <c r="J617" s="311" t="s">
        <v>3140</v>
      </c>
      <c r="K617" s="311" t="s">
        <v>4320</v>
      </c>
      <c r="L617" s="312" t="s">
        <v>2984</v>
      </c>
      <c r="M617" s="313">
        <v>46223</v>
      </c>
      <c r="N617" s="311" t="s">
        <v>38</v>
      </c>
      <c r="O617" s="314"/>
      <c r="P617" s="315"/>
      <c r="Q617" s="14">
        <f>Tabela1[[#This Row],[QTDE/ Fabricação]]-Tabela1[[#This Row],[QTE]]</f>
        <v>-1</v>
      </c>
      <c r="R617" s="317">
        <f t="shared" si="121"/>
        <v>761.9</v>
      </c>
      <c r="S617" s="317">
        <f t="shared" si="117"/>
        <v>761.9</v>
      </c>
      <c r="T617" s="318">
        <f t="shared" si="122"/>
        <v>0</v>
      </c>
      <c r="U617" s="319">
        <f>IFERROR(SUMIF('LISTA DE EMBARQUE'!B:B,MICRO!E:E,'LISTA DE EMBARQUE'!G:G),"")</f>
        <v>1</v>
      </c>
      <c r="V617" s="314">
        <f>IFERROR(VLOOKUP(Tabela1[[#This Row],[COD.MDE]],'LISTA DE EMBARQUE'!B:L,11,0),"")</f>
        <v>6</v>
      </c>
      <c r="W617" s="315" t="str">
        <f>IFERROR(COUNTIF(#REF!,Tabela1[[#This Row],[Colunas5]]),"")</f>
        <v/>
      </c>
      <c r="X617" s="316">
        <f>Tabela1[[#This Row],[QIANTIDADE EXPEDIDA]]*Tabela1[[#This Row],[PESO UNI]]</f>
        <v>761.9</v>
      </c>
      <c r="Y617" s="316">
        <f t="shared" si="123"/>
        <v>0</v>
      </c>
      <c r="Z617" s="320">
        <f>Tabela1[[#This Row],[PESO TOTAL]]-Tabela1[[#This Row],[Peso Expedido]]</f>
        <v>0</v>
      </c>
      <c r="AA617" s="321">
        <v>1</v>
      </c>
      <c r="AB617" s="322"/>
      <c r="AC617" s="321">
        <v>1</v>
      </c>
      <c r="AD617" s="321">
        <v>1</v>
      </c>
      <c r="AE617" s="321">
        <v>1</v>
      </c>
      <c r="AF617" s="321">
        <v>1</v>
      </c>
      <c r="AG617" s="321">
        <v>1</v>
      </c>
      <c r="AH617" s="321">
        <v>1</v>
      </c>
      <c r="AI617" s="32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308" t="s">
        <v>4535</v>
      </c>
      <c r="B618" s="309" t="s">
        <v>4536</v>
      </c>
      <c r="C618" s="308">
        <v>2</v>
      </c>
      <c r="D618" s="308" t="s">
        <v>4538</v>
      </c>
      <c r="E618" s="307">
        <v>4408</v>
      </c>
      <c r="F618" s="307">
        <v>38</v>
      </c>
      <c r="G618" s="308">
        <v>85.1</v>
      </c>
      <c r="H618" s="310">
        <f>Tabela1[[#This Row],[PESO UNI]]*Tabela1[[#This Row],[QTE]]</f>
        <v>170.2</v>
      </c>
      <c r="I618" s="307" t="s">
        <v>5952</v>
      </c>
      <c r="J618" s="311" t="s">
        <v>3140</v>
      </c>
      <c r="K618" s="311" t="s">
        <v>4320</v>
      </c>
      <c r="L618" s="312" t="s">
        <v>2984</v>
      </c>
      <c r="M618" s="313">
        <v>46223</v>
      </c>
      <c r="N618" s="311" t="s">
        <v>38</v>
      </c>
      <c r="O618" s="314"/>
      <c r="P618" s="315"/>
      <c r="Q618" s="14">
        <f>Tabela1[[#This Row],[QTDE/ Fabricação]]-Tabela1[[#This Row],[QTE]]</f>
        <v>-2</v>
      </c>
      <c r="R618" s="317">
        <f t="shared" si="121"/>
        <v>170.2</v>
      </c>
      <c r="S618" s="317">
        <f t="shared" si="117"/>
        <v>170.2</v>
      </c>
      <c r="T618" s="318">
        <f t="shared" si="122"/>
        <v>0</v>
      </c>
      <c r="U618" s="319">
        <f>IFERROR(SUMIF('LISTA DE EMBARQUE'!B:B,MICRO!E:E,'LISTA DE EMBARQUE'!G:G),"")</f>
        <v>2</v>
      </c>
      <c r="V618" s="314">
        <f>IFERROR(VLOOKUP(Tabela1[[#This Row],[COD.MDE]],'LISTA DE EMBARQUE'!B:L,11,0),"")</f>
        <v>6</v>
      </c>
      <c r="W618" s="315" t="str">
        <f>IFERROR(COUNTIF(#REF!,Tabela1[[#This Row],[Colunas5]]),"")</f>
        <v/>
      </c>
      <c r="X618" s="316">
        <f>Tabela1[[#This Row],[QIANTIDADE EXPEDIDA]]*Tabela1[[#This Row],[PESO UNI]]</f>
        <v>170.2</v>
      </c>
      <c r="Y618" s="316">
        <f t="shared" si="123"/>
        <v>0</v>
      </c>
      <c r="Z618" s="320">
        <f>Tabela1[[#This Row],[PESO TOTAL]]-Tabela1[[#This Row],[Peso Expedido]]</f>
        <v>0</v>
      </c>
      <c r="AA618" s="321">
        <v>1</v>
      </c>
      <c r="AB618" s="322"/>
      <c r="AC618" s="321">
        <v>1</v>
      </c>
      <c r="AD618" s="321">
        <v>1</v>
      </c>
      <c r="AE618" s="321">
        <v>1</v>
      </c>
      <c r="AF618" s="321">
        <v>1</v>
      </c>
      <c r="AG618" s="321">
        <v>1</v>
      </c>
      <c r="AH618" s="321">
        <v>1</v>
      </c>
      <c r="AI618" s="32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308" t="s">
        <v>4535</v>
      </c>
      <c r="B619" s="309" t="s">
        <v>4536</v>
      </c>
      <c r="C619" s="308">
        <v>2</v>
      </c>
      <c r="D619" s="308" t="s">
        <v>4539</v>
      </c>
      <c r="E619" s="307">
        <v>4409</v>
      </c>
      <c r="F619" s="307">
        <v>38</v>
      </c>
      <c r="G619" s="308">
        <v>51.8</v>
      </c>
      <c r="H619" s="310">
        <f>Tabela1[[#This Row],[PESO UNI]]*Tabela1[[#This Row],[QTE]]</f>
        <v>103.6</v>
      </c>
      <c r="I619" s="307" t="s">
        <v>5952</v>
      </c>
      <c r="J619" s="311" t="s">
        <v>3140</v>
      </c>
      <c r="K619" s="311" t="s">
        <v>4320</v>
      </c>
      <c r="L619" s="312" t="s">
        <v>2984</v>
      </c>
      <c r="M619" s="313">
        <v>46223</v>
      </c>
      <c r="N619" s="311" t="s">
        <v>38</v>
      </c>
      <c r="O619" s="314"/>
      <c r="P619" s="315"/>
      <c r="Q619" s="14">
        <f>Tabela1[[#This Row],[QTDE/ Fabricação]]-Tabela1[[#This Row],[QTE]]</f>
        <v>-2</v>
      </c>
      <c r="R619" s="317">
        <f t="shared" si="121"/>
        <v>103.6</v>
      </c>
      <c r="S619" s="317">
        <f t="shared" si="117"/>
        <v>103.6</v>
      </c>
      <c r="T619" s="318">
        <f t="shared" si="122"/>
        <v>0</v>
      </c>
      <c r="U619" s="319">
        <f>IFERROR(SUMIF('LISTA DE EMBARQUE'!B:B,MICRO!E:E,'LISTA DE EMBARQUE'!G:G),"")</f>
        <v>2</v>
      </c>
      <c r="V619" s="314">
        <f>IFERROR(VLOOKUP(Tabela1[[#This Row],[COD.MDE]],'LISTA DE EMBARQUE'!B:L,11,0),"")</f>
        <v>7</v>
      </c>
      <c r="W619" s="315" t="str">
        <f>IFERROR(COUNTIF(#REF!,Tabela1[[#This Row],[Colunas5]]),"")</f>
        <v/>
      </c>
      <c r="X619" s="316">
        <f>Tabela1[[#This Row],[QIANTIDADE EXPEDIDA]]*Tabela1[[#This Row],[PESO UNI]]</f>
        <v>103.6</v>
      </c>
      <c r="Y619" s="316">
        <f t="shared" si="123"/>
        <v>0</v>
      </c>
      <c r="Z619" s="320">
        <f>Tabela1[[#This Row],[PESO TOTAL]]-Tabela1[[#This Row],[Peso Expedido]]</f>
        <v>0</v>
      </c>
      <c r="AA619" s="321">
        <v>1</v>
      </c>
      <c r="AB619" s="322"/>
      <c r="AC619" s="322">
        <v>1</v>
      </c>
      <c r="AD619" s="322">
        <v>1</v>
      </c>
      <c r="AE619" s="322">
        <v>1</v>
      </c>
      <c r="AF619" s="322">
        <v>1</v>
      </c>
      <c r="AG619" s="322">
        <v>1</v>
      </c>
      <c r="AH619" s="322">
        <v>1</v>
      </c>
      <c r="AI619" s="32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5952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5952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5952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308" t="s">
        <v>4543</v>
      </c>
      <c r="B623" s="309" t="s">
        <v>4544</v>
      </c>
      <c r="C623" s="308">
        <v>1</v>
      </c>
      <c r="D623" s="308" t="s">
        <v>4545</v>
      </c>
      <c r="E623" s="307">
        <v>4413</v>
      </c>
      <c r="F623" s="307">
        <v>39</v>
      </c>
      <c r="G623" s="308">
        <v>527.5</v>
      </c>
      <c r="H623" s="310">
        <f>Tabela1[[#This Row],[PESO UNI]]*Tabela1[[#This Row],[QTE]]</f>
        <v>527.5</v>
      </c>
      <c r="I623" s="307" t="s">
        <v>4865</v>
      </c>
      <c r="J623" s="311" t="s">
        <v>3045</v>
      </c>
      <c r="K623" s="311" t="s">
        <v>4320</v>
      </c>
      <c r="L623" s="312" t="s">
        <v>2984</v>
      </c>
      <c r="M623" s="313">
        <v>46224</v>
      </c>
      <c r="N623" s="311" t="s">
        <v>38</v>
      </c>
      <c r="O623" s="314"/>
      <c r="P623" s="315"/>
      <c r="Q623" s="14">
        <f>Tabela1[[#This Row],[QTDE/ Fabricação]]-Tabela1[[#This Row],[QTE]]</f>
        <v>-1</v>
      </c>
      <c r="R623" s="317">
        <f t="shared" si="121"/>
        <v>527.5</v>
      </c>
      <c r="S623" s="317">
        <f t="shared" si="117"/>
        <v>527.5</v>
      </c>
      <c r="T623" s="318">
        <f t="shared" si="122"/>
        <v>0</v>
      </c>
      <c r="U623" s="319">
        <f>IFERROR(SUMIF('LISTA DE EMBARQUE'!B:B,MICRO!E:E,'LISTA DE EMBARQUE'!G:G),"")</f>
        <v>1</v>
      </c>
      <c r="V623" s="314">
        <f>IFERROR(VLOOKUP(Tabela1[[#This Row],[COD.MDE]],'LISTA DE EMBARQUE'!B:L,11,0),"")</f>
        <v>5</v>
      </c>
      <c r="W623" s="315" t="str">
        <f>IFERROR(COUNTIF(#REF!,Tabela1[[#This Row],[Colunas5]]),"")</f>
        <v/>
      </c>
      <c r="X623" s="316">
        <f>Tabela1[[#This Row],[QIANTIDADE EXPEDIDA]]*Tabela1[[#This Row],[PESO UNI]]</f>
        <v>527.5</v>
      </c>
      <c r="Y623" s="316">
        <f t="shared" si="123"/>
        <v>0</v>
      </c>
      <c r="Z623" s="320">
        <f>Tabela1[[#This Row],[PESO TOTAL]]-Tabela1[[#This Row],[Peso Expedido]]</f>
        <v>0</v>
      </c>
      <c r="AA623" s="321">
        <v>1</v>
      </c>
      <c r="AB623" s="322"/>
      <c r="AC623" s="322">
        <v>1</v>
      </c>
      <c r="AD623" s="322">
        <v>1</v>
      </c>
      <c r="AE623" s="322">
        <v>1</v>
      </c>
      <c r="AF623" s="322">
        <v>1</v>
      </c>
      <c r="AG623" s="322">
        <v>1</v>
      </c>
      <c r="AH623" s="322">
        <v>1</v>
      </c>
      <c r="AI623" s="322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8" t="s">
        <v>653</v>
      </c>
      <c r="B764" s="21"/>
      <c r="C764" s="206">
        <v>2</v>
      </c>
      <c r="D764" s="206" t="s">
        <v>4831</v>
      </c>
      <c r="E764" s="209">
        <v>4419</v>
      </c>
      <c r="F764" s="192">
        <v>9</v>
      </c>
      <c r="G764" s="210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235.8</v>
      </c>
      <c r="S771" s="18">
        <f t="shared" si="149"/>
        <v>235.8</v>
      </c>
      <c r="T771" s="19">
        <f t="shared" si="150"/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5492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308" t="s">
        <v>4866</v>
      </c>
      <c r="B776" s="309" t="s">
        <v>4867</v>
      </c>
      <c r="C776" s="308">
        <v>4</v>
      </c>
      <c r="D776" s="308" t="s">
        <v>4872</v>
      </c>
      <c r="E776" s="307">
        <v>4431</v>
      </c>
      <c r="F776" s="307">
        <v>40</v>
      </c>
      <c r="G776" s="308">
        <v>7.8</v>
      </c>
      <c r="H776" s="310">
        <f>Tabela1[[#This Row],[PESO UNI]]*Tabela1[[#This Row],[QTE]]</f>
        <v>31.2</v>
      </c>
      <c r="I776" s="307" t="s">
        <v>5492</v>
      </c>
      <c r="J776" s="311" t="s">
        <v>3093</v>
      </c>
      <c r="K776" s="311" t="s">
        <v>4320</v>
      </c>
      <c r="L776" s="312" t="s">
        <v>2984</v>
      </c>
      <c r="M776" s="313">
        <v>46233</v>
      </c>
      <c r="N776" s="311" t="s">
        <v>38</v>
      </c>
      <c r="O776" s="314"/>
      <c r="P776" s="315"/>
      <c r="Q776" s="14">
        <f>Tabela1[[#This Row],[QTDE/ Fabricação]]-Tabela1[[#This Row],[QTE]]</f>
        <v>-4</v>
      </c>
      <c r="R776" s="317">
        <f t="shared" si="152"/>
        <v>31.2</v>
      </c>
      <c r="S776" s="317">
        <f t="shared" si="153"/>
        <v>31.2</v>
      </c>
      <c r="T776" s="318">
        <f t="shared" si="154"/>
        <v>0</v>
      </c>
      <c r="U776" s="319">
        <f>IFERROR(SUMIF('LISTA DE EMBARQUE'!B:B,MICRO!E:E,'LISTA DE EMBARQUE'!G:G),"")</f>
        <v>4</v>
      </c>
      <c r="V776" s="314">
        <f>IFERROR(VLOOKUP(Tabela1[[#This Row],[COD.MDE]],'LISTA DE EMBARQUE'!B:L,11,0),"")</f>
        <v>7</v>
      </c>
      <c r="W776" s="315">
        <f>IFERROR(VLOOKUP(Tabela1[[#This Row],[COD.MDE]],'LISTA DE EMBARQUE'!B:M,12,0),"")</f>
        <v>46280</v>
      </c>
      <c r="X776" s="316">
        <f>IFERROR(Tabela1[[#This Row],[QIANTIDADE EXPEDIDA]]*Tabela1[[#This Row],[PESO UNI]],"")</f>
        <v>31.2</v>
      </c>
      <c r="Y776" s="316">
        <f t="shared" si="155"/>
        <v>0</v>
      </c>
      <c r="Z776" s="320">
        <f>Tabela1[[#This Row],[PESO TOTAL]]-Tabela1[[#This Row],[Peso Expedido]]</f>
        <v>0</v>
      </c>
      <c r="AA776" s="321">
        <v>1</v>
      </c>
      <c r="AB776" s="322"/>
      <c r="AC776" s="322">
        <v>1</v>
      </c>
      <c r="AD776" s="322">
        <v>1</v>
      </c>
      <c r="AE776" s="322">
        <v>1</v>
      </c>
      <c r="AF776" s="322">
        <v>1</v>
      </c>
      <c r="AG776" s="322">
        <v>1</v>
      </c>
      <c r="AH776" s="322">
        <v>1</v>
      </c>
      <c r="AI776" s="322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5492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5492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5492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5492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308" t="s">
        <v>4869</v>
      </c>
      <c r="B781" s="309" t="s">
        <v>4870</v>
      </c>
      <c r="C781" s="308">
        <v>2</v>
      </c>
      <c r="D781" s="308" t="s">
        <v>4877</v>
      </c>
      <c r="E781" s="307">
        <v>4436</v>
      </c>
      <c r="F781" s="307">
        <v>40</v>
      </c>
      <c r="G781" s="308">
        <v>72.8</v>
      </c>
      <c r="H781" s="310">
        <f>Tabela1[[#This Row],[PESO UNI]]*Tabela1[[#This Row],[QTE]]</f>
        <v>145.6</v>
      </c>
      <c r="I781" s="307" t="s">
        <v>5382</v>
      </c>
      <c r="J781" s="311" t="s">
        <v>3093</v>
      </c>
      <c r="K781" s="311" t="s">
        <v>4320</v>
      </c>
      <c r="L781" s="312" t="s">
        <v>2984</v>
      </c>
      <c r="M781" s="313">
        <v>46233</v>
      </c>
      <c r="N781" s="311" t="s">
        <v>38</v>
      </c>
      <c r="O781" s="314"/>
      <c r="P781" s="315"/>
      <c r="Q781" s="14">
        <f>Tabela1[[#This Row],[QTDE/ Fabricação]]-Tabela1[[#This Row],[QTE]]</f>
        <v>-2</v>
      </c>
      <c r="R781" s="317">
        <f t="shared" si="152"/>
        <v>145.6</v>
      </c>
      <c r="S781" s="317">
        <f t="shared" si="153"/>
        <v>145.6</v>
      </c>
      <c r="T781" s="318">
        <f t="shared" si="154"/>
        <v>0</v>
      </c>
      <c r="U781" s="319">
        <f>IFERROR(SUMIF('LISTA DE EMBARQUE'!B:B,MICRO!E:E,'LISTA DE EMBARQUE'!G:G),"")</f>
        <v>2</v>
      </c>
      <c r="V781" s="314">
        <f>IFERROR(VLOOKUP(Tabela1[[#This Row],[COD.MDE]],'LISTA DE EMBARQUE'!B:L,11,0),"")</f>
        <v>6</v>
      </c>
      <c r="W781" s="315">
        <f>IFERROR(VLOOKUP(Tabela1[[#This Row],[COD.MDE]],'LISTA DE EMBARQUE'!B:M,12,0),"")</f>
        <v>46273</v>
      </c>
      <c r="X781" s="316">
        <f>IFERROR(Tabela1[[#This Row],[QIANTIDADE EXPEDIDA]]*Tabela1[[#This Row],[PESO UNI]],"")</f>
        <v>145.6</v>
      </c>
      <c r="Y781" s="316">
        <f t="shared" si="155"/>
        <v>0</v>
      </c>
      <c r="Z781" s="320">
        <f>Tabela1[[#This Row],[PESO TOTAL]]-Tabela1[[#This Row],[Peso Expedido]]</f>
        <v>0</v>
      </c>
      <c r="AA781" s="321">
        <v>1</v>
      </c>
      <c r="AB781" s="322"/>
      <c r="AC781" s="321">
        <v>1</v>
      </c>
      <c r="AD781" s="321">
        <v>1</v>
      </c>
      <c r="AE781" s="321">
        <v>1</v>
      </c>
      <c r="AF781" s="321">
        <v>1</v>
      </c>
      <c r="AG781" s="321">
        <v>1</v>
      </c>
      <c r="AH781" s="321">
        <v>1</v>
      </c>
      <c r="AI781" s="322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5382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308" t="s">
        <v>4869</v>
      </c>
      <c r="B783" s="309" t="s">
        <v>4870</v>
      </c>
      <c r="C783" s="308">
        <v>4</v>
      </c>
      <c r="D783" s="308" t="s">
        <v>4890</v>
      </c>
      <c r="E783" s="307">
        <v>4438</v>
      </c>
      <c r="F783" s="307">
        <v>40</v>
      </c>
      <c r="G783" s="308">
        <v>0.6</v>
      </c>
      <c r="H783" s="310">
        <f>Tabela1[[#This Row],[PESO UNI]]*Tabela1[[#This Row],[QTE]]</f>
        <v>2.4</v>
      </c>
      <c r="I783" s="307" t="s">
        <v>5382</v>
      </c>
      <c r="J783" s="311" t="s">
        <v>3093</v>
      </c>
      <c r="K783" s="311" t="s">
        <v>4320</v>
      </c>
      <c r="L783" s="312" t="s">
        <v>2984</v>
      </c>
      <c r="M783" s="313">
        <v>46233</v>
      </c>
      <c r="N783" s="311" t="s">
        <v>38</v>
      </c>
      <c r="O783" s="314"/>
      <c r="P783" s="315"/>
      <c r="Q783" s="14">
        <f>Tabela1[[#This Row],[QTDE/ Fabricação]]-Tabela1[[#This Row],[QTE]]</f>
        <v>-4</v>
      </c>
      <c r="R783" s="317">
        <f t="shared" si="152"/>
        <v>2.4</v>
      </c>
      <c r="S783" s="317">
        <f t="shared" si="153"/>
        <v>2.4</v>
      </c>
      <c r="T783" s="318">
        <f t="shared" si="154"/>
        <v>0</v>
      </c>
      <c r="U783" s="319">
        <f>IFERROR(SUMIF('LISTA DE EMBARQUE'!B:B,MICRO!E:E,'LISTA DE EMBARQUE'!G:G),"")</f>
        <v>4</v>
      </c>
      <c r="V783" s="314">
        <f>IFERROR(VLOOKUP(Tabela1[[#This Row],[COD.MDE]],'LISTA DE EMBARQUE'!B:L,11,0),"")</f>
        <v>6</v>
      </c>
      <c r="W783" s="315">
        <f>IFERROR(VLOOKUP(Tabela1[[#This Row],[COD.MDE]],'LISTA DE EMBARQUE'!B:M,12,0),"")</f>
        <v>46273</v>
      </c>
      <c r="X783" s="316">
        <f>IFERROR(Tabela1[[#This Row],[QIANTIDADE EXPEDIDA]]*Tabela1[[#This Row],[PESO UNI]],"")</f>
        <v>2.4</v>
      </c>
      <c r="Y783" s="316">
        <f t="shared" si="155"/>
        <v>0</v>
      </c>
      <c r="Z783" s="320">
        <f>Tabela1[[#This Row],[PESO TOTAL]]-Tabela1[[#This Row],[Peso Expedido]]</f>
        <v>0</v>
      </c>
      <c r="AA783" s="321">
        <v>1</v>
      </c>
      <c r="AB783" s="322"/>
      <c r="AC783" s="321">
        <v>1</v>
      </c>
      <c r="AD783" s="321">
        <v>1</v>
      </c>
      <c r="AE783" s="321">
        <v>1</v>
      </c>
      <c r="AF783" s="321">
        <v>1</v>
      </c>
      <c r="AG783" s="321">
        <v>1</v>
      </c>
      <c r="AH783" s="321">
        <v>1</v>
      </c>
      <c r="AI783" s="322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308" t="s">
        <v>4869</v>
      </c>
      <c r="B784" s="309" t="s">
        <v>4870</v>
      </c>
      <c r="C784" s="308">
        <v>4</v>
      </c>
      <c r="D784" s="308" t="s">
        <v>4889</v>
      </c>
      <c r="E784" s="307">
        <v>4439</v>
      </c>
      <c r="F784" s="307">
        <v>40</v>
      </c>
      <c r="G784" s="308">
        <v>6</v>
      </c>
      <c r="H784" s="310">
        <f>Tabela1[[#This Row],[PESO UNI]]*Tabela1[[#This Row],[QTE]]</f>
        <v>24</v>
      </c>
      <c r="I784" s="307" t="s">
        <v>5382</v>
      </c>
      <c r="J784" s="311" t="s">
        <v>3093</v>
      </c>
      <c r="K784" s="311" t="s">
        <v>4320</v>
      </c>
      <c r="L784" s="312" t="s">
        <v>2984</v>
      </c>
      <c r="M784" s="313">
        <v>46233</v>
      </c>
      <c r="N784" s="311" t="s">
        <v>38</v>
      </c>
      <c r="O784" s="314"/>
      <c r="P784" s="315"/>
      <c r="Q784" s="14">
        <f>Tabela1[[#This Row],[QTDE/ Fabricação]]-Tabela1[[#This Row],[QTE]]</f>
        <v>-4</v>
      </c>
      <c r="R784" s="317">
        <f t="shared" si="152"/>
        <v>24</v>
      </c>
      <c r="S784" s="317">
        <f t="shared" si="153"/>
        <v>24</v>
      </c>
      <c r="T784" s="318">
        <f t="shared" si="154"/>
        <v>0</v>
      </c>
      <c r="U784" s="319">
        <f>IFERROR(SUMIF('LISTA DE EMBARQUE'!B:B,MICRO!E:E,'LISTA DE EMBARQUE'!G:G),"")</f>
        <v>4</v>
      </c>
      <c r="V784" s="314">
        <f>IFERROR(VLOOKUP(Tabela1[[#This Row],[COD.MDE]],'LISTA DE EMBARQUE'!B:L,11,0),"")</f>
        <v>7</v>
      </c>
      <c r="W784" s="315">
        <f>IFERROR(VLOOKUP(Tabela1[[#This Row],[COD.MDE]],'LISTA DE EMBARQUE'!B:M,12,0),"")</f>
        <v>46280</v>
      </c>
      <c r="X784" s="316">
        <f>IFERROR(Tabela1[[#This Row],[QIANTIDADE EXPEDIDA]]*Tabela1[[#This Row],[PESO UNI]],"")</f>
        <v>24</v>
      </c>
      <c r="Y784" s="316">
        <f t="shared" si="155"/>
        <v>0</v>
      </c>
      <c r="Z784" s="320">
        <f>Tabela1[[#This Row],[PESO TOTAL]]-Tabela1[[#This Row],[Peso Expedido]]</f>
        <v>0</v>
      </c>
      <c r="AA784" s="321">
        <v>1</v>
      </c>
      <c r="AB784" s="322"/>
      <c r="AC784" s="322">
        <v>1</v>
      </c>
      <c r="AD784" s="322">
        <v>1</v>
      </c>
      <c r="AE784" s="322">
        <v>1</v>
      </c>
      <c r="AF784" s="322">
        <v>1</v>
      </c>
      <c r="AG784" s="322">
        <v>1</v>
      </c>
      <c r="AH784" s="322">
        <v>1</v>
      </c>
      <c r="AI784" s="322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5382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5382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5382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4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284.39999999999998</v>
      </c>
      <c r="Y793" s="14">
        <f t="shared" si="155"/>
        <v>2</v>
      </c>
      <c r="Z793" s="20">
        <f>Tabela1[[#This Row],[PESO TOTAL]]-Tabela1[[#This Row],[Peso Expedido]]</f>
        <v>-142.19999999999999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308" t="s">
        <v>4878</v>
      </c>
      <c r="B795" s="309" t="s">
        <v>4879</v>
      </c>
      <c r="C795" s="308">
        <v>4</v>
      </c>
      <c r="D795" s="308" t="s">
        <v>4893</v>
      </c>
      <c r="E795" s="307">
        <v>4450</v>
      </c>
      <c r="F795" s="307">
        <v>40</v>
      </c>
      <c r="G795" s="308">
        <v>0.6</v>
      </c>
      <c r="H795" s="310">
        <f>Tabela1[[#This Row],[PESO UNI]]*Tabela1[[#This Row],[QTE]]</f>
        <v>2.4</v>
      </c>
      <c r="I795" s="307" t="s">
        <v>5382</v>
      </c>
      <c r="J795" s="311" t="s">
        <v>3093</v>
      </c>
      <c r="K795" s="311" t="s">
        <v>4320</v>
      </c>
      <c r="L795" s="312" t="s">
        <v>2984</v>
      </c>
      <c r="M795" s="313">
        <v>46233</v>
      </c>
      <c r="N795" s="311" t="s">
        <v>38</v>
      </c>
      <c r="O795" s="314"/>
      <c r="P795" s="315"/>
      <c r="Q795" s="14">
        <f>Tabela1[[#This Row],[QTDE/ Fabricação]]-Tabela1[[#This Row],[QTE]]</f>
        <v>-4</v>
      </c>
      <c r="R795" s="317">
        <f t="shared" si="152"/>
        <v>2.4</v>
      </c>
      <c r="S795" s="317">
        <f t="shared" si="153"/>
        <v>2.4</v>
      </c>
      <c r="T795" s="318">
        <f t="shared" si="154"/>
        <v>0</v>
      </c>
      <c r="U795" s="319">
        <f>IFERROR(SUMIF('LISTA DE EMBARQUE'!B:B,MICRO!E:E,'LISTA DE EMBARQUE'!G:G),"")</f>
        <v>4</v>
      </c>
      <c r="V795" s="314">
        <f>IFERROR(VLOOKUP(Tabela1[[#This Row],[COD.MDE]],'LISTA DE EMBARQUE'!B:L,11,0),"")</f>
        <v>6</v>
      </c>
      <c r="W795" s="315">
        <f>IFERROR(VLOOKUP(Tabela1[[#This Row],[COD.MDE]],'LISTA DE EMBARQUE'!B:M,12,0),"")</f>
        <v>46273</v>
      </c>
      <c r="X795" s="316">
        <f>IFERROR(Tabela1[[#This Row],[QIANTIDADE EXPEDIDA]]*Tabela1[[#This Row],[PESO UNI]],"")</f>
        <v>2.4</v>
      </c>
      <c r="Y795" s="316">
        <f t="shared" si="155"/>
        <v>0</v>
      </c>
      <c r="Z795" s="320">
        <f>Tabela1[[#This Row],[PESO TOTAL]]-Tabela1[[#This Row],[Peso Expedido]]</f>
        <v>0</v>
      </c>
      <c r="AA795" s="321">
        <v>1</v>
      </c>
      <c r="AB795" s="322"/>
      <c r="AC795" s="321">
        <v>1</v>
      </c>
      <c r="AD795" s="321">
        <v>1</v>
      </c>
      <c r="AE795" s="321">
        <v>1</v>
      </c>
      <c r="AF795" s="321">
        <v>1</v>
      </c>
      <c r="AG795" s="321">
        <v>1</v>
      </c>
      <c r="AH795" s="321">
        <v>1</v>
      </c>
      <c r="AI795" s="322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308" t="s">
        <v>4878</v>
      </c>
      <c r="B796" s="309" t="s">
        <v>4879</v>
      </c>
      <c r="C796" s="308">
        <v>4</v>
      </c>
      <c r="D796" s="308" t="s">
        <v>4894</v>
      </c>
      <c r="E796" s="307">
        <v>4451</v>
      </c>
      <c r="F796" s="307">
        <v>40</v>
      </c>
      <c r="G796" s="308">
        <v>6</v>
      </c>
      <c r="H796" s="310">
        <f>Tabela1[[#This Row],[PESO UNI]]*Tabela1[[#This Row],[QTE]]</f>
        <v>24</v>
      </c>
      <c r="I796" s="307" t="s">
        <v>5382</v>
      </c>
      <c r="J796" s="311" t="s">
        <v>3093</v>
      </c>
      <c r="K796" s="311" t="s">
        <v>4320</v>
      </c>
      <c r="L796" s="312" t="s">
        <v>2984</v>
      </c>
      <c r="M796" s="313">
        <v>46233</v>
      </c>
      <c r="N796" s="311" t="s">
        <v>38</v>
      </c>
      <c r="O796" s="314"/>
      <c r="P796" s="315"/>
      <c r="Q796" s="14">
        <f>Tabela1[[#This Row],[QTDE/ Fabricação]]-Tabela1[[#This Row],[QTE]]</f>
        <v>-4</v>
      </c>
      <c r="R796" s="317">
        <f t="shared" si="152"/>
        <v>24</v>
      </c>
      <c r="S796" s="317">
        <f t="shared" si="153"/>
        <v>24</v>
      </c>
      <c r="T796" s="318">
        <f t="shared" si="154"/>
        <v>0</v>
      </c>
      <c r="U796" s="319">
        <f>IFERROR(SUMIF('LISTA DE EMBARQUE'!B:B,MICRO!E:E,'LISTA DE EMBARQUE'!G:G),"")</f>
        <v>4</v>
      </c>
      <c r="V796" s="314">
        <f>IFERROR(VLOOKUP(Tabela1[[#This Row],[COD.MDE]],'LISTA DE EMBARQUE'!B:L,11,0),"")</f>
        <v>7</v>
      </c>
      <c r="W796" s="315">
        <f>IFERROR(VLOOKUP(Tabela1[[#This Row],[COD.MDE]],'LISTA DE EMBARQUE'!B:M,12,0),"")</f>
        <v>46280</v>
      </c>
      <c r="X796" s="316">
        <f>IFERROR(Tabela1[[#This Row],[QIANTIDADE EXPEDIDA]]*Tabela1[[#This Row],[PESO UNI]],"")</f>
        <v>24</v>
      </c>
      <c r="Y796" s="316">
        <f t="shared" si="155"/>
        <v>0</v>
      </c>
      <c r="Z796" s="320">
        <f>Tabela1[[#This Row],[PESO TOTAL]]-Tabela1[[#This Row],[Peso Expedido]]</f>
        <v>0</v>
      </c>
      <c r="AA796" s="321">
        <v>1</v>
      </c>
      <c r="AB796" s="322"/>
      <c r="AC796" s="322">
        <v>1</v>
      </c>
      <c r="AD796" s="322">
        <v>1</v>
      </c>
      <c r="AE796" s="322">
        <v>1</v>
      </c>
      <c r="AF796" s="322">
        <v>1</v>
      </c>
      <c r="AG796" s="322">
        <v>1</v>
      </c>
      <c r="AH796" s="322">
        <v>1</v>
      </c>
      <c r="AI796" s="322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5382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218.4</v>
      </c>
      <c r="S797" s="18">
        <f t="shared" si="153"/>
        <v>218.4</v>
      </c>
      <c r="T797" s="19">
        <f t="shared" si="154"/>
        <v>0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1</v>
      </c>
      <c r="AB797" s="33"/>
      <c r="AC797" s="33">
        <v>1</v>
      </c>
      <c r="AD797" s="33">
        <v>1</v>
      </c>
      <c r="AE797" s="33">
        <v>1</v>
      </c>
      <c r="AF797" s="33">
        <v>1</v>
      </c>
      <c r="AG797" s="33">
        <v>1</v>
      </c>
      <c r="AH797" s="33">
        <v>1</v>
      </c>
      <c r="AI797" s="33" t="s">
        <v>4412</v>
      </c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308" t="s">
        <v>4878</v>
      </c>
      <c r="B798" s="309" t="s">
        <v>4879</v>
      </c>
      <c r="C798" s="308">
        <v>12</v>
      </c>
      <c r="D798" s="308" t="s">
        <v>4896</v>
      </c>
      <c r="E798" s="307">
        <v>4453</v>
      </c>
      <c r="F798" s="307">
        <v>40</v>
      </c>
      <c r="G798" s="308">
        <v>7.3</v>
      </c>
      <c r="H798" s="310">
        <f>Tabela1[[#This Row],[PESO UNI]]*Tabela1[[#This Row],[QTE]]</f>
        <v>87.6</v>
      </c>
      <c r="I798" s="307" t="s">
        <v>5382</v>
      </c>
      <c r="J798" s="311" t="s">
        <v>3093</v>
      </c>
      <c r="K798" s="311" t="s">
        <v>44</v>
      </c>
      <c r="L798" s="312" t="s">
        <v>2984</v>
      </c>
      <c r="M798" s="313">
        <v>46233</v>
      </c>
      <c r="N798" s="311" t="s">
        <v>38</v>
      </c>
      <c r="O798" s="314"/>
      <c r="P798" s="315"/>
      <c r="Q798" s="14">
        <f>Tabela1[[#This Row],[QTDE/ Fabricação]]-Tabela1[[#This Row],[QTE]]</f>
        <v>-12</v>
      </c>
      <c r="R798" s="317">
        <f t="shared" si="152"/>
        <v>87.6</v>
      </c>
      <c r="S798" s="317">
        <f t="shared" si="153"/>
        <v>87.6</v>
      </c>
      <c r="T798" s="318">
        <f t="shared" si="154"/>
        <v>0</v>
      </c>
      <c r="U798" s="319">
        <f>IFERROR(SUMIF('LISTA DE EMBARQUE'!B:B,MICRO!E:E,'LISTA DE EMBARQUE'!G:G),"")</f>
        <v>12</v>
      </c>
      <c r="V798" s="314">
        <f>IFERROR(VLOOKUP(Tabela1[[#This Row],[COD.MDE]],'LISTA DE EMBARQUE'!B:L,11,0),"")</f>
        <v>5</v>
      </c>
      <c r="W798" s="315">
        <f>IFERROR(VLOOKUP(Tabela1[[#This Row],[COD.MDE]],'LISTA DE EMBARQUE'!B:M,12,0),"")</f>
        <v>46254</v>
      </c>
      <c r="X798" s="316">
        <f>IFERROR(Tabela1[[#This Row],[QIANTIDADE EXPEDIDA]]*Tabela1[[#This Row],[PESO UNI]],"")</f>
        <v>87.6</v>
      </c>
      <c r="Y798" s="316">
        <f t="shared" si="155"/>
        <v>0</v>
      </c>
      <c r="Z798" s="320">
        <f>Tabela1[[#This Row],[PESO TOTAL]]-Tabela1[[#This Row],[Peso Expedido]]</f>
        <v>0</v>
      </c>
      <c r="AA798" s="321">
        <v>1</v>
      </c>
      <c r="AB798" s="322"/>
      <c r="AC798" s="322">
        <v>1</v>
      </c>
      <c r="AD798" s="322">
        <v>1</v>
      </c>
      <c r="AE798" s="322">
        <v>1</v>
      </c>
      <c r="AF798" s="322">
        <v>1</v>
      </c>
      <c r="AG798" s="322">
        <v>1</v>
      </c>
      <c r="AH798" s="322">
        <v>1</v>
      </c>
      <c r="AI798" s="322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308" t="s">
        <v>4878</v>
      </c>
      <c r="B799" s="309" t="s">
        <v>4879</v>
      </c>
      <c r="C799" s="308">
        <v>2</v>
      </c>
      <c r="D799" s="308" t="s">
        <v>4897</v>
      </c>
      <c r="E799" s="307">
        <v>4454</v>
      </c>
      <c r="F799" s="307">
        <v>40</v>
      </c>
      <c r="G799" s="308">
        <v>8.5</v>
      </c>
      <c r="H799" s="310">
        <f>Tabela1[[#This Row],[PESO UNI]]*Tabela1[[#This Row],[QTE]]</f>
        <v>17</v>
      </c>
      <c r="I799" s="307" t="s">
        <v>5382</v>
      </c>
      <c r="J799" s="311" t="s">
        <v>3093</v>
      </c>
      <c r="K799" s="311" t="s">
        <v>44</v>
      </c>
      <c r="L799" s="312" t="s">
        <v>2984</v>
      </c>
      <c r="M799" s="313">
        <v>46233</v>
      </c>
      <c r="N799" s="311" t="s">
        <v>38</v>
      </c>
      <c r="O799" s="314"/>
      <c r="P799" s="315"/>
      <c r="Q799" s="14">
        <f>Tabela1[[#This Row],[QTDE/ Fabricação]]-Tabela1[[#This Row],[QTE]]</f>
        <v>-2</v>
      </c>
      <c r="R799" s="317">
        <f t="shared" si="152"/>
        <v>17</v>
      </c>
      <c r="S799" s="317">
        <f t="shared" si="153"/>
        <v>17</v>
      </c>
      <c r="T799" s="318">
        <f t="shared" si="154"/>
        <v>0</v>
      </c>
      <c r="U799" s="319">
        <f>IFERROR(SUMIF('LISTA DE EMBARQUE'!B:B,MICRO!E:E,'LISTA DE EMBARQUE'!G:G),"")</f>
        <v>2</v>
      </c>
      <c r="V799" s="314">
        <f>IFERROR(VLOOKUP(Tabela1[[#This Row],[COD.MDE]],'LISTA DE EMBARQUE'!B:L,11,0),"")</f>
        <v>5</v>
      </c>
      <c r="W799" s="315">
        <f>IFERROR(VLOOKUP(Tabela1[[#This Row],[COD.MDE]],'LISTA DE EMBARQUE'!B:M,12,0),"")</f>
        <v>46254</v>
      </c>
      <c r="X799" s="316">
        <f>IFERROR(Tabela1[[#This Row],[QIANTIDADE EXPEDIDA]]*Tabela1[[#This Row],[PESO UNI]],"")</f>
        <v>17</v>
      </c>
      <c r="Y799" s="316">
        <f t="shared" si="155"/>
        <v>0</v>
      </c>
      <c r="Z799" s="320">
        <f>Tabela1[[#This Row],[PESO TOTAL]]-Tabela1[[#This Row],[Peso Expedido]]</f>
        <v>0</v>
      </c>
      <c r="AA799" s="321">
        <v>1</v>
      </c>
      <c r="AB799" s="322"/>
      <c r="AC799" s="322">
        <v>1</v>
      </c>
      <c r="AD799" s="322">
        <v>1</v>
      </c>
      <c r="AE799" s="322">
        <v>1</v>
      </c>
      <c r="AF799" s="322">
        <v>1</v>
      </c>
      <c r="AG799" s="322">
        <v>1</v>
      </c>
      <c r="AH799" s="322">
        <v>1</v>
      </c>
      <c r="AI799" s="322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308" t="s">
        <v>4878</v>
      </c>
      <c r="B800" s="309" t="s">
        <v>4879</v>
      </c>
      <c r="C800" s="308">
        <v>2</v>
      </c>
      <c r="D800" s="308" t="s">
        <v>4898</v>
      </c>
      <c r="E800" s="307">
        <v>4455</v>
      </c>
      <c r="F800" s="307">
        <v>40</v>
      </c>
      <c r="G800" s="308">
        <v>9.1999999999999993</v>
      </c>
      <c r="H800" s="310">
        <f>Tabela1[[#This Row],[PESO UNI]]*Tabela1[[#This Row],[QTE]]</f>
        <v>18.399999999999999</v>
      </c>
      <c r="I800" s="307" t="s">
        <v>5382</v>
      </c>
      <c r="J800" s="311" t="s">
        <v>3093</v>
      </c>
      <c r="K800" s="311" t="s">
        <v>44</v>
      </c>
      <c r="L800" s="312" t="s">
        <v>2984</v>
      </c>
      <c r="M800" s="313">
        <v>46233</v>
      </c>
      <c r="N800" s="311" t="s">
        <v>38</v>
      </c>
      <c r="O800" s="314"/>
      <c r="P800" s="315"/>
      <c r="Q800" s="14">
        <f>Tabela1[[#This Row],[QTDE/ Fabricação]]-Tabela1[[#This Row],[QTE]]</f>
        <v>-2</v>
      </c>
      <c r="R800" s="317">
        <f t="shared" si="152"/>
        <v>18.399999999999999</v>
      </c>
      <c r="S800" s="317">
        <f t="shared" si="153"/>
        <v>18.399999999999999</v>
      </c>
      <c r="T800" s="318">
        <f t="shared" si="154"/>
        <v>0</v>
      </c>
      <c r="U800" s="319">
        <f>IFERROR(SUMIF('LISTA DE EMBARQUE'!B:B,MICRO!E:E,'LISTA DE EMBARQUE'!G:G),"")</f>
        <v>2</v>
      </c>
      <c r="V800" s="314">
        <f>IFERROR(VLOOKUP(Tabela1[[#This Row],[COD.MDE]],'LISTA DE EMBARQUE'!B:L,11,0),"")</f>
        <v>5</v>
      </c>
      <c r="W800" s="315">
        <f>IFERROR(VLOOKUP(Tabela1[[#This Row],[COD.MDE]],'LISTA DE EMBARQUE'!B:M,12,0),"")</f>
        <v>46254</v>
      </c>
      <c r="X800" s="316">
        <f>IFERROR(Tabela1[[#This Row],[QIANTIDADE EXPEDIDA]]*Tabela1[[#This Row],[PESO UNI]],"")</f>
        <v>18.399999999999999</v>
      </c>
      <c r="Y800" s="316">
        <f t="shared" si="155"/>
        <v>0</v>
      </c>
      <c r="Z800" s="320">
        <f>Tabela1[[#This Row],[PESO TOTAL]]-Tabela1[[#This Row],[Peso Expedido]]</f>
        <v>0</v>
      </c>
      <c r="AA800" s="321">
        <v>1</v>
      </c>
      <c r="AB800" s="322"/>
      <c r="AC800" s="322">
        <v>1</v>
      </c>
      <c r="AD800" s="322">
        <v>1</v>
      </c>
      <c r="AE800" s="322">
        <v>1</v>
      </c>
      <c r="AF800" s="322">
        <v>1</v>
      </c>
      <c r="AG800" s="322">
        <v>1</v>
      </c>
      <c r="AH800" s="322">
        <v>1</v>
      </c>
      <c r="AI800" s="32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308" t="s">
        <v>4878</v>
      </c>
      <c r="B801" s="309" t="s">
        <v>4879</v>
      </c>
      <c r="C801" s="308">
        <v>2</v>
      </c>
      <c r="D801" s="308" t="s">
        <v>4899</v>
      </c>
      <c r="E801" s="307">
        <v>4456</v>
      </c>
      <c r="F801" s="307">
        <v>40</v>
      </c>
      <c r="G801" s="308">
        <v>9.9</v>
      </c>
      <c r="H801" s="310">
        <f>Tabela1[[#This Row],[PESO UNI]]*Tabela1[[#This Row],[QTE]]</f>
        <v>19.8</v>
      </c>
      <c r="I801" s="307" t="s">
        <v>5382</v>
      </c>
      <c r="J801" s="311" t="s">
        <v>3093</v>
      </c>
      <c r="K801" s="311" t="s">
        <v>44</v>
      </c>
      <c r="L801" s="312" t="s">
        <v>2984</v>
      </c>
      <c r="M801" s="313">
        <v>46233</v>
      </c>
      <c r="N801" s="311" t="s">
        <v>38</v>
      </c>
      <c r="O801" s="314"/>
      <c r="P801" s="315"/>
      <c r="Q801" s="14">
        <f>Tabela1[[#This Row],[QTDE/ Fabricação]]-Tabela1[[#This Row],[QTE]]</f>
        <v>-2</v>
      </c>
      <c r="R801" s="317">
        <f t="shared" si="152"/>
        <v>19.8</v>
      </c>
      <c r="S801" s="317">
        <f t="shared" si="153"/>
        <v>19.8</v>
      </c>
      <c r="T801" s="318">
        <f t="shared" si="154"/>
        <v>0</v>
      </c>
      <c r="U801" s="319">
        <f>IFERROR(SUMIF('LISTA DE EMBARQUE'!B:B,MICRO!E:E,'LISTA DE EMBARQUE'!G:G),"")</f>
        <v>2</v>
      </c>
      <c r="V801" s="314">
        <f>IFERROR(VLOOKUP(Tabela1[[#This Row],[COD.MDE]],'LISTA DE EMBARQUE'!B:L,11,0),"")</f>
        <v>5</v>
      </c>
      <c r="W801" s="315">
        <f>IFERROR(VLOOKUP(Tabela1[[#This Row],[COD.MDE]],'LISTA DE EMBARQUE'!B:M,12,0),"")</f>
        <v>46254</v>
      </c>
      <c r="X801" s="316">
        <f>IFERROR(Tabela1[[#This Row],[QIANTIDADE EXPEDIDA]]*Tabela1[[#This Row],[PESO UNI]],"")</f>
        <v>19.8</v>
      </c>
      <c r="Y801" s="316">
        <f t="shared" si="155"/>
        <v>0</v>
      </c>
      <c r="Z801" s="320">
        <f>Tabela1[[#This Row],[PESO TOTAL]]-Tabela1[[#This Row],[Peso Expedido]]</f>
        <v>0</v>
      </c>
      <c r="AA801" s="321">
        <v>1</v>
      </c>
      <c r="AB801" s="322"/>
      <c r="AC801" s="322">
        <v>1</v>
      </c>
      <c r="AD801" s="322">
        <v>1</v>
      </c>
      <c r="AE801" s="322">
        <v>1</v>
      </c>
      <c r="AF801" s="322">
        <v>1</v>
      </c>
      <c r="AG801" s="322">
        <v>1</v>
      </c>
      <c r="AH801" s="322">
        <v>1</v>
      </c>
      <c r="AI801" s="32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308" t="s">
        <v>4878</v>
      </c>
      <c r="B802" s="309" t="s">
        <v>4879</v>
      </c>
      <c r="C802" s="308">
        <v>2</v>
      </c>
      <c r="D802" s="308" t="s">
        <v>4900</v>
      </c>
      <c r="E802" s="307">
        <v>4457</v>
      </c>
      <c r="F802" s="307">
        <v>40</v>
      </c>
      <c r="G802" s="308">
        <v>10.5</v>
      </c>
      <c r="H802" s="310">
        <f>Tabela1[[#This Row],[PESO UNI]]*Tabela1[[#This Row],[QTE]]</f>
        <v>21</v>
      </c>
      <c r="I802" s="307" t="s">
        <v>5382</v>
      </c>
      <c r="J802" s="311" t="s">
        <v>3093</v>
      </c>
      <c r="K802" s="311" t="s">
        <v>44</v>
      </c>
      <c r="L802" s="312" t="s">
        <v>2984</v>
      </c>
      <c r="M802" s="313">
        <v>46233</v>
      </c>
      <c r="N802" s="311" t="s">
        <v>38</v>
      </c>
      <c r="O802" s="314"/>
      <c r="P802" s="315"/>
      <c r="Q802" s="14">
        <f>Tabela1[[#This Row],[QTDE/ Fabricação]]-Tabela1[[#This Row],[QTE]]</f>
        <v>-2</v>
      </c>
      <c r="R802" s="317">
        <f t="shared" si="152"/>
        <v>21</v>
      </c>
      <c r="S802" s="317">
        <f t="shared" si="153"/>
        <v>21</v>
      </c>
      <c r="T802" s="318">
        <f t="shared" si="154"/>
        <v>0</v>
      </c>
      <c r="U802" s="319">
        <f>IFERROR(SUMIF('LISTA DE EMBARQUE'!B:B,MICRO!E:E,'LISTA DE EMBARQUE'!G:G),"")</f>
        <v>2</v>
      </c>
      <c r="V802" s="314">
        <f>IFERROR(VLOOKUP(Tabela1[[#This Row],[COD.MDE]],'LISTA DE EMBARQUE'!B:L,11,0),"")</f>
        <v>5</v>
      </c>
      <c r="W802" s="315">
        <f>IFERROR(VLOOKUP(Tabela1[[#This Row],[COD.MDE]],'LISTA DE EMBARQUE'!B:M,12,0),"")</f>
        <v>46254</v>
      </c>
      <c r="X802" s="316">
        <f>IFERROR(Tabela1[[#This Row],[QIANTIDADE EXPEDIDA]]*Tabela1[[#This Row],[PESO UNI]],"")</f>
        <v>21</v>
      </c>
      <c r="Y802" s="316">
        <f t="shared" si="155"/>
        <v>0</v>
      </c>
      <c r="Z802" s="320">
        <f>Tabela1[[#This Row],[PESO TOTAL]]-Tabela1[[#This Row],[Peso Expedido]]</f>
        <v>0</v>
      </c>
      <c r="AA802" s="321">
        <v>1</v>
      </c>
      <c r="AB802" s="322"/>
      <c r="AC802" s="322">
        <v>1</v>
      </c>
      <c r="AD802" s="322">
        <v>1</v>
      </c>
      <c r="AE802" s="322">
        <v>1</v>
      </c>
      <c r="AF802" s="322">
        <v>1</v>
      </c>
      <c r="AG802" s="322">
        <v>1</v>
      </c>
      <c r="AH802" s="322">
        <v>1</v>
      </c>
      <c r="AI802" s="32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308" t="s">
        <v>4878</v>
      </c>
      <c r="B803" s="309" t="s">
        <v>4879</v>
      </c>
      <c r="C803" s="308">
        <v>2</v>
      </c>
      <c r="D803" s="308" t="s">
        <v>4901</v>
      </c>
      <c r="E803" s="307">
        <v>4458</v>
      </c>
      <c r="F803" s="307">
        <v>40</v>
      </c>
      <c r="G803" s="308">
        <v>11.2</v>
      </c>
      <c r="H803" s="310">
        <f>Tabela1[[#This Row],[PESO UNI]]*Tabela1[[#This Row],[QTE]]</f>
        <v>22.4</v>
      </c>
      <c r="I803" s="307" t="s">
        <v>5382</v>
      </c>
      <c r="J803" s="311" t="s">
        <v>3093</v>
      </c>
      <c r="K803" s="311" t="s">
        <v>44</v>
      </c>
      <c r="L803" s="312" t="s">
        <v>2984</v>
      </c>
      <c r="M803" s="313">
        <v>46233</v>
      </c>
      <c r="N803" s="311" t="s">
        <v>38</v>
      </c>
      <c r="O803" s="314"/>
      <c r="P803" s="315"/>
      <c r="Q803" s="14">
        <f>Tabela1[[#This Row],[QTDE/ Fabricação]]-Tabela1[[#This Row],[QTE]]</f>
        <v>-2</v>
      </c>
      <c r="R803" s="317">
        <f t="shared" si="152"/>
        <v>22.4</v>
      </c>
      <c r="S803" s="317">
        <f t="shared" si="153"/>
        <v>22.4</v>
      </c>
      <c r="T803" s="318">
        <f t="shared" si="154"/>
        <v>0</v>
      </c>
      <c r="U803" s="319">
        <f>IFERROR(SUMIF('LISTA DE EMBARQUE'!B:B,MICRO!E:E,'LISTA DE EMBARQUE'!G:G),"")</f>
        <v>2</v>
      </c>
      <c r="V803" s="314">
        <f>IFERROR(VLOOKUP(Tabela1[[#This Row],[COD.MDE]],'LISTA DE EMBARQUE'!B:L,11,0),"")</f>
        <v>5</v>
      </c>
      <c r="W803" s="315">
        <f>IFERROR(VLOOKUP(Tabela1[[#This Row],[COD.MDE]],'LISTA DE EMBARQUE'!B:M,12,0),"")</f>
        <v>46254</v>
      </c>
      <c r="X803" s="316">
        <f>IFERROR(Tabela1[[#This Row],[QIANTIDADE EXPEDIDA]]*Tabela1[[#This Row],[PESO UNI]],"")</f>
        <v>22.4</v>
      </c>
      <c r="Y803" s="316">
        <f t="shared" si="155"/>
        <v>0</v>
      </c>
      <c r="Z803" s="320">
        <f>Tabela1[[#This Row],[PESO TOTAL]]-Tabela1[[#This Row],[Peso Expedido]]</f>
        <v>0</v>
      </c>
      <c r="AA803" s="321">
        <v>1</v>
      </c>
      <c r="AB803" s="322"/>
      <c r="AC803" s="322">
        <v>1</v>
      </c>
      <c r="AD803" s="322">
        <v>1</v>
      </c>
      <c r="AE803" s="322">
        <v>1</v>
      </c>
      <c r="AF803" s="322">
        <v>1</v>
      </c>
      <c r="AG803" s="322">
        <v>1</v>
      </c>
      <c r="AH803" s="322">
        <v>1</v>
      </c>
      <c r="AI803" s="32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308" t="s">
        <v>4878</v>
      </c>
      <c r="B804" s="309" t="s">
        <v>4879</v>
      </c>
      <c r="C804" s="308">
        <v>2</v>
      </c>
      <c r="D804" s="308" t="s">
        <v>4902</v>
      </c>
      <c r="E804" s="307">
        <v>4459</v>
      </c>
      <c r="F804" s="307">
        <v>40</v>
      </c>
      <c r="G804" s="308">
        <v>11.9</v>
      </c>
      <c r="H804" s="310">
        <f>Tabela1[[#This Row],[PESO UNI]]*Tabela1[[#This Row],[QTE]]</f>
        <v>23.8</v>
      </c>
      <c r="I804" s="307" t="s">
        <v>5382</v>
      </c>
      <c r="J804" s="311" t="s">
        <v>3093</v>
      </c>
      <c r="K804" s="311" t="s">
        <v>44</v>
      </c>
      <c r="L804" s="312" t="s">
        <v>2984</v>
      </c>
      <c r="M804" s="313">
        <v>46233</v>
      </c>
      <c r="N804" s="311" t="s">
        <v>38</v>
      </c>
      <c r="O804" s="314"/>
      <c r="P804" s="315"/>
      <c r="Q804" s="14">
        <f>Tabela1[[#This Row],[QTDE/ Fabricação]]-Tabela1[[#This Row],[QTE]]</f>
        <v>-2</v>
      </c>
      <c r="R804" s="317">
        <f t="shared" si="152"/>
        <v>23.8</v>
      </c>
      <c r="S804" s="317">
        <f t="shared" si="153"/>
        <v>23.8</v>
      </c>
      <c r="T804" s="318">
        <f t="shared" si="154"/>
        <v>0</v>
      </c>
      <c r="U804" s="319">
        <f>IFERROR(SUMIF('LISTA DE EMBARQUE'!B:B,MICRO!E:E,'LISTA DE EMBARQUE'!G:G),"")</f>
        <v>2</v>
      </c>
      <c r="V804" s="314">
        <f>IFERROR(VLOOKUP(Tabela1[[#This Row],[COD.MDE]],'LISTA DE EMBARQUE'!B:L,11,0),"")</f>
        <v>5</v>
      </c>
      <c r="W804" s="315">
        <f>IFERROR(VLOOKUP(Tabela1[[#This Row],[COD.MDE]],'LISTA DE EMBARQUE'!B:M,12,0),"")</f>
        <v>46254</v>
      </c>
      <c r="X804" s="316">
        <f>IFERROR(Tabela1[[#This Row],[QIANTIDADE EXPEDIDA]]*Tabela1[[#This Row],[PESO UNI]],"")</f>
        <v>23.8</v>
      </c>
      <c r="Y804" s="316">
        <f t="shared" si="155"/>
        <v>0</v>
      </c>
      <c r="Z804" s="320">
        <f>Tabela1[[#This Row],[PESO TOTAL]]-Tabela1[[#This Row],[Peso Expedido]]</f>
        <v>0</v>
      </c>
      <c r="AA804" s="321">
        <v>1</v>
      </c>
      <c r="AB804" s="322"/>
      <c r="AC804" s="322">
        <v>1</v>
      </c>
      <c r="AD804" s="322">
        <v>1</v>
      </c>
      <c r="AE804" s="322">
        <v>1</v>
      </c>
      <c r="AF804" s="322">
        <v>1</v>
      </c>
      <c r="AG804" s="322">
        <v>1</v>
      </c>
      <c r="AH804" s="322">
        <v>1</v>
      </c>
      <c r="AI804" s="32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5382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558.4</v>
      </c>
      <c r="S805" s="18">
        <f t="shared" si="153"/>
        <v>558.4</v>
      </c>
      <c r="T805" s="19">
        <f t="shared" si="154"/>
        <v>0</v>
      </c>
      <c r="U805" s="16">
        <f>IFERROR(SUMIF('LISTA DE EMBARQUE'!B:B,MICRO!E:E,'LISTA DE EMBARQUE'!G:G),"")</f>
        <v>4</v>
      </c>
      <c r="V805" s="12">
        <f>IFERROR(VLOOKUP(Tabela1[[#This Row],[COD.MDE]],'LISTA DE EMBARQUE'!B:L,11,0),"")</f>
        <v>7</v>
      </c>
      <c r="W805" s="13">
        <f>IFERROR(VLOOKUP(Tabela1[[#This Row],[COD.MDE]],'LISTA DE EMBARQUE'!B:M,12,0),"")</f>
        <v>46280</v>
      </c>
      <c r="X805" s="14">
        <f>IFERROR(Tabela1[[#This Row],[QIANTIDADE EXPEDIDA]]*Tabela1[[#This Row],[PESO UNI]],"")</f>
        <v>279.2</v>
      </c>
      <c r="Y805" s="14">
        <f t="shared" si="155"/>
        <v>-4</v>
      </c>
      <c r="Z805" s="20">
        <f>Tabela1[[#This Row],[PESO TOTAL]]-Tabela1[[#This Row],[Peso Expedido]]</f>
        <v>279.2</v>
      </c>
      <c r="AA805" s="17">
        <v>1</v>
      </c>
      <c r="AB805" s="33"/>
      <c r="AC805" s="33">
        <v>1</v>
      </c>
      <c r="AD805" s="33">
        <v>1</v>
      </c>
      <c r="AE805" s="33">
        <v>1</v>
      </c>
      <c r="AF805" s="33">
        <v>1</v>
      </c>
      <c r="AG805" s="33">
        <v>1</v>
      </c>
      <c r="AH805" s="33">
        <v>0.5</v>
      </c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308" t="s">
        <v>4903</v>
      </c>
      <c r="B806" s="309" t="s">
        <v>4904</v>
      </c>
      <c r="C806" s="308">
        <v>16</v>
      </c>
      <c r="D806" s="308" t="s">
        <v>4906</v>
      </c>
      <c r="E806" s="307">
        <v>4461</v>
      </c>
      <c r="F806" s="307">
        <v>40</v>
      </c>
      <c r="G806" s="308">
        <v>81.099999999999994</v>
      </c>
      <c r="H806" s="310">
        <f>Tabela1[[#This Row],[PESO UNI]]*Tabela1[[#This Row],[QTE]]</f>
        <v>1297.5999999999999</v>
      </c>
      <c r="I806" s="307" t="s">
        <v>5382</v>
      </c>
      <c r="J806" s="311" t="s">
        <v>3093</v>
      </c>
      <c r="K806" s="311" t="s">
        <v>4320</v>
      </c>
      <c r="L806" s="312" t="s">
        <v>2984</v>
      </c>
      <c r="M806" s="313">
        <v>46233</v>
      </c>
      <c r="N806" s="311" t="s">
        <v>38</v>
      </c>
      <c r="O806" s="314"/>
      <c r="P806" s="315"/>
      <c r="Q806" s="14">
        <f>Tabela1[[#This Row],[QTDE/ Fabricação]]-Tabela1[[#This Row],[QTE]]</f>
        <v>-16</v>
      </c>
      <c r="R806" s="317">
        <f t="shared" si="152"/>
        <v>1297.5999999999999</v>
      </c>
      <c r="S806" s="317">
        <f t="shared" si="153"/>
        <v>1297.5999999999999</v>
      </c>
      <c r="T806" s="318">
        <f t="shared" si="154"/>
        <v>0</v>
      </c>
      <c r="U806" s="319">
        <f>IFERROR(SUMIF('LISTA DE EMBARQUE'!B:B,MICRO!E:E,'LISTA DE EMBARQUE'!G:G),"")</f>
        <v>16</v>
      </c>
      <c r="V806" s="314">
        <f>IFERROR(VLOOKUP(Tabela1[[#This Row],[COD.MDE]],'LISTA DE EMBARQUE'!B:L,11,0),"")</f>
        <v>6</v>
      </c>
      <c r="W806" s="315">
        <f>IFERROR(VLOOKUP(Tabela1[[#This Row],[COD.MDE]],'LISTA DE EMBARQUE'!B:M,12,0),"")</f>
        <v>46273</v>
      </c>
      <c r="X806" s="316">
        <f>IFERROR(Tabela1[[#This Row],[QIANTIDADE EXPEDIDA]]*Tabela1[[#This Row],[PESO UNI]],"")</f>
        <v>1297.5999999999999</v>
      </c>
      <c r="Y806" s="316">
        <f t="shared" si="155"/>
        <v>0</v>
      </c>
      <c r="Z806" s="320">
        <f>Tabela1[[#This Row],[PESO TOTAL]]-Tabela1[[#This Row],[Peso Expedido]]</f>
        <v>0</v>
      </c>
      <c r="AA806" s="321">
        <v>1</v>
      </c>
      <c r="AB806" s="322"/>
      <c r="AC806" s="321">
        <v>1</v>
      </c>
      <c r="AD806" s="321">
        <v>1</v>
      </c>
      <c r="AE806" s="321">
        <v>1</v>
      </c>
      <c r="AF806" s="321">
        <v>1</v>
      </c>
      <c r="AG806" s="321">
        <v>1</v>
      </c>
      <c r="AH806" s="321">
        <v>1</v>
      </c>
      <c r="AI806" s="322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308" t="s">
        <v>4903</v>
      </c>
      <c r="B807" s="309" t="s">
        <v>4904</v>
      </c>
      <c r="C807" s="308">
        <v>16</v>
      </c>
      <c r="D807" s="308" t="s">
        <v>4907</v>
      </c>
      <c r="E807" s="307">
        <v>4462</v>
      </c>
      <c r="F807" s="307">
        <v>40</v>
      </c>
      <c r="G807" s="308">
        <v>0.6</v>
      </c>
      <c r="H807" s="310">
        <f>Tabela1[[#This Row],[PESO UNI]]*Tabela1[[#This Row],[QTE]]</f>
        <v>9.6</v>
      </c>
      <c r="I807" s="307" t="s">
        <v>5382</v>
      </c>
      <c r="J807" s="311" t="s">
        <v>3093</v>
      </c>
      <c r="K807" s="311" t="s">
        <v>4320</v>
      </c>
      <c r="L807" s="312" t="s">
        <v>2984</v>
      </c>
      <c r="M807" s="313">
        <v>46233</v>
      </c>
      <c r="N807" s="311" t="s">
        <v>38</v>
      </c>
      <c r="O807" s="314"/>
      <c r="P807" s="315"/>
      <c r="Q807" s="14">
        <f>Tabela1[[#This Row],[QTDE/ Fabricação]]-Tabela1[[#This Row],[QTE]]</f>
        <v>-16</v>
      </c>
      <c r="R807" s="317">
        <f t="shared" ref="R807:R833" si="157">IFERROR(H807*((AA807*0.25)+(AC807*0.25)+(AD807*0.225)+(AE807*0.225)+(AF807*0.05)),"")</f>
        <v>9.6</v>
      </c>
      <c r="S807" s="317">
        <f t="shared" ref="S807:S833" si="158">IFERROR(H807*AG807,"")</f>
        <v>9.6</v>
      </c>
      <c r="T807" s="318">
        <f t="shared" ref="T807:T833" si="159">IFERROR(S807-H807,"")</f>
        <v>0</v>
      </c>
      <c r="U807" s="319">
        <f>IFERROR(SUMIF('LISTA DE EMBARQUE'!B:B,MICRO!E:E,'LISTA DE EMBARQUE'!G:G),"")</f>
        <v>16</v>
      </c>
      <c r="V807" s="314">
        <f>IFERROR(VLOOKUP(Tabela1[[#This Row],[COD.MDE]],'LISTA DE EMBARQUE'!B:L,11,0),"")</f>
        <v>6</v>
      </c>
      <c r="W807" s="315">
        <f>IFERROR(VLOOKUP(Tabela1[[#This Row],[COD.MDE]],'LISTA DE EMBARQUE'!B:M,12,0),"")</f>
        <v>46273</v>
      </c>
      <c r="X807" s="316">
        <f>IFERROR(Tabela1[[#This Row],[QIANTIDADE EXPEDIDA]]*Tabela1[[#This Row],[PESO UNI]],"")</f>
        <v>9.6</v>
      </c>
      <c r="Y807" s="316">
        <f t="shared" ref="Y807:Y833" si="160">U807-C807</f>
        <v>0</v>
      </c>
      <c r="Z807" s="320">
        <f>Tabela1[[#This Row],[PESO TOTAL]]-Tabela1[[#This Row],[Peso Expedido]]</f>
        <v>0</v>
      </c>
      <c r="AA807" s="321">
        <v>1</v>
      </c>
      <c r="AB807" s="322"/>
      <c r="AC807" s="321">
        <v>1</v>
      </c>
      <c r="AD807" s="321">
        <v>1</v>
      </c>
      <c r="AE807" s="321">
        <v>1</v>
      </c>
      <c r="AF807" s="321">
        <v>1</v>
      </c>
      <c r="AG807" s="321">
        <v>1</v>
      </c>
      <c r="AH807" s="321">
        <v>1</v>
      </c>
      <c r="AI807" s="32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5382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16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179.2</v>
      </c>
      <c r="Y808" s="14">
        <f t="shared" si="160"/>
        <v>8</v>
      </c>
      <c r="Z808" s="20">
        <f>Tabela1[[#This Row],[PESO TOTAL]]-Tabela1[[#This Row],[Peso Expedido]]</f>
        <v>-89.6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308" t="s">
        <v>4903</v>
      </c>
      <c r="B809" s="309" t="s">
        <v>4904</v>
      </c>
      <c r="C809" s="308">
        <v>16</v>
      </c>
      <c r="D809" s="308" t="s">
        <v>4909</v>
      </c>
      <c r="E809" s="307">
        <v>4464</v>
      </c>
      <c r="F809" s="307">
        <v>40</v>
      </c>
      <c r="G809" s="308">
        <v>6</v>
      </c>
      <c r="H809" s="310">
        <f>Tabela1[[#This Row],[PESO UNI]]*Tabela1[[#This Row],[QTE]]</f>
        <v>96</v>
      </c>
      <c r="I809" s="307" t="s">
        <v>5382</v>
      </c>
      <c r="J809" s="311" t="s">
        <v>3093</v>
      </c>
      <c r="K809" s="311" t="s">
        <v>4320</v>
      </c>
      <c r="L809" s="312" t="s">
        <v>2984</v>
      </c>
      <c r="M809" s="313">
        <v>46233</v>
      </c>
      <c r="N809" s="311" t="s">
        <v>38</v>
      </c>
      <c r="O809" s="314"/>
      <c r="P809" s="315"/>
      <c r="Q809" s="14">
        <f>Tabela1[[#This Row],[QTDE/ Fabricação]]-Tabela1[[#This Row],[QTE]]</f>
        <v>-16</v>
      </c>
      <c r="R809" s="317">
        <f t="shared" si="157"/>
        <v>96</v>
      </c>
      <c r="S809" s="317">
        <f t="shared" si="158"/>
        <v>96</v>
      </c>
      <c r="T809" s="318">
        <f t="shared" si="159"/>
        <v>0</v>
      </c>
      <c r="U809" s="319">
        <f>IFERROR(SUMIF('LISTA DE EMBARQUE'!B:B,MICRO!E:E,'LISTA DE EMBARQUE'!G:G),"")</f>
        <v>16</v>
      </c>
      <c r="V809" s="314">
        <f>IFERROR(VLOOKUP(Tabela1[[#This Row],[COD.MDE]],'LISTA DE EMBARQUE'!B:L,11,0),"")</f>
        <v>7</v>
      </c>
      <c r="W809" s="315">
        <f>IFERROR(VLOOKUP(Tabela1[[#This Row],[COD.MDE]],'LISTA DE EMBARQUE'!B:M,12,0),"")</f>
        <v>46280</v>
      </c>
      <c r="X809" s="316">
        <f>IFERROR(Tabela1[[#This Row],[QIANTIDADE EXPEDIDA]]*Tabela1[[#This Row],[PESO UNI]],"")</f>
        <v>96</v>
      </c>
      <c r="Y809" s="316">
        <f t="shared" si="160"/>
        <v>0</v>
      </c>
      <c r="Z809" s="320">
        <f>Tabela1[[#This Row],[PESO TOTAL]]-Tabela1[[#This Row],[Peso Expedido]]</f>
        <v>0</v>
      </c>
      <c r="AA809" s="321">
        <v>1</v>
      </c>
      <c r="AB809" s="322"/>
      <c r="AC809" s="322">
        <v>1</v>
      </c>
      <c r="AD809" s="322">
        <v>1</v>
      </c>
      <c r="AE809" s="322">
        <v>1</v>
      </c>
      <c r="AF809" s="322">
        <v>1</v>
      </c>
      <c r="AG809" s="322">
        <v>1</v>
      </c>
      <c r="AH809" s="322">
        <v>1</v>
      </c>
      <c r="AI809" s="322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5382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308" t="s">
        <v>4911</v>
      </c>
      <c r="B811" s="309" t="s">
        <v>4912</v>
      </c>
      <c r="C811" s="308">
        <v>2</v>
      </c>
      <c r="D811" s="308" t="s">
        <v>4913</v>
      </c>
      <c r="E811" s="307">
        <v>4466</v>
      </c>
      <c r="F811" s="307">
        <v>40</v>
      </c>
      <c r="G811" s="308">
        <v>90.5</v>
      </c>
      <c r="H811" s="310">
        <f>Tabela1[[#This Row],[PESO UNI]]*Tabela1[[#This Row],[QTE]]</f>
        <v>181</v>
      </c>
      <c r="I811" s="307" t="s">
        <v>5382</v>
      </c>
      <c r="J811" s="311" t="s">
        <v>3093</v>
      </c>
      <c r="K811" s="311" t="s">
        <v>4320</v>
      </c>
      <c r="L811" s="312" t="s">
        <v>2984</v>
      </c>
      <c r="M811" s="313">
        <v>46233</v>
      </c>
      <c r="N811" s="311" t="s">
        <v>38</v>
      </c>
      <c r="O811" s="314"/>
      <c r="P811" s="315"/>
      <c r="Q811" s="14">
        <f>Tabela1[[#This Row],[QTDE/ Fabricação]]-Tabela1[[#This Row],[QTE]]</f>
        <v>-2</v>
      </c>
      <c r="R811" s="317">
        <f t="shared" si="157"/>
        <v>181</v>
      </c>
      <c r="S811" s="317">
        <f t="shared" si="158"/>
        <v>181</v>
      </c>
      <c r="T811" s="318">
        <f t="shared" si="159"/>
        <v>0</v>
      </c>
      <c r="U811" s="319">
        <f>IFERROR(SUMIF('LISTA DE EMBARQUE'!B:B,MICRO!E:E,'LISTA DE EMBARQUE'!G:G),"")</f>
        <v>2</v>
      </c>
      <c r="V811" s="314">
        <f>IFERROR(VLOOKUP(Tabela1[[#This Row],[COD.MDE]],'LISTA DE EMBARQUE'!B:L,11,0),"")</f>
        <v>6</v>
      </c>
      <c r="W811" s="315">
        <f>IFERROR(VLOOKUP(Tabela1[[#This Row],[COD.MDE]],'LISTA DE EMBARQUE'!B:M,12,0),"")</f>
        <v>46273</v>
      </c>
      <c r="X811" s="316">
        <f>IFERROR(Tabela1[[#This Row],[QIANTIDADE EXPEDIDA]]*Tabela1[[#This Row],[PESO UNI]],"")</f>
        <v>181</v>
      </c>
      <c r="Y811" s="316">
        <f t="shared" si="160"/>
        <v>0</v>
      </c>
      <c r="Z811" s="320">
        <f>Tabela1[[#This Row],[PESO TOTAL]]-Tabela1[[#This Row],[Peso Expedido]]</f>
        <v>0</v>
      </c>
      <c r="AA811" s="321">
        <v>1</v>
      </c>
      <c r="AB811" s="322"/>
      <c r="AC811" s="321">
        <v>1</v>
      </c>
      <c r="AD811" s="321">
        <v>1</v>
      </c>
      <c r="AE811" s="321">
        <v>1</v>
      </c>
      <c r="AF811" s="321">
        <v>1</v>
      </c>
      <c r="AG811" s="321">
        <v>1</v>
      </c>
      <c r="AH811" s="321">
        <v>1</v>
      </c>
      <c r="AI811" s="322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5382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308" t="s">
        <v>4911</v>
      </c>
      <c r="B813" s="309" t="s">
        <v>4912</v>
      </c>
      <c r="C813" s="308">
        <v>4</v>
      </c>
      <c r="D813" s="308" t="s">
        <v>4915</v>
      </c>
      <c r="E813" s="307">
        <v>4468</v>
      </c>
      <c r="F813" s="307">
        <v>40</v>
      </c>
      <c r="G813" s="308">
        <v>0.6</v>
      </c>
      <c r="H813" s="310">
        <f>Tabela1[[#This Row],[PESO UNI]]*Tabela1[[#This Row],[QTE]]</f>
        <v>2.4</v>
      </c>
      <c r="I813" s="307" t="s">
        <v>5382</v>
      </c>
      <c r="J813" s="311" t="s">
        <v>3093</v>
      </c>
      <c r="K813" s="311" t="s">
        <v>4320</v>
      </c>
      <c r="L813" s="312" t="s">
        <v>2984</v>
      </c>
      <c r="M813" s="313">
        <v>46233</v>
      </c>
      <c r="N813" s="311" t="s">
        <v>38</v>
      </c>
      <c r="O813" s="314"/>
      <c r="P813" s="315"/>
      <c r="Q813" s="14">
        <f>Tabela1[[#This Row],[QTDE/ Fabricação]]-Tabela1[[#This Row],[QTE]]</f>
        <v>-4</v>
      </c>
      <c r="R813" s="317">
        <f t="shared" si="157"/>
        <v>2.4</v>
      </c>
      <c r="S813" s="317">
        <f t="shared" si="158"/>
        <v>2.4</v>
      </c>
      <c r="T813" s="318">
        <f t="shared" si="159"/>
        <v>0</v>
      </c>
      <c r="U813" s="319">
        <f>IFERROR(SUMIF('LISTA DE EMBARQUE'!B:B,MICRO!E:E,'LISTA DE EMBARQUE'!G:G),"")</f>
        <v>4</v>
      </c>
      <c r="V813" s="314">
        <f>IFERROR(VLOOKUP(Tabela1[[#This Row],[COD.MDE]],'LISTA DE EMBARQUE'!B:L,11,0),"")</f>
        <v>6</v>
      </c>
      <c r="W813" s="315">
        <f>IFERROR(VLOOKUP(Tabela1[[#This Row],[COD.MDE]],'LISTA DE EMBARQUE'!B:M,12,0),"")</f>
        <v>46273</v>
      </c>
      <c r="X813" s="316">
        <f>IFERROR(Tabela1[[#This Row],[QIANTIDADE EXPEDIDA]]*Tabela1[[#This Row],[PESO UNI]],"")</f>
        <v>2.4</v>
      </c>
      <c r="Y813" s="316">
        <f t="shared" si="160"/>
        <v>0</v>
      </c>
      <c r="Z813" s="320">
        <f>Tabela1[[#This Row],[PESO TOTAL]]-Tabela1[[#This Row],[Peso Expedido]]</f>
        <v>0</v>
      </c>
      <c r="AA813" s="321">
        <v>1</v>
      </c>
      <c r="AB813" s="322"/>
      <c r="AC813" s="321">
        <v>1</v>
      </c>
      <c r="AD813" s="321">
        <v>1</v>
      </c>
      <c r="AE813" s="321">
        <v>1</v>
      </c>
      <c r="AF813" s="321">
        <v>1</v>
      </c>
      <c r="AG813" s="321">
        <v>1</v>
      </c>
      <c r="AH813" s="321">
        <v>1</v>
      </c>
      <c r="AI813" s="322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5382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4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44.8</v>
      </c>
      <c r="Y814" s="14">
        <f t="shared" si="160"/>
        <v>2</v>
      </c>
      <c r="Z814" s="20">
        <f>Tabela1[[#This Row],[PESO TOTAL]]-Tabela1[[#This Row],[Peso Expedido]]</f>
        <v>-22.4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308" t="s">
        <v>4911</v>
      </c>
      <c r="B815" s="309" t="s">
        <v>4912</v>
      </c>
      <c r="C815" s="308">
        <v>2</v>
      </c>
      <c r="D815" s="308" t="s">
        <v>4917</v>
      </c>
      <c r="E815" s="307">
        <v>4470</v>
      </c>
      <c r="F815" s="307">
        <v>40</v>
      </c>
      <c r="G815" s="308">
        <v>3.4</v>
      </c>
      <c r="H815" s="310">
        <f>Tabela1[[#This Row],[PESO UNI]]*Tabela1[[#This Row],[QTE]]</f>
        <v>6.8</v>
      </c>
      <c r="I815" s="307" t="s">
        <v>5382</v>
      </c>
      <c r="J815" s="311" t="s">
        <v>3093</v>
      </c>
      <c r="K815" s="311" t="s">
        <v>4320</v>
      </c>
      <c r="L815" s="312" t="s">
        <v>2984</v>
      </c>
      <c r="M815" s="313">
        <v>46233</v>
      </c>
      <c r="N815" s="311" t="s">
        <v>38</v>
      </c>
      <c r="O815" s="314"/>
      <c r="P815" s="315"/>
      <c r="Q815" s="14">
        <f>Tabela1[[#This Row],[QTDE/ Fabricação]]-Tabela1[[#This Row],[QTE]]</f>
        <v>-2</v>
      </c>
      <c r="R815" s="317">
        <f t="shared" si="157"/>
        <v>6.8</v>
      </c>
      <c r="S815" s="317">
        <f t="shared" si="158"/>
        <v>6.8</v>
      </c>
      <c r="T815" s="318">
        <f t="shared" si="159"/>
        <v>0</v>
      </c>
      <c r="U815" s="319">
        <f>IFERROR(SUMIF('LISTA DE EMBARQUE'!B:B,MICRO!E:E,'LISTA DE EMBARQUE'!G:G),"")</f>
        <v>2</v>
      </c>
      <c r="V815" s="314">
        <f>IFERROR(VLOOKUP(Tabela1[[#This Row],[COD.MDE]],'LISTA DE EMBARQUE'!B:L,11,0),"")</f>
        <v>7</v>
      </c>
      <c r="W815" s="315">
        <f>IFERROR(VLOOKUP(Tabela1[[#This Row],[COD.MDE]],'LISTA DE EMBARQUE'!B:M,12,0),"")</f>
        <v>46280</v>
      </c>
      <c r="X815" s="316">
        <f>IFERROR(Tabela1[[#This Row],[QIANTIDADE EXPEDIDA]]*Tabela1[[#This Row],[PESO UNI]],"")</f>
        <v>6.8</v>
      </c>
      <c r="Y815" s="316">
        <f t="shared" si="160"/>
        <v>0</v>
      </c>
      <c r="Z815" s="320">
        <f>Tabela1[[#This Row],[PESO TOTAL]]-Tabela1[[#This Row],[Peso Expedido]]</f>
        <v>0</v>
      </c>
      <c r="AA815" s="321">
        <v>1</v>
      </c>
      <c r="AB815" s="322"/>
      <c r="AC815" s="322">
        <v>1</v>
      </c>
      <c r="AD815" s="322">
        <v>1</v>
      </c>
      <c r="AE815" s="322">
        <v>1</v>
      </c>
      <c r="AF815" s="322">
        <v>1</v>
      </c>
      <c r="AG815" s="322">
        <v>1</v>
      </c>
      <c r="AH815" s="322">
        <v>1</v>
      </c>
      <c r="AI815" s="322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308" t="s">
        <v>4911</v>
      </c>
      <c r="B816" s="309" t="s">
        <v>4912</v>
      </c>
      <c r="C816" s="308">
        <v>2</v>
      </c>
      <c r="D816" s="308" t="s">
        <v>4918</v>
      </c>
      <c r="E816" s="307">
        <v>4471</v>
      </c>
      <c r="F816" s="307">
        <v>40</v>
      </c>
      <c r="G816" s="308">
        <v>6</v>
      </c>
      <c r="H816" s="310">
        <f>Tabela1[[#This Row],[PESO UNI]]*Tabela1[[#This Row],[QTE]]</f>
        <v>12</v>
      </c>
      <c r="I816" s="307" t="s">
        <v>5382</v>
      </c>
      <c r="J816" s="311" t="s">
        <v>3093</v>
      </c>
      <c r="K816" s="311" t="s">
        <v>4320</v>
      </c>
      <c r="L816" s="312" t="s">
        <v>2984</v>
      </c>
      <c r="M816" s="313">
        <v>46233</v>
      </c>
      <c r="N816" s="311" t="s">
        <v>38</v>
      </c>
      <c r="O816" s="314"/>
      <c r="P816" s="315"/>
      <c r="Q816" s="14">
        <f>Tabela1[[#This Row],[QTDE/ Fabricação]]-Tabela1[[#This Row],[QTE]]</f>
        <v>-2</v>
      </c>
      <c r="R816" s="317">
        <f t="shared" si="157"/>
        <v>12</v>
      </c>
      <c r="S816" s="317">
        <f t="shared" si="158"/>
        <v>12</v>
      </c>
      <c r="T816" s="318">
        <f t="shared" si="159"/>
        <v>0</v>
      </c>
      <c r="U816" s="319">
        <f>IFERROR(SUMIF('LISTA DE EMBARQUE'!B:B,MICRO!E:E,'LISTA DE EMBARQUE'!G:G),"")</f>
        <v>2</v>
      </c>
      <c r="V816" s="314">
        <f>IFERROR(VLOOKUP(Tabela1[[#This Row],[COD.MDE]],'LISTA DE EMBARQUE'!B:L,11,0),"")</f>
        <v>7</v>
      </c>
      <c r="W816" s="315">
        <f>IFERROR(VLOOKUP(Tabela1[[#This Row],[COD.MDE]],'LISTA DE EMBARQUE'!B:M,12,0),"")</f>
        <v>46280</v>
      </c>
      <c r="X816" s="316">
        <f>IFERROR(Tabela1[[#This Row],[QIANTIDADE EXPEDIDA]]*Tabela1[[#This Row],[PESO UNI]],"")</f>
        <v>12</v>
      </c>
      <c r="Y816" s="316">
        <f t="shared" si="160"/>
        <v>0</v>
      </c>
      <c r="Z816" s="320">
        <f>Tabela1[[#This Row],[PESO TOTAL]]-Tabela1[[#This Row],[Peso Expedido]]</f>
        <v>0</v>
      </c>
      <c r="AA816" s="321">
        <v>1</v>
      </c>
      <c r="AB816" s="322"/>
      <c r="AC816" s="322">
        <v>1</v>
      </c>
      <c r="AD816" s="322">
        <v>1</v>
      </c>
      <c r="AE816" s="322">
        <v>1</v>
      </c>
      <c r="AF816" s="322">
        <v>1</v>
      </c>
      <c r="AG816" s="322">
        <v>1</v>
      </c>
      <c r="AH816" s="322">
        <v>1</v>
      </c>
      <c r="AI816" s="32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308" t="s">
        <v>4911</v>
      </c>
      <c r="B817" s="309" t="s">
        <v>4912</v>
      </c>
      <c r="C817" s="308">
        <v>28</v>
      </c>
      <c r="D817" s="308" t="s">
        <v>4919</v>
      </c>
      <c r="E817" s="307">
        <v>4472</v>
      </c>
      <c r="F817" s="307">
        <v>40</v>
      </c>
      <c r="G817" s="308">
        <v>7.3</v>
      </c>
      <c r="H817" s="310">
        <f>Tabela1[[#This Row],[PESO UNI]]*Tabela1[[#This Row],[QTE]]</f>
        <v>204.4</v>
      </c>
      <c r="I817" s="307" t="s">
        <v>5382</v>
      </c>
      <c r="J817" s="311" t="s">
        <v>3093</v>
      </c>
      <c r="K817" s="311" t="s">
        <v>44</v>
      </c>
      <c r="L817" s="312" t="s">
        <v>2984</v>
      </c>
      <c r="M817" s="313">
        <v>46233</v>
      </c>
      <c r="N817" s="311" t="s">
        <v>38</v>
      </c>
      <c r="O817" s="314"/>
      <c r="P817" s="315"/>
      <c r="Q817" s="14">
        <f>Tabela1[[#This Row],[QTDE/ Fabricação]]-Tabela1[[#This Row],[QTE]]</f>
        <v>-28</v>
      </c>
      <c r="R817" s="317">
        <f t="shared" si="157"/>
        <v>204.4</v>
      </c>
      <c r="S817" s="317">
        <f t="shared" si="158"/>
        <v>204.4</v>
      </c>
      <c r="T817" s="318">
        <f t="shared" si="159"/>
        <v>0</v>
      </c>
      <c r="U817" s="319">
        <f>IFERROR(SUMIF('LISTA DE EMBARQUE'!B:B,MICRO!E:E,'LISTA DE EMBARQUE'!G:G),"")</f>
        <v>28</v>
      </c>
      <c r="V817" s="314">
        <f>IFERROR(VLOOKUP(Tabela1[[#This Row],[COD.MDE]],'LISTA DE EMBARQUE'!B:L,11,0),"")</f>
        <v>5</v>
      </c>
      <c r="W817" s="315">
        <f>IFERROR(VLOOKUP(Tabela1[[#This Row],[COD.MDE]],'LISTA DE EMBARQUE'!B:M,12,0),"")</f>
        <v>46254</v>
      </c>
      <c r="X817" s="316">
        <f>IFERROR(Tabela1[[#This Row],[QIANTIDADE EXPEDIDA]]*Tabela1[[#This Row],[PESO UNI]],"")</f>
        <v>204.4</v>
      </c>
      <c r="Y817" s="316">
        <f t="shared" si="160"/>
        <v>0</v>
      </c>
      <c r="Z817" s="320">
        <f>Tabela1[[#This Row],[PESO TOTAL]]-Tabela1[[#This Row],[Peso Expedido]]</f>
        <v>0</v>
      </c>
      <c r="AA817" s="321">
        <v>1</v>
      </c>
      <c r="AB817" s="322"/>
      <c r="AC817" s="322">
        <v>1</v>
      </c>
      <c r="AD817" s="322">
        <v>1</v>
      </c>
      <c r="AE817" s="322">
        <v>1</v>
      </c>
      <c r="AF817" s="322">
        <v>1</v>
      </c>
      <c r="AG817" s="322">
        <v>1</v>
      </c>
      <c r="AH817" s="322">
        <v>1</v>
      </c>
      <c r="AI817" s="322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308" t="s">
        <v>4920</v>
      </c>
      <c r="B818" s="309" t="s">
        <v>4921</v>
      </c>
      <c r="C818" s="308">
        <v>1</v>
      </c>
      <c r="D818" s="308" t="s">
        <v>4922</v>
      </c>
      <c r="E818" s="307">
        <v>4473</v>
      </c>
      <c r="F818" s="307">
        <v>41</v>
      </c>
      <c r="G818" s="308">
        <v>715.7</v>
      </c>
      <c r="H818" s="310">
        <f>Tabela1[[#This Row],[PESO UNI]]*Tabela1[[#This Row],[QTE]]</f>
        <v>715.7</v>
      </c>
      <c r="I818" s="307" t="s">
        <v>5007</v>
      </c>
      <c r="J818" s="311" t="s">
        <v>3093</v>
      </c>
      <c r="K818" s="311" t="s">
        <v>4320</v>
      </c>
      <c r="L818" s="312" t="s">
        <v>2984</v>
      </c>
      <c r="M818" s="313">
        <v>46233</v>
      </c>
      <c r="N818" s="311" t="s">
        <v>38</v>
      </c>
      <c r="O818" s="314"/>
      <c r="P818" s="315"/>
      <c r="Q818" s="14">
        <f>Tabela1[[#This Row],[QTDE/ Fabricação]]-Tabela1[[#This Row],[QTE]]</f>
        <v>-1</v>
      </c>
      <c r="R818" s="317">
        <f t="shared" si="157"/>
        <v>178.92500000000001</v>
      </c>
      <c r="S818" s="317">
        <f t="shared" si="158"/>
        <v>0</v>
      </c>
      <c r="T818" s="318">
        <f t="shared" si="159"/>
        <v>-715.7</v>
      </c>
      <c r="U818" s="319">
        <f>IFERROR(SUMIF('LISTA DE EMBARQUE'!B:B,MICRO!E:E,'LISTA DE EMBARQUE'!G:G),"")</f>
        <v>1</v>
      </c>
      <c r="V818" s="314">
        <f>IFERROR(VLOOKUP(Tabela1[[#This Row],[COD.MDE]],'LISTA DE EMBARQUE'!B:L,11,0),"")</f>
        <v>7</v>
      </c>
      <c r="W818" s="315">
        <f>IFERROR(VLOOKUP(Tabela1[[#This Row],[COD.MDE]],'LISTA DE EMBARQUE'!B:M,12,0),"")</f>
        <v>46280</v>
      </c>
      <c r="X818" s="316">
        <f>IFERROR(Tabela1[[#This Row],[QIANTIDADE EXPEDIDA]]*Tabela1[[#This Row],[PESO UNI]],"")</f>
        <v>715.7</v>
      </c>
      <c r="Y818" s="316">
        <f t="shared" si="160"/>
        <v>0</v>
      </c>
      <c r="Z818" s="320">
        <f>Tabela1[[#This Row],[PESO TOTAL]]-Tabela1[[#This Row],[Peso Expedido]]</f>
        <v>0</v>
      </c>
      <c r="AA818" s="321">
        <v>1</v>
      </c>
      <c r="AB818" s="322"/>
      <c r="AC818" s="322"/>
      <c r="AD818" s="322"/>
      <c r="AE818" s="322"/>
      <c r="AF818" s="322"/>
      <c r="AG818" s="322"/>
      <c r="AH818" s="322"/>
      <c r="AI818" s="322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308" t="s">
        <v>4927</v>
      </c>
      <c r="B821" s="309" t="s">
        <v>4928</v>
      </c>
      <c r="C821" s="308">
        <v>1</v>
      </c>
      <c r="D821" s="308" t="s">
        <v>4935</v>
      </c>
      <c r="E821" s="307">
        <v>4476</v>
      </c>
      <c r="F821" s="307">
        <v>43</v>
      </c>
      <c r="G821" s="308">
        <v>1146.0999999999999</v>
      </c>
      <c r="H821" s="310">
        <f>Tabela1[[#This Row],[PESO UNI]]*Tabela1[[#This Row],[QTE]]</f>
        <v>1146.0999999999999</v>
      </c>
      <c r="I821" s="307" t="s">
        <v>5487</v>
      </c>
      <c r="J821" s="311" t="s">
        <v>3140</v>
      </c>
      <c r="K821" s="311" t="s">
        <v>4320</v>
      </c>
      <c r="L821" s="312" t="s">
        <v>2984</v>
      </c>
      <c r="M821" s="313">
        <v>46233</v>
      </c>
      <c r="N821" s="311" t="s">
        <v>38</v>
      </c>
      <c r="O821" s="314"/>
      <c r="P821" s="315"/>
      <c r="Q821" s="14">
        <f>Tabela1[[#This Row],[QTDE/ Fabricação]]-Tabela1[[#This Row],[QTE]]</f>
        <v>-1</v>
      </c>
      <c r="R821" s="317">
        <f t="shared" si="157"/>
        <v>1146.0999999999999</v>
      </c>
      <c r="S821" s="317">
        <f t="shared" si="158"/>
        <v>1146.0999999999999</v>
      </c>
      <c r="T821" s="318">
        <f t="shared" si="159"/>
        <v>0</v>
      </c>
      <c r="U821" s="319">
        <f>IFERROR(SUMIF('LISTA DE EMBARQUE'!B:B,MICRO!E:E,'LISTA DE EMBARQUE'!G:G),"")</f>
        <v>1</v>
      </c>
      <c r="V821" s="314">
        <f>IFERROR(VLOOKUP(Tabela1[[#This Row],[COD.MDE]],'LISTA DE EMBARQUE'!B:L,11,0),"")</f>
        <v>6</v>
      </c>
      <c r="W821" s="315">
        <f>IFERROR(VLOOKUP(Tabela1[[#This Row],[COD.MDE]],'LISTA DE EMBARQUE'!B:M,12,0),"")</f>
        <v>46273</v>
      </c>
      <c r="X821" s="316">
        <f>IFERROR(Tabela1[[#This Row],[QIANTIDADE EXPEDIDA]]*Tabela1[[#This Row],[PESO UNI]],"")</f>
        <v>1146.0999999999999</v>
      </c>
      <c r="Y821" s="316">
        <f t="shared" si="160"/>
        <v>0</v>
      </c>
      <c r="Z821" s="320">
        <f>Tabela1[[#This Row],[PESO TOTAL]]-Tabela1[[#This Row],[Peso Expedido]]</f>
        <v>0</v>
      </c>
      <c r="AA821" s="321">
        <v>1</v>
      </c>
      <c r="AB821" s="322"/>
      <c r="AC821" s="321">
        <v>1</v>
      </c>
      <c r="AD821" s="321">
        <v>1</v>
      </c>
      <c r="AE821" s="321">
        <v>1</v>
      </c>
      <c r="AF821" s="321">
        <v>1</v>
      </c>
      <c r="AG821" s="321">
        <v>1</v>
      </c>
      <c r="AH821" s="321">
        <v>1</v>
      </c>
      <c r="AI821" s="322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5482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5482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5482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5414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5299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308" t="s">
        <v>4963</v>
      </c>
      <c r="B839" s="309" t="s">
        <v>4962</v>
      </c>
      <c r="C839" s="308">
        <v>1</v>
      </c>
      <c r="D839" s="308" t="s">
        <v>4965</v>
      </c>
      <c r="E839" s="307">
        <v>4492</v>
      </c>
      <c r="F839" s="307">
        <v>47</v>
      </c>
      <c r="G839" s="308">
        <v>670.6</v>
      </c>
      <c r="H839" s="310">
        <f>Tabela1[[#This Row],[PESO UNI]]*Tabela1[[#This Row],[QTE]]</f>
        <v>670.6</v>
      </c>
      <c r="I839" s="307" t="s">
        <v>5299</v>
      </c>
      <c r="J839" s="311" t="s">
        <v>3045</v>
      </c>
      <c r="K839" s="311" t="s">
        <v>4320</v>
      </c>
      <c r="L839" s="312" t="s">
        <v>2984</v>
      </c>
      <c r="M839" s="313">
        <v>46238</v>
      </c>
      <c r="N839" s="311" t="s">
        <v>38</v>
      </c>
      <c r="O839" s="314"/>
      <c r="P839" s="315"/>
      <c r="Q839" s="14">
        <f>Tabela1[[#This Row],[QTDE/ Fabricação]]-Tabela1[[#This Row],[QTE]]</f>
        <v>-1</v>
      </c>
      <c r="R839" s="317">
        <f t="shared" si="165"/>
        <v>670.6</v>
      </c>
      <c r="S839" s="317">
        <f t="shared" si="166"/>
        <v>670.6</v>
      </c>
      <c r="T839" s="318">
        <f t="shared" si="167"/>
        <v>0</v>
      </c>
      <c r="U839" s="319">
        <f>IFERROR(SUMIF('LISTA DE EMBARQUE'!B:B,MICRO!E:E,'LISTA DE EMBARQUE'!G:G),"")</f>
        <v>1</v>
      </c>
      <c r="V839" s="314">
        <f>IFERROR(VLOOKUP(Tabela1[[#This Row],[COD.MDE]],'LISTA DE EMBARQUE'!B:L,11,0),"")</f>
        <v>6</v>
      </c>
      <c r="W839" s="315">
        <f>IFERROR(VLOOKUP(Tabela1[[#This Row],[COD.MDE]],'LISTA DE EMBARQUE'!B:M,12,0),"")</f>
        <v>46273</v>
      </c>
      <c r="X839" s="316">
        <f>IFERROR(Tabela1[[#This Row],[QIANTIDADE EXPEDIDA]]*Tabela1[[#This Row],[PESO UNI]],"")</f>
        <v>670.6</v>
      </c>
      <c r="Y839" s="316">
        <f t="shared" si="168"/>
        <v>0</v>
      </c>
      <c r="Z839" s="320">
        <f>Tabela1[[#This Row],[PESO TOTAL]]-Tabela1[[#This Row],[Peso Expedido]]</f>
        <v>0</v>
      </c>
      <c r="AA839" s="321">
        <v>1</v>
      </c>
      <c r="AB839" s="322"/>
      <c r="AC839" s="321">
        <v>1</v>
      </c>
      <c r="AD839" s="321">
        <v>1</v>
      </c>
      <c r="AE839" s="321">
        <v>1</v>
      </c>
      <c r="AF839" s="321">
        <v>1</v>
      </c>
      <c r="AG839" s="321">
        <v>1</v>
      </c>
      <c r="AH839" s="321">
        <v>1</v>
      </c>
      <c r="AI839" s="322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5299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5299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10.8</v>
      </c>
      <c r="S842" s="18">
        <f t="shared" ref="S842:S853" si="170">IFERROR(H842*AG842,"")</f>
        <v>10.8</v>
      </c>
      <c r="T842" s="19">
        <f t="shared" ref="T842:T853" si="171">IFERROR(S842-H842,"")</f>
        <v>0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1</v>
      </c>
      <c r="AB842" s="33"/>
      <c r="AC842" s="33">
        <v>1</v>
      </c>
      <c r="AD842" s="33">
        <v>1</v>
      </c>
      <c r="AE842" s="33">
        <v>1</v>
      </c>
      <c r="AF842" s="33">
        <v>1</v>
      </c>
      <c r="AG842" s="33">
        <v>1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5411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5714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294.39999999999998</v>
      </c>
      <c r="S843" s="18">
        <f>IFERROR(H843*AG843,"")</f>
        <v>294.39999999999998</v>
      </c>
      <c r="T843" s="19">
        <f>IFERROR(S843-H843,"")</f>
        <v>-294.39999999999998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0.5</v>
      </c>
      <c r="AE843" s="33">
        <v>0.5</v>
      </c>
      <c r="AF843" s="33">
        <v>0.5</v>
      </c>
      <c r="AG843" s="33">
        <v>0.5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64</v>
      </c>
      <c r="D844" s="1" t="s">
        <v>5412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1280</v>
      </c>
      <c r="S844" s="18">
        <f>IFERROR(H844*AG844,"")</f>
        <v>1280</v>
      </c>
      <c r="T844" s="19">
        <f>IFERROR(S844-H844,"")</f>
        <v>-1280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5714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101.19999999999999</v>
      </c>
      <c r="S845" s="18">
        <f>IFERROR(H845*AG845,"")</f>
        <v>101.19999999999999</v>
      </c>
      <c r="T845" s="19">
        <f>IFERROR(S845-H845,"")</f>
        <v>-101.19999999999999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5413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220</v>
      </c>
      <c r="S846" s="18">
        <f>IFERROR(H846*AG846,"")</f>
        <v>220</v>
      </c>
      <c r="T846" s="19">
        <f>IFERROR(S846-H846,"")</f>
        <v>-220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64.599999999999994</v>
      </c>
      <c r="S847" s="18">
        <f t="shared" si="170"/>
        <v>64.599999999999994</v>
      </c>
      <c r="T847" s="19">
        <f t="shared" si="171"/>
        <v>-64.599999999999994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57.6</v>
      </c>
      <c r="S848" s="18">
        <f t="shared" si="170"/>
        <v>57.6</v>
      </c>
      <c r="T848" s="19">
        <f t="shared" si="171"/>
        <v>-57.6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55.2</v>
      </c>
      <c r="S850" s="18">
        <f t="shared" si="170"/>
        <v>55.2</v>
      </c>
      <c r="T850" s="19">
        <f t="shared" si="171"/>
        <v>-55.2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5714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36.799999999999997</v>
      </c>
      <c r="S851" s="18">
        <f t="shared" si="170"/>
        <v>36.799999999999997</v>
      </c>
      <c r="T851" s="19">
        <f t="shared" si="171"/>
        <v>-36.799999999999997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5714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114.4</v>
      </c>
      <c r="S852" s="18">
        <f t="shared" si="170"/>
        <v>114.4</v>
      </c>
      <c r="T852" s="19">
        <f t="shared" si="171"/>
        <v>-114.4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 t="s">
        <v>5714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13.5</v>
      </c>
      <c r="S853" s="18">
        <f t="shared" si="170"/>
        <v>13.5</v>
      </c>
      <c r="T853" s="19">
        <f t="shared" si="171"/>
        <v>-13.5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 t="s">
        <v>5713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98</v>
      </c>
      <c r="S854" s="18">
        <f t="shared" ref="S854:S869" si="174">IFERROR(H854*AG854,"")</f>
        <v>98</v>
      </c>
      <c r="T854" s="19">
        <f t="shared" ref="T854:T869" si="175">IFERROR(S854-H854,"")</f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5299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>Tabela1[[#This Row],[QTDE/ Fabricação]]-Tabela1[[#This Row],[QTE]]</f>
        <v>-2</v>
      </c>
      <c r="R862" s="7">
        <f t="shared" si="173"/>
        <v>10.4</v>
      </c>
      <c r="S862" s="7">
        <f t="shared" si="174"/>
        <v>10.4</v>
      </c>
      <c r="T862" s="7">
        <f t="shared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>IFERROR(Tabela1[[#This Row],[QIANTIDADE EXPEDIDA]]*Tabela1[[#This Row],[PESO UNI]],"")</f>
        <v>10.4</v>
      </c>
      <c r="Y862" s="14">
        <f t="shared" si="176"/>
        <v>0</v>
      </c>
      <c r="Z862" s="20">
        <f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308" t="s">
        <v>5023</v>
      </c>
      <c r="B869" s="309"/>
      <c r="C869" s="308">
        <v>6</v>
      </c>
      <c r="D869" s="308" t="s">
        <v>5024</v>
      </c>
      <c r="E869" s="307">
        <v>4522</v>
      </c>
      <c r="F869" s="307">
        <v>1</v>
      </c>
      <c r="G869" s="308">
        <v>15</v>
      </c>
      <c r="H869" s="310">
        <f>Tabela1[[#This Row],[PESO UNI]]*Tabela1[[#This Row],[QTE]]</f>
        <v>90</v>
      </c>
      <c r="I869" s="307" t="s">
        <v>43</v>
      </c>
      <c r="J869" s="311" t="s">
        <v>5025</v>
      </c>
      <c r="K869" s="311" t="s">
        <v>23</v>
      </c>
      <c r="L869" s="312" t="s">
        <v>5026</v>
      </c>
      <c r="M869" s="313">
        <v>46245</v>
      </c>
      <c r="N869" s="311" t="s">
        <v>38</v>
      </c>
      <c r="O869" s="314"/>
      <c r="P869" s="315"/>
      <c r="Q869" s="316">
        <f>Tabela1[[#This Row],[QTDE/ Fabricação]]-Tabela1[[#This Row],[QTE]]</f>
        <v>-6</v>
      </c>
      <c r="R869" s="317">
        <f t="shared" si="173"/>
        <v>90</v>
      </c>
      <c r="S869" s="317">
        <f t="shared" si="174"/>
        <v>90</v>
      </c>
      <c r="T869" s="318">
        <f t="shared" si="175"/>
        <v>0</v>
      </c>
      <c r="U869" s="319">
        <f>IFERROR(SUMIF('LISTA DE EMBARQUE'!B:B,MICRO!E:E,'LISTA DE EMBARQUE'!G:G),"")</f>
        <v>6</v>
      </c>
      <c r="V869" s="314">
        <f>IFERROR(VLOOKUP(Tabela1[[#This Row],[COD.MDE]],'LISTA DE EMBARQUE'!B:L,11,0),"")</f>
        <v>1</v>
      </c>
      <c r="W869" s="315">
        <f>IFERROR(VLOOKUP(Tabela1[[#This Row],[COD.MDE]],'LISTA DE EMBARQUE'!B:M,12,0),"")</f>
        <v>46268</v>
      </c>
      <c r="X869" s="316">
        <f>IFERROR(Tabela1[[#This Row],[QIANTIDADE EXPEDIDA]]*Tabela1[[#This Row],[PESO UNI]],"")</f>
        <v>90</v>
      </c>
      <c r="Y869" s="316">
        <f t="shared" si="176"/>
        <v>0</v>
      </c>
      <c r="Z869" s="320">
        <f>Tabela1[[#This Row],[PESO TOTAL]]-Tabela1[[#This Row],[Peso Expedido]]</f>
        <v>0</v>
      </c>
      <c r="AA869" s="321">
        <v>1</v>
      </c>
      <c r="AB869" s="322"/>
      <c r="AC869" s="322">
        <v>1</v>
      </c>
      <c r="AD869" s="322">
        <v>1</v>
      </c>
      <c r="AE869" s="322">
        <v>1</v>
      </c>
      <c r="AF869" s="322">
        <v>1</v>
      </c>
      <c r="AG869" s="322">
        <v>1</v>
      </c>
      <c r="AH869" s="322">
        <v>1</v>
      </c>
      <c r="AI869" s="322" t="s">
        <v>4412</v>
      </c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308" t="s">
        <v>5027</v>
      </c>
      <c r="B870" s="309"/>
      <c r="C870" s="308">
        <v>10</v>
      </c>
      <c r="D870" s="308" t="s">
        <v>5028</v>
      </c>
      <c r="E870" s="307">
        <v>4523</v>
      </c>
      <c r="F870" s="307">
        <v>1</v>
      </c>
      <c r="G870" s="308">
        <v>10.5</v>
      </c>
      <c r="H870" s="310">
        <f>Tabela1[[#This Row],[PESO UNI]]*Tabela1[[#This Row],[QTE]]</f>
        <v>105</v>
      </c>
      <c r="I870" s="307" t="s">
        <v>43</v>
      </c>
      <c r="J870" s="311" t="s">
        <v>5025</v>
      </c>
      <c r="K870" s="311" t="s">
        <v>23</v>
      </c>
      <c r="L870" s="312" t="s">
        <v>5026</v>
      </c>
      <c r="M870" s="313">
        <v>46245</v>
      </c>
      <c r="N870" s="311" t="s">
        <v>38</v>
      </c>
      <c r="O870" s="314"/>
      <c r="P870" s="315"/>
      <c r="Q870" s="316">
        <f>Tabela1[[#This Row],[QTDE/ Fabricação]]-Tabela1[[#This Row],[QTE]]</f>
        <v>-10</v>
      </c>
      <c r="R870" s="317">
        <f t="shared" ref="R870" si="177">IFERROR(H870*((AA870*0.25)+(AC870*0.25)+(AD870*0.225)+(AE870*0.225)+(AF870*0.05)),"")</f>
        <v>105</v>
      </c>
      <c r="S870" s="317">
        <f t="shared" ref="S870" si="178">IFERROR(H870*AG870,"")</f>
        <v>105</v>
      </c>
      <c r="T870" s="318">
        <f t="shared" ref="T870" si="179">IFERROR(S870-H870,"")</f>
        <v>0</v>
      </c>
      <c r="U870" s="319">
        <f>IFERROR(SUMIF('LISTA DE EMBARQUE'!B:B,MICRO!E:E,'LISTA DE EMBARQUE'!G:G),"")</f>
        <v>10</v>
      </c>
      <c r="V870" s="314">
        <f>IFERROR(VLOOKUP(Tabela1[[#This Row],[COD.MDE]],'LISTA DE EMBARQUE'!B:L,11,0),"")</f>
        <v>1</v>
      </c>
      <c r="W870" s="315">
        <f>IFERROR(VLOOKUP(Tabela1[[#This Row],[COD.MDE]],'LISTA DE EMBARQUE'!B:M,12,0),"")</f>
        <v>46268</v>
      </c>
      <c r="X870" s="316">
        <f>IFERROR(Tabela1[[#This Row],[QIANTIDADE EXPEDIDA]]*Tabela1[[#This Row],[PESO UNI]],"")</f>
        <v>105</v>
      </c>
      <c r="Y870" s="316">
        <f t="shared" ref="Y870" si="180">U870-C870</f>
        <v>0</v>
      </c>
      <c r="Z870" s="320">
        <f>Tabela1[[#This Row],[PESO TOTAL]]-Tabela1[[#This Row],[Peso Expedido]]</f>
        <v>0</v>
      </c>
      <c r="AA870" s="321">
        <v>1</v>
      </c>
      <c r="AB870" s="322"/>
      <c r="AC870" s="322">
        <v>1</v>
      </c>
      <c r="AD870" s="322">
        <v>1</v>
      </c>
      <c r="AE870" s="322">
        <v>1</v>
      </c>
      <c r="AF870" s="322">
        <v>1</v>
      </c>
      <c r="AG870" s="322">
        <v>1</v>
      </c>
      <c r="AH870" s="322">
        <v>1</v>
      </c>
      <c r="AI870" s="32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308" t="s">
        <v>5029</v>
      </c>
      <c r="B871" s="309"/>
      <c r="C871" s="308">
        <v>5</v>
      </c>
      <c r="D871" s="308" t="s">
        <v>5030</v>
      </c>
      <c r="E871" s="307">
        <v>4524</v>
      </c>
      <c r="F871" s="307">
        <v>1</v>
      </c>
      <c r="G871" s="308">
        <v>35</v>
      </c>
      <c r="H871" s="310">
        <f>Tabela1[[#This Row],[PESO UNI]]*Tabela1[[#This Row],[QTE]]</f>
        <v>175</v>
      </c>
      <c r="I871" s="307" t="s">
        <v>43</v>
      </c>
      <c r="J871" s="311" t="s">
        <v>5025</v>
      </c>
      <c r="K871" s="311" t="s">
        <v>23</v>
      </c>
      <c r="L871" s="312" t="s">
        <v>5026</v>
      </c>
      <c r="M871" s="313">
        <v>46245</v>
      </c>
      <c r="N871" s="311" t="s">
        <v>38</v>
      </c>
      <c r="O871" s="314"/>
      <c r="P871" s="315"/>
      <c r="Q871" s="316">
        <f>Tabela1[[#This Row],[QTDE/ Fabricação]]-Tabela1[[#This Row],[QTE]]</f>
        <v>-5</v>
      </c>
      <c r="R871" s="317">
        <f t="shared" ref="R871:R928" si="181">IFERROR(H871*((AA871*0.25)+(AC871*0.25)+(AD871*0.225)+(AE871*0.225)+(AF871*0.05)),"")</f>
        <v>175</v>
      </c>
      <c r="S871" s="317">
        <f t="shared" ref="S871:S928" si="182">IFERROR(H871*AG871,"")</f>
        <v>175</v>
      </c>
      <c r="T871" s="318">
        <f t="shared" ref="T871:T928" si="183">IFERROR(S871-H871,"")</f>
        <v>0</v>
      </c>
      <c r="U871" s="319">
        <f>IFERROR(SUMIF('LISTA DE EMBARQUE'!B:B,MICRO!E:E,'LISTA DE EMBARQUE'!G:G),"")</f>
        <v>5</v>
      </c>
      <c r="V871" s="314">
        <v>1</v>
      </c>
      <c r="W871" s="315">
        <f>IFERROR(VLOOKUP(Tabela1[[#This Row],[COD.MDE]],'LISTA DE EMBARQUE'!B:M,12,0),"")</f>
        <v>46268</v>
      </c>
      <c r="X871" s="316">
        <f>IFERROR(Tabela1[[#This Row],[QIANTIDADE EXPEDIDA]]*Tabela1[[#This Row],[PESO UNI]],"")</f>
        <v>175</v>
      </c>
      <c r="Y871" s="316">
        <f t="shared" ref="Y871:Y928" si="184">U871-C871</f>
        <v>0</v>
      </c>
      <c r="Z871" s="320">
        <f>Tabela1[[#This Row],[PESO TOTAL]]-Tabela1[[#This Row],[Peso Expedido]]</f>
        <v>0</v>
      </c>
      <c r="AA871" s="321">
        <v>1</v>
      </c>
      <c r="AB871" s="322"/>
      <c r="AC871" s="322">
        <v>1</v>
      </c>
      <c r="AD871" s="322">
        <v>1</v>
      </c>
      <c r="AE871" s="322">
        <v>1</v>
      </c>
      <c r="AF871" s="322">
        <v>1</v>
      </c>
      <c r="AG871" s="322">
        <v>1</v>
      </c>
      <c r="AH871" s="322">
        <v>1</v>
      </c>
      <c r="AI871" s="32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9" t="s">
        <v>414</v>
      </c>
      <c r="B873" s="19"/>
      <c r="C873" s="237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>Tabela1[[#This Row],[QTDE/ Fabricação]]-Tabela1[[#This Row],[QTE]]</f>
        <v>-10</v>
      </c>
      <c r="R873" s="19">
        <f t="shared" si="181"/>
        <v>50</v>
      </c>
      <c r="S873" s="19">
        <f t="shared" si="182"/>
        <v>50</v>
      </c>
      <c r="T873" s="19">
        <f t="shared" si="183"/>
        <v>0</v>
      </c>
      <c r="U873" s="19">
        <f>IFERROR(SUMIF('LISTA DE EMBARQUE'!B:B,MICRO!E:E,'LISTA DE EMBARQUE'!G:G),"")</f>
        <v>10</v>
      </c>
      <c r="V873" s="237">
        <v>1</v>
      </c>
      <c r="W873" s="236">
        <f>IFERROR(VLOOKUP(Tabela1[[#This Row],[COD.MDE]],'LISTA DE EMBARQUE'!B:M,12,0),"")</f>
        <v>46273</v>
      </c>
      <c r="X873" s="19">
        <f>IFERROR(Tabela1[[#This Row],[QIANTIDADE EXPEDIDA]]*Tabela1[[#This Row],[PESO UNI]],"")</f>
        <v>50</v>
      </c>
      <c r="Y873" s="14">
        <f t="shared" si="184"/>
        <v>0</v>
      </c>
      <c r="Z873" s="20">
        <f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308" t="s">
        <v>5041</v>
      </c>
      <c r="B874" s="309" t="s">
        <v>5042</v>
      </c>
      <c r="C874" s="308">
        <v>1</v>
      </c>
      <c r="D874" s="308" t="s">
        <v>5043</v>
      </c>
      <c r="E874" s="307">
        <v>4527</v>
      </c>
      <c r="F874" s="307">
        <v>56</v>
      </c>
      <c r="G874" s="308">
        <v>297.8</v>
      </c>
      <c r="H874" s="310">
        <f>Tabela1[[#This Row],[PESO UNI]]*Tabela1[[#This Row],[QTE]]</f>
        <v>297.8</v>
      </c>
      <c r="I874" s="307">
        <v>0</v>
      </c>
      <c r="J874" s="311" t="s">
        <v>3140</v>
      </c>
      <c r="K874" s="311" t="s">
        <v>4320</v>
      </c>
      <c r="L874" s="312" t="s">
        <v>2984</v>
      </c>
      <c r="M874" s="313">
        <v>46251</v>
      </c>
      <c r="N874" s="311" t="s">
        <v>5105</v>
      </c>
      <c r="O874" s="314"/>
      <c r="P874" s="315"/>
      <c r="Q874" s="14">
        <f>Tabela1[[#This Row],[QTDE/ Fabricação]]-Tabela1[[#This Row],[QTE]]</f>
        <v>-1</v>
      </c>
      <c r="R874" s="317">
        <f t="shared" si="181"/>
        <v>297.8</v>
      </c>
      <c r="S874" s="317">
        <f t="shared" si="182"/>
        <v>297.8</v>
      </c>
      <c r="T874" s="318">
        <f t="shared" si="183"/>
        <v>0</v>
      </c>
      <c r="U874" s="319">
        <f>IFERROR(SUMIF('LISTA DE EMBARQUE'!B:B,MICRO!E:E,'LISTA DE EMBARQUE'!G:G),"")</f>
        <v>1</v>
      </c>
      <c r="V874" s="314">
        <f>IFERROR(VLOOKUP(Tabela1[[#This Row],[COD.MDE]],'LISTA DE EMBARQUE'!B:L,11,0),"")</f>
        <v>8</v>
      </c>
      <c r="W874" s="315">
        <f>IFERROR(VLOOKUP(Tabela1[[#This Row],[COD.MDE]],'LISTA DE EMBARQUE'!B:M,12,0),"")</f>
        <v>46280</v>
      </c>
      <c r="X874" s="316">
        <f>IFERROR(Tabela1[[#This Row],[QIANTIDADE EXPEDIDA]]*Tabela1[[#This Row],[PESO UNI]],"")</f>
        <v>297.8</v>
      </c>
      <c r="Y874" s="316">
        <f t="shared" si="184"/>
        <v>0</v>
      </c>
      <c r="Z874" s="320">
        <f>Tabela1[[#This Row],[PESO TOTAL]]-Tabela1[[#This Row],[Peso Expedido]]</f>
        <v>0</v>
      </c>
      <c r="AA874" s="321">
        <v>1</v>
      </c>
      <c r="AB874" s="322"/>
      <c r="AC874" s="322">
        <v>1</v>
      </c>
      <c r="AD874" s="322">
        <v>1</v>
      </c>
      <c r="AE874" s="322">
        <v>1</v>
      </c>
      <c r="AF874" s="322">
        <v>1</v>
      </c>
      <c r="AG874" s="322">
        <v>1</v>
      </c>
      <c r="AH874" s="322">
        <v>1</v>
      </c>
      <c r="AI874" s="322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308" t="s">
        <v>5041</v>
      </c>
      <c r="B875" s="309" t="s">
        <v>5042</v>
      </c>
      <c r="C875" s="308">
        <v>1</v>
      </c>
      <c r="D875" s="308" t="s">
        <v>5044</v>
      </c>
      <c r="E875" s="307">
        <v>4528</v>
      </c>
      <c r="F875" s="307">
        <v>56</v>
      </c>
      <c r="G875" s="308">
        <v>297.8</v>
      </c>
      <c r="H875" s="310">
        <f>Tabela1[[#This Row],[PESO UNI]]*Tabela1[[#This Row],[QTE]]</f>
        <v>297.8</v>
      </c>
      <c r="I875" s="307">
        <v>0</v>
      </c>
      <c r="J875" s="311" t="s">
        <v>3140</v>
      </c>
      <c r="K875" s="311" t="s">
        <v>4320</v>
      </c>
      <c r="L875" s="312" t="s">
        <v>2984</v>
      </c>
      <c r="M875" s="313">
        <v>46251</v>
      </c>
      <c r="N875" s="311" t="s">
        <v>5105</v>
      </c>
      <c r="O875" s="314"/>
      <c r="P875" s="315"/>
      <c r="Q875" s="14">
        <f>Tabela1[[#This Row],[QTDE/ Fabricação]]-Tabela1[[#This Row],[QTE]]</f>
        <v>-1</v>
      </c>
      <c r="R875" s="317">
        <f t="shared" si="181"/>
        <v>297.8</v>
      </c>
      <c r="S875" s="317">
        <f t="shared" si="182"/>
        <v>297.8</v>
      </c>
      <c r="T875" s="318">
        <f t="shared" si="183"/>
        <v>0</v>
      </c>
      <c r="U875" s="319">
        <f>IFERROR(SUMIF('LISTA DE EMBARQUE'!B:B,MICRO!E:E,'LISTA DE EMBARQUE'!G:G),"")</f>
        <v>1</v>
      </c>
      <c r="V875" s="314">
        <f>IFERROR(VLOOKUP(Tabela1[[#This Row],[COD.MDE]],'LISTA DE EMBARQUE'!B:L,11,0),"")</f>
        <v>8</v>
      </c>
      <c r="W875" s="315">
        <f>IFERROR(VLOOKUP(Tabela1[[#This Row],[COD.MDE]],'LISTA DE EMBARQUE'!B:M,12,0),"")</f>
        <v>46280</v>
      </c>
      <c r="X875" s="316">
        <f>IFERROR(Tabela1[[#This Row],[QIANTIDADE EXPEDIDA]]*Tabela1[[#This Row],[PESO UNI]],"")</f>
        <v>297.8</v>
      </c>
      <c r="Y875" s="316">
        <f t="shared" si="184"/>
        <v>0</v>
      </c>
      <c r="Z875" s="320">
        <f>Tabela1[[#This Row],[PESO TOTAL]]-Tabela1[[#This Row],[Peso Expedido]]</f>
        <v>0</v>
      </c>
      <c r="AA875" s="321">
        <v>1</v>
      </c>
      <c r="AB875" s="322"/>
      <c r="AC875" s="322">
        <v>1</v>
      </c>
      <c r="AD875" s="322">
        <v>1</v>
      </c>
      <c r="AE875" s="322">
        <v>1</v>
      </c>
      <c r="AF875" s="322">
        <v>1</v>
      </c>
      <c r="AG875" s="322">
        <v>1</v>
      </c>
      <c r="AH875" s="322">
        <v>1</v>
      </c>
      <c r="AI875" s="322" t="s">
        <v>5414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308" t="s">
        <v>5045</v>
      </c>
      <c r="B876" s="309" t="s">
        <v>5046</v>
      </c>
      <c r="C876" s="308">
        <v>1</v>
      </c>
      <c r="D876" s="308" t="s">
        <v>5047</v>
      </c>
      <c r="E876" s="307">
        <v>4529</v>
      </c>
      <c r="F876" s="307">
        <v>56</v>
      </c>
      <c r="G876" s="308">
        <v>886.6</v>
      </c>
      <c r="H876" s="310">
        <f>Tabela1[[#This Row],[PESO UNI]]*Tabela1[[#This Row],[QTE]]</f>
        <v>886.6</v>
      </c>
      <c r="I876" s="307">
        <v>0</v>
      </c>
      <c r="J876" s="311" t="s">
        <v>3140</v>
      </c>
      <c r="K876" s="311" t="s">
        <v>4320</v>
      </c>
      <c r="L876" s="312" t="s">
        <v>2984</v>
      </c>
      <c r="M876" s="313">
        <v>46251</v>
      </c>
      <c r="N876" s="311" t="s">
        <v>5105</v>
      </c>
      <c r="O876" s="314"/>
      <c r="P876" s="315"/>
      <c r="Q876" s="14">
        <f>Tabela1[[#This Row],[QTDE/ Fabricação]]-Tabela1[[#This Row],[QTE]]</f>
        <v>-1</v>
      </c>
      <c r="R876" s="317">
        <f t="shared" si="181"/>
        <v>886.6</v>
      </c>
      <c r="S876" s="317">
        <f t="shared" si="182"/>
        <v>886.6</v>
      </c>
      <c r="T876" s="318">
        <f t="shared" si="183"/>
        <v>0</v>
      </c>
      <c r="U876" s="319">
        <f>IFERROR(SUMIF('LISTA DE EMBARQUE'!B:B,MICRO!E:E,'LISTA DE EMBARQUE'!G:G),"")</f>
        <v>1</v>
      </c>
      <c r="V876" s="314">
        <f>IFERROR(VLOOKUP(Tabela1[[#This Row],[COD.MDE]],'LISTA DE EMBARQUE'!B:L,11,0),"")</f>
        <v>8</v>
      </c>
      <c r="W876" s="315">
        <f>IFERROR(VLOOKUP(Tabela1[[#This Row],[COD.MDE]],'LISTA DE EMBARQUE'!B:M,12,0),"")</f>
        <v>46280</v>
      </c>
      <c r="X876" s="316">
        <f>IFERROR(Tabela1[[#This Row],[QIANTIDADE EXPEDIDA]]*Tabela1[[#This Row],[PESO UNI]],"")</f>
        <v>886.6</v>
      </c>
      <c r="Y876" s="316">
        <f t="shared" si="184"/>
        <v>0</v>
      </c>
      <c r="Z876" s="320">
        <f>Tabela1[[#This Row],[PESO TOTAL]]-Tabela1[[#This Row],[Peso Expedido]]</f>
        <v>0</v>
      </c>
      <c r="AA876" s="321">
        <v>1</v>
      </c>
      <c r="AB876" s="322"/>
      <c r="AC876" s="322">
        <v>1</v>
      </c>
      <c r="AD876" s="322">
        <v>1</v>
      </c>
      <c r="AE876" s="322">
        <v>1</v>
      </c>
      <c r="AF876" s="322">
        <v>1</v>
      </c>
      <c r="AG876" s="322">
        <v>1</v>
      </c>
      <c r="AH876" s="322">
        <v>1</v>
      </c>
      <c r="AI876" s="322" t="s">
        <v>5414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308" t="s">
        <v>5048</v>
      </c>
      <c r="B877" s="309" t="s">
        <v>5049</v>
      </c>
      <c r="C877" s="308">
        <v>1</v>
      </c>
      <c r="D877" s="308" t="s">
        <v>5050</v>
      </c>
      <c r="E877" s="307">
        <v>4530</v>
      </c>
      <c r="F877" s="307">
        <v>56</v>
      </c>
      <c r="G877" s="308">
        <v>643.4</v>
      </c>
      <c r="H877" s="310">
        <f>Tabela1[[#This Row],[PESO UNI]]*Tabela1[[#This Row],[QTE]]</f>
        <v>643.4</v>
      </c>
      <c r="I877" s="307">
        <v>0</v>
      </c>
      <c r="J877" s="311" t="s">
        <v>3140</v>
      </c>
      <c r="K877" s="311" t="s">
        <v>4320</v>
      </c>
      <c r="L877" s="312" t="s">
        <v>2984</v>
      </c>
      <c r="M877" s="313">
        <v>46251</v>
      </c>
      <c r="N877" s="311" t="s">
        <v>5105</v>
      </c>
      <c r="O877" s="314"/>
      <c r="P877" s="315"/>
      <c r="Q877" s="14">
        <f>Tabela1[[#This Row],[QTDE/ Fabricação]]-Tabela1[[#This Row],[QTE]]</f>
        <v>-1</v>
      </c>
      <c r="R877" s="317">
        <f t="shared" si="181"/>
        <v>643.4</v>
      </c>
      <c r="S877" s="317">
        <f t="shared" si="182"/>
        <v>643.4</v>
      </c>
      <c r="T877" s="318">
        <f t="shared" si="183"/>
        <v>0</v>
      </c>
      <c r="U877" s="319">
        <f>IFERROR(SUMIF('LISTA DE EMBARQUE'!B:B,MICRO!E:E,'LISTA DE EMBARQUE'!G:G),"")</f>
        <v>1</v>
      </c>
      <c r="V877" s="314">
        <f>IFERROR(VLOOKUP(Tabela1[[#This Row],[COD.MDE]],'LISTA DE EMBARQUE'!B:L,11,0),"")</f>
        <v>8</v>
      </c>
      <c r="W877" s="315">
        <f>IFERROR(VLOOKUP(Tabela1[[#This Row],[COD.MDE]],'LISTA DE EMBARQUE'!B:M,12,0),"")</f>
        <v>46280</v>
      </c>
      <c r="X877" s="316">
        <f>IFERROR(Tabela1[[#This Row],[QIANTIDADE EXPEDIDA]]*Tabela1[[#This Row],[PESO UNI]],"")</f>
        <v>643.4</v>
      </c>
      <c r="Y877" s="316">
        <f t="shared" si="184"/>
        <v>0</v>
      </c>
      <c r="Z877" s="320">
        <f>Tabela1[[#This Row],[PESO TOTAL]]-Tabela1[[#This Row],[Peso Expedido]]</f>
        <v>0</v>
      </c>
      <c r="AA877" s="321">
        <v>1</v>
      </c>
      <c r="AB877" s="322"/>
      <c r="AC877" s="322">
        <v>1</v>
      </c>
      <c r="AD877" s="322">
        <v>1</v>
      </c>
      <c r="AE877" s="322">
        <v>1</v>
      </c>
      <c r="AF877" s="322">
        <v>1</v>
      </c>
      <c r="AG877" s="322">
        <v>1</v>
      </c>
      <c r="AH877" s="322">
        <v>1</v>
      </c>
      <c r="AI877" s="322" t="s">
        <v>5414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308" t="s">
        <v>5051</v>
      </c>
      <c r="B878" s="309" t="s">
        <v>5052</v>
      </c>
      <c r="C878" s="308">
        <v>1</v>
      </c>
      <c r="D878" s="308" t="s">
        <v>5053</v>
      </c>
      <c r="E878" s="307">
        <v>4531</v>
      </c>
      <c r="F878" s="307">
        <v>56</v>
      </c>
      <c r="G878" s="308">
        <v>368.4</v>
      </c>
      <c r="H878" s="310">
        <f>Tabela1[[#This Row],[PESO UNI]]*Tabela1[[#This Row],[QTE]]</f>
        <v>368.4</v>
      </c>
      <c r="I878" s="307">
        <v>0</v>
      </c>
      <c r="J878" s="311" t="s">
        <v>3140</v>
      </c>
      <c r="K878" s="311" t="s">
        <v>4320</v>
      </c>
      <c r="L878" s="312" t="s">
        <v>2984</v>
      </c>
      <c r="M878" s="313">
        <v>46251</v>
      </c>
      <c r="N878" s="311" t="s">
        <v>5105</v>
      </c>
      <c r="O878" s="314"/>
      <c r="P878" s="315"/>
      <c r="Q878" s="14">
        <f>Tabela1[[#This Row],[QTDE/ Fabricação]]-Tabela1[[#This Row],[QTE]]</f>
        <v>-1</v>
      </c>
      <c r="R878" s="317">
        <f t="shared" si="181"/>
        <v>368.4</v>
      </c>
      <c r="S878" s="317">
        <f t="shared" si="182"/>
        <v>368.4</v>
      </c>
      <c r="T878" s="318">
        <f t="shared" si="183"/>
        <v>0</v>
      </c>
      <c r="U878" s="319">
        <f>IFERROR(SUMIF('LISTA DE EMBARQUE'!B:B,MICRO!E:E,'LISTA DE EMBARQUE'!G:G),"")</f>
        <v>1</v>
      </c>
      <c r="V878" s="314">
        <f>IFERROR(VLOOKUP(Tabela1[[#This Row],[COD.MDE]],'LISTA DE EMBARQUE'!B:L,11,0),"")</f>
        <v>8</v>
      </c>
      <c r="W878" s="315">
        <f>IFERROR(VLOOKUP(Tabela1[[#This Row],[COD.MDE]],'LISTA DE EMBARQUE'!B:M,12,0),"")</f>
        <v>46280</v>
      </c>
      <c r="X878" s="316">
        <f>IFERROR(Tabela1[[#This Row],[QIANTIDADE EXPEDIDA]]*Tabela1[[#This Row],[PESO UNI]],"")</f>
        <v>368.4</v>
      </c>
      <c r="Y878" s="316">
        <f t="shared" si="184"/>
        <v>0</v>
      </c>
      <c r="Z878" s="320">
        <f>Tabela1[[#This Row],[PESO TOTAL]]-Tabela1[[#This Row],[Peso Expedido]]</f>
        <v>0</v>
      </c>
      <c r="AA878" s="321">
        <v>1</v>
      </c>
      <c r="AB878" s="322"/>
      <c r="AC878" s="322">
        <v>1</v>
      </c>
      <c r="AD878" s="322">
        <v>1</v>
      </c>
      <c r="AE878" s="322">
        <v>1</v>
      </c>
      <c r="AF878" s="322">
        <v>1</v>
      </c>
      <c r="AG878" s="322">
        <v>1</v>
      </c>
      <c r="AH878" s="322">
        <v>1</v>
      </c>
      <c r="AI878" s="322" t="s">
        <v>5414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308" t="s">
        <v>5051</v>
      </c>
      <c r="B879" s="309" t="s">
        <v>5052</v>
      </c>
      <c r="C879" s="308">
        <v>1</v>
      </c>
      <c r="D879" s="308" t="s">
        <v>5054</v>
      </c>
      <c r="E879" s="307">
        <v>4532</v>
      </c>
      <c r="F879" s="307">
        <v>56</v>
      </c>
      <c r="G879" s="308">
        <v>340.7</v>
      </c>
      <c r="H879" s="310">
        <f>Tabela1[[#This Row],[PESO UNI]]*Tabela1[[#This Row],[QTE]]</f>
        <v>340.7</v>
      </c>
      <c r="I879" s="307">
        <v>0</v>
      </c>
      <c r="J879" s="311" t="s">
        <v>3140</v>
      </c>
      <c r="K879" s="311" t="s">
        <v>4320</v>
      </c>
      <c r="L879" s="312" t="s">
        <v>2984</v>
      </c>
      <c r="M879" s="313">
        <v>46251</v>
      </c>
      <c r="N879" s="311" t="s">
        <v>5105</v>
      </c>
      <c r="O879" s="314"/>
      <c r="P879" s="315"/>
      <c r="Q879" s="14">
        <f>Tabela1[[#This Row],[QTDE/ Fabricação]]-Tabela1[[#This Row],[QTE]]</f>
        <v>-1</v>
      </c>
      <c r="R879" s="317">
        <f t="shared" si="181"/>
        <v>340.7</v>
      </c>
      <c r="S879" s="317">
        <f t="shared" si="182"/>
        <v>340.7</v>
      </c>
      <c r="T879" s="318">
        <f t="shared" si="183"/>
        <v>0</v>
      </c>
      <c r="U879" s="319">
        <f>IFERROR(SUMIF('LISTA DE EMBARQUE'!B:B,MICRO!E:E,'LISTA DE EMBARQUE'!G:G),"")</f>
        <v>1</v>
      </c>
      <c r="V879" s="314">
        <f>IFERROR(VLOOKUP(Tabela1[[#This Row],[COD.MDE]],'LISTA DE EMBARQUE'!B:L,11,0),"")</f>
        <v>8</v>
      </c>
      <c r="W879" s="315">
        <f>IFERROR(VLOOKUP(Tabela1[[#This Row],[COD.MDE]],'LISTA DE EMBARQUE'!B:M,12,0),"")</f>
        <v>46280</v>
      </c>
      <c r="X879" s="316">
        <f>IFERROR(Tabela1[[#This Row],[QIANTIDADE EXPEDIDA]]*Tabela1[[#This Row],[PESO UNI]],"")</f>
        <v>340.7</v>
      </c>
      <c r="Y879" s="316">
        <f t="shared" si="184"/>
        <v>0</v>
      </c>
      <c r="Z879" s="320">
        <f>Tabela1[[#This Row],[PESO TOTAL]]-Tabela1[[#This Row],[Peso Expedido]]</f>
        <v>0</v>
      </c>
      <c r="AA879" s="321">
        <v>1</v>
      </c>
      <c r="AB879" s="322"/>
      <c r="AC879" s="322">
        <v>1</v>
      </c>
      <c r="AD879" s="322">
        <v>1</v>
      </c>
      <c r="AE879" s="322">
        <v>1</v>
      </c>
      <c r="AF879" s="322">
        <v>1</v>
      </c>
      <c r="AG879" s="322">
        <v>1</v>
      </c>
      <c r="AH879" s="322">
        <v>1</v>
      </c>
      <c r="AI879" s="322" t="s">
        <v>5414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5711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5711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713.6</v>
      </c>
      <c r="S886" s="18">
        <f t="shared" si="182"/>
        <v>713.6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5711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355.4</v>
      </c>
      <c r="S887" s="18">
        <f t="shared" si="182"/>
        <v>355.4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5711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5711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5711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1096.4000000000001</v>
      </c>
      <c r="S890" s="18">
        <f t="shared" si="182"/>
        <v>1096.4000000000001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5711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289.5</v>
      </c>
      <c r="S891" s="18">
        <f t="shared" si="182"/>
        <v>289.5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5583</v>
      </c>
      <c r="B899" s="21" t="s">
        <v>5104</v>
      </c>
      <c r="C899" s="1">
        <v>67</v>
      </c>
      <c r="D899" s="1" t="s">
        <v>5584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5583</v>
      </c>
      <c r="B900" s="21" t="s">
        <v>5104</v>
      </c>
      <c r="C900" s="1">
        <v>3</v>
      </c>
      <c r="D900" s="1" t="s">
        <v>5585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5583</v>
      </c>
      <c r="B901" s="21" t="s">
        <v>5104</v>
      </c>
      <c r="C901" s="1">
        <v>1</v>
      </c>
      <c r="D901" s="1" t="s">
        <v>5586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5583</v>
      </c>
      <c r="B902" s="21" t="s">
        <v>5104</v>
      </c>
      <c r="C902" s="1">
        <v>6</v>
      </c>
      <c r="D902" s="1" t="s">
        <v>5587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5583</v>
      </c>
      <c r="B903" s="21" t="s">
        <v>5104</v>
      </c>
      <c r="C903" s="1">
        <v>4</v>
      </c>
      <c r="D903" s="1" t="s">
        <v>5588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5583</v>
      </c>
      <c r="B904" s="21" t="s">
        <v>5104</v>
      </c>
      <c r="C904" s="1">
        <v>2</v>
      </c>
      <c r="D904" s="1" t="s">
        <v>5589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5583</v>
      </c>
      <c r="B905" s="21" t="s">
        <v>5104</v>
      </c>
      <c r="C905" s="1">
        <v>1</v>
      </c>
      <c r="D905" s="1" t="s">
        <v>5590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5583</v>
      </c>
      <c r="B906" s="21" t="s">
        <v>5104</v>
      </c>
      <c r="C906" s="1">
        <v>1</v>
      </c>
      <c r="D906" s="1" t="s">
        <v>5591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5583</v>
      </c>
      <c r="B907" s="21" t="s">
        <v>5104</v>
      </c>
      <c r="C907" s="1">
        <v>1</v>
      </c>
      <c r="D907" s="1" t="s">
        <v>5592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5583</v>
      </c>
      <c r="B908" s="21" t="s">
        <v>5104</v>
      </c>
      <c r="C908" s="1">
        <v>1</v>
      </c>
      <c r="D908" s="1" t="s">
        <v>5593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5583</v>
      </c>
      <c r="B909" s="21" t="s">
        <v>5104</v>
      </c>
      <c r="C909" s="1">
        <v>1</v>
      </c>
      <c r="D909" s="1" t="s">
        <v>5594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5583</v>
      </c>
      <c r="B910" s="21" t="s">
        <v>5104</v>
      </c>
      <c r="C910" s="1">
        <v>1</v>
      </c>
      <c r="D910" s="1" t="s">
        <v>5595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5583</v>
      </c>
      <c r="B911" s="21" t="s">
        <v>5104</v>
      </c>
      <c r="C911" s="1">
        <v>1</v>
      </c>
      <c r="D911" s="1" t="s">
        <v>5596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5583</v>
      </c>
      <c r="B912" s="21" t="s">
        <v>5104</v>
      </c>
      <c r="C912" s="1">
        <v>1</v>
      </c>
      <c r="D912" s="1" t="s">
        <v>5597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5583</v>
      </c>
      <c r="B913" s="21" t="s">
        <v>5104</v>
      </c>
      <c r="C913" s="1">
        <v>1</v>
      </c>
      <c r="D913" s="1" t="s">
        <v>5598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5583</v>
      </c>
      <c r="B914" s="21" t="s">
        <v>5104</v>
      </c>
      <c r="C914" s="1">
        <v>2</v>
      </c>
      <c r="D914" s="1" t="s">
        <v>5599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5583</v>
      </c>
      <c r="B915" s="21" t="s">
        <v>5104</v>
      </c>
      <c r="C915" s="1">
        <v>2</v>
      </c>
      <c r="D915" s="1" t="s">
        <v>5600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5583</v>
      </c>
      <c r="B916" s="21" t="s">
        <v>5104</v>
      </c>
      <c r="C916" s="1">
        <v>2</v>
      </c>
      <c r="D916" s="1" t="s">
        <v>5601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5583</v>
      </c>
      <c r="B917" s="21" t="s">
        <v>5104</v>
      </c>
      <c r="C917" s="1">
        <v>2</v>
      </c>
      <c r="D917" s="1" t="s">
        <v>5602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5583</v>
      </c>
      <c r="B918" s="21" t="s">
        <v>5104</v>
      </c>
      <c r="C918" s="1">
        <v>2</v>
      </c>
      <c r="D918" s="1" t="s">
        <v>5603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5583</v>
      </c>
      <c r="B919" s="21" t="s">
        <v>5104</v>
      </c>
      <c r="C919" s="1">
        <v>2</v>
      </c>
      <c r="D919" s="1" t="s">
        <v>5604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5583</v>
      </c>
      <c r="B920" s="21" t="s">
        <v>5104</v>
      </c>
      <c r="C920" s="1">
        <v>2</v>
      </c>
      <c r="D920" s="1" t="s">
        <v>5605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5583</v>
      </c>
      <c r="B921" s="21" t="s">
        <v>5104</v>
      </c>
      <c r="C921" s="1">
        <v>2</v>
      </c>
      <c r="D921" s="1" t="s">
        <v>5606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5583</v>
      </c>
      <c r="B922" s="21" t="s">
        <v>5104</v>
      </c>
      <c r="C922" s="1">
        <v>2</v>
      </c>
      <c r="D922" s="1" t="s">
        <v>5607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5583</v>
      </c>
      <c r="B923" s="21" t="s">
        <v>5104</v>
      </c>
      <c r="C923" s="1">
        <v>2</v>
      </c>
      <c r="D923" s="1" t="s">
        <v>5608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5583</v>
      </c>
      <c r="B924" s="21" t="s">
        <v>5104</v>
      </c>
      <c r="C924" s="1">
        <v>2</v>
      </c>
      <c r="D924" s="1" t="s">
        <v>5609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5583</v>
      </c>
      <c r="B925" s="21" t="s">
        <v>5104</v>
      </c>
      <c r="C925" s="1">
        <v>2</v>
      </c>
      <c r="D925" s="1" t="s">
        <v>5610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5583</v>
      </c>
      <c r="B926" s="21" t="s">
        <v>5104</v>
      </c>
      <c r="C926" s="1">
        <v>1</v>
      </c>
      <c r="D926" s="1" t="s">
        <v>5611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5583</v>
      </c>
      <c r="B927" s="21" t="s">
        <v>5104</v>
      </c>
      <c r="C927" s="1">
        <v>1</v>
      </c>
      <c r="D927" s="1" t="s">
        <v>5612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308" t="s">
        <v>5106</v>
      </c>
      <c r="B928" s="309" t="s">
        <v>5107</v>
      </c>
      <c r="C928" s="308">
        <v>1</v>
      </c>
      <c r="D928" s="308" t="s">
        <v>5108</v>
      </c>
      <c r="E928" s="307">
        <v>4555</v>
      </c>
      <c r="F928" s="307">
        <v>58</v>
      </c>
      <c r="G928" s="308">
        <v>84.46</v>
      </c>
      <c r="H928" s="310">
        <f>Tabela1[[#This Row],[PESO UNI]]*Tabela1[[#This Row],[QTE]]</f>
        <v>84.46</v>
      </c>
      <c r="I928" s="307">
        <v>0</v>
      </c>
      <c r="J928" s="311" t="s">
        <v>3045</v>
      </c>
      <c r="K928" s="311" t="s">
        <v>4320</v>
      </c>
      <c r="L928" s="312" t="s">
        <v>2984</v>
      </c>
      <c r="M928" s="313">
        <v>46251</v>
      </c>
      <c r="N928" s="311" t="s">
        <v>5105</v>
      </c>
      <c r="O928" s="314"/>
      <c r="P928" s="315"/>
      <c r="Q928" s="14">
        <f>Tabela1[[#This Row],[QTDE/ Fabricação]]-Tabela1[[#This Row],[QTE]]</f>
        <v>-1</v>
      </c>
      <c r="R928" s="317">
        <f t="shared" si="181"/>
        <v>84.46</v>
      </c>
      <c r="S928" s="317">
        <f t="shared" si="182"/>
        <v>84.46</v>
      </c>
      <c r="T928" s="318">
        <f t="shared" si="183"/>
        <v>0</v>
      </c>
      <c r="U928" s="319">
        <f>IFERROR(SUMIF('LISTA DE EMBARQUE'!B:B,MICRO!E:E,'LISTA DE EMBARQUE'!G:G),"")</f>
        <v>1</v>
      </c>
      <c r="V928" s="314">
        <f>IFERROR(VLOOKUP(Tabela1[[#This Row],[COD.MDE]],'LISTA DE EMBARQUE'!B:L,11,0),"")</f>
        <v>9</v>
      </c>
      <c r="W928" s="315">
        <f>IFERROR(VLOOKUP(Tabela1[[#This Row],[COD.MDE]],'LISTA DE EMBARQUE'!B:M,12,0),"")</f>
        <v>46284</v>
      </c>
      <c r="X928" s="316">
        <f>IFERROR(Tabela1[[#This Row],[QIANTIDADE EXPEDIDA]]*Tabela1[[#This Row],[PESO UNI]],"")</f>
        <v>84.46</v>
      </c>
      <c r="Y928" s="316">
        <f t="shared" si="184"/>
        <v>0</v>
      </c>
      <c r="Z928" s="320">
        <f>Tabela1[[#This Row],[PESO TOTAL]]-Tabela1[[#This Row],[Peso Expedido]]</f>
        <v>0</v>
      </c>
      <c r="AA928" s="321">
        <v>1</v>
      </c>
      <c r="AB928" s="322"/>
      <c r="AC928" s="322">
        <v>1</v>
      </c>
      <c r="AD928" s="322">
        <v>1</v>
      </c>
      <c r="AE928" s="322">
        <v>1</v>
      </c>
      <c r="AF928" s="322">
        <v>1</v>
      </c>
      <c r="AG928" s="322">
        <v>1</v>
      </c>
      <c r="AH928" s="322">
        <v>1</v>
      </c>
      <c r="AI928" s="322" t="s">
        <v>4509</v>
      </c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308" t="s">
        <v>5106</v>
      </c>
      <c r="B929" s="309" t="s">
        <v>5107</v>
      </c>
      <c r="C929" s="308">
        <v>2</v>
      </c>
      <c r="D929" s="308" t="s">
        <v>5109</v>
      </c>
      <c r="E929" s="307">
        <v>4556</v>
      </c>
      <c r="F929" s="307">
        <v>58</v>
      </c>
      <c r="G929" s="308">
        <v>69.61</v>
      </c>
      <c r="H929" s="310">
        <f>Tabela1[[#This Row],[PESO UNI]]*Tabela1[[#This Row],[QTE]]</f>
        <v>139.22</v>
      </c>
      <c r="I929" s="307">
        <v>0</v>
      </c>
      <c r="J929" s="311" t="s">
        <v>3045</v>
      </c>
      <c r="K929" s="311" t="s">
        <v>4320</v>
      </c>
      <c r="L929" s="312" t="s">
        <v>2984</v>
      </c>
      <c r="M929" s="313">
        <v>46251</v>
      </c>
      <c r="N929" s="311" t="s">
        <v>5105</v>
      </c>
      <c r="O929" s="314"/>
      <c r="P929" s="315"/>
      <c r="Q929" s="14">
        <f>Tabela1[[#This Row],[QTDE/ Fabricação]]-Tabela1[[#This Row],[QTE]]</f>
        <v>-2</v>
      </c>
      <c r="R929" s="317">
        <f t="shared" ref="R929:R960" si="189">IFERROR(H929*((AA929*0.25)+(AC929*0.25)+(AD929*0.225)+(AE929*0.225)+(AF929*0.05)),"")</f>
        <v>139.22</v>
      </c>
      <c r="S929" s="317">
        <f t="shared" ref="S929:S960" si="190">IFERROR(H929*AG929,"")</f>
        <v>139.22</v>
      </c>
      <c r="T929" s="318">
        <f t="shared" ref="T929:T960" si="191">IFERROR(S929-H929,"")</f>
        <v>0</v>
      </c>
      <c r="U929" s="319">
        <f>IFERROR(SUMIF('LISTA DE EMBARQUE'!B:B,MICRO!E:E,'LISTA DE EMBARQUE'!G:G),"")</f>
        <v>2</v>
      </c>
      <c r="V929" s="314">
        <f>IFERROR(VLOOKUP(Tabela1[[#This Row],[COD.MDE]],'LISTA DE EMBARQUE'!B:L,11,0),"")</f>
        <v>9</v>
      </c>
      <c r="W929" s="315">
        <f>IFERROR(VLOOKUP(Tabela1[[#This Row],[COD.MDE]],'LISTA DE EMBARQUE'!B:M,12,0),"")</f>
        <v>46284</v>
      </c>
      <c r="X929" s="316">
        <f>IFERROR(Tabela1[[#This Row],[QIANTIDADE EXPEDIDA]]*Tabela1[[#This Row],[PESO UNI]],"")</f>
        <v>139.22</v>
      </c>
      <c r="Y929" s="316">
        <f t="shared" ref="Y929:Y960" si="192">U929-C929</f>
        <v>0</v>
      </c>
      <c r="Z929" s="320">
        <f>Tabela1[[#This Row],[PESO TOTAL]]-Tabela1[[#This Row],[Peso Expedido]]</f>
        <v>0</v>
      </c>
      <c r="AA929" s="321">
        <v>1</v>
      </c>
      <c r="AB929" s="322"/>
      <c r="AC929" s="322">
        <v>1</v>
      </c>
      <c r="AD929" s="322">
        <v>1</v>
      </c>
      <c r="AE929" s="322">
        <v>1</v>
      </c>
      <c r="AF929" s="322">
        <v>1</v>
      </c>
      <c r="AG929" s="322">
        <v>1</v>
      </c>
      <c r="AH929" s="322">
        <v>1</v>
      </c>
      <c r="AI929" s="32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308" t="s">
        <v>5106</v>
      </c>
      <c r="B931" s="309" t="s">
        <v>5107</v>
      </c>
      <c r="C931" s="308">
        <v>6</v>
      </c>
      <c r="D931" s="308" t="s">
        <v>5111</v>
      </c>
      <c r="E931" s="307">
        <v>4558</v>
      </c>
      <c r="F931" s="307">
        <v>58</v>
      </c>
      <c r="G931" s="308">
        <v>6.07</v>
      </c>
      <c r="H931" s="310">
        <f>Tabela1[[#This Row],[PESO UNI]]*Tabela1[[#This Row],[QTE]]</f>
        <v>36.42</v>
      </c>
      <c r="I931" s="307">
        <v>0</v>
      </c>
      <c r="J931" s="311" t="s">
        <v>3045</v>
      </c>
      <c r="K931" s="311" t="s">
        <v>4320</v>
      </c>
      <c r="L931" s="312" t="s">
        <v>2984</v>
      </c>
      <c r="M931" s="313">
        <v>46251</v>
      </c>
      <c r="N931" s="311" t="s">
        <v>5105</v>
      </c>
      <c r="O931" s="314"/>
      <c r="P931" s="315"/>
      <c r="Q931" s="14">
        <f>Tabela1[[#This Row],[QTDE/ Fabricação]]-Tabela1[[#This Row],[QTE]]</f>
        <v>-6</v>
      </c>
      <c r="R931" s="317">
        <f t="shared" si="189"/>
        <v>36.42</v>
      </c>
      <c r="S931" s="317">
        <f t="shared" si="190"/>
        <v>36.42</v>
      </c>
      <c r="T931" s="318">
        <f t="shared" si="191"/>
        <v>0</v>
      </c>
      <c r="U931" s="319">
        <f>IFERROR(SUMIF('LISTA DE EMBARQUE'!B:B,MICRO!E:E,'LISTA DE EMBARQUE'!G:G),"")</f>
        <v>6</v>
      </c>
      <c r="V931" s="314">
        <f>IFERROR(VLOOKUP(Tabela1[[#This Row],[COD.MDE]],'LISTA DE EMBARQUE'!B:L,11,0),"")</f>
        <v>9</v>
      </c>
      <c r="W931" s="315">
        <f>IFERROR(VLOOKUP(Tabela1[[#This Row],[COD.MDE]],'LISTA DE EMBARQUE'!B:M,12,0),"")</f>
        <v>46284</v>
      </c>
      <c r="X931" s="316">
        <f>IFERROR(Tabela1[[#This Row],[QIANTIDADE EXPEDIDA]]*Tabela1[[#This Row],[PESO UNI]],"")</f>
        <v>36.42</v>
      </c>
      <c r="Y931" s="316">
        <f t="shared" si="192"/>
        <v>0</v>
      </c>
      <c r="Z931" s="320">
        <f>Tabela1[[#This Row],[PESO TOTAL]]-Tabela1[[#This Row],[Peso Expedido]]</f>
        <v>0</v>
      </c>
      <c r="AA931" s="321">
        <v>1</v>
      </c>
      <c r="AB931" s="322"/>
      <c r="AC931" s="322">
        <v>1</v>
      </c>
      <c r="AD931" s="322">
        <v>1</v>
      </c>
      <c r="AE931" s="322">
        <v>1</v>
      </c>
      <c r="AF931" s="322">
        <v>1</v>
      </c>
      <c r="AG931" s="322">
        <v>1</v>
      </c>
      <c r="AH931" s="322">
        <v>1</v>
      </c>
      <c r="AI931" s="322" t="s">
        <v>4509</v>
      </c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308" t="s">
        <v>5106</v>
      </c>
      <c r="B934" s="309" t="s">
        <v>5107</v>
      </c>
      <c r="C934" s="308">
        <v>1</v>
      </c>
      <c r="D934" s="308" t="s">
        <v>5114</v>
      </c>
      <c r="E934" s="307">
        <v>4561</v>
      </c>
      <c r="F934" s="307">
        <v>58</v>
      </c>
      <c r="G934" s="308">
        <v>20.48</v>
      </c>
      <c r="H934" s="310">
        <f>Tabela1[[#This Row],[PESO UNI]]*Tabela1[[#This Row],[QTE]]</f>
        <v>20.48</v>
      </c>
      <c r="I934" s="307">
        <v>0</v>
      </c>
      <c r="J934" s="311" t="s">
        <v>3045</v>
      </c>
      <c r="K934" s="311" t="s">
        <v>4320</v>
      </c>
      <c r="L934" s="312" t="s">
        <v>2984</v>
      </c>
      <c r="M934" s="313">
        <v>46251</v>
      </c>
      <c r="N934" s="311" t="s">
        <v>5105</v>
      </c>
      <c r="O934" s="314"/>
      <c r="P934" s="315"/>
      <c r="Q934" s="14">
        <f>Tabela1[[#This Row],[QTDE/ Fabricação]]-Tabela1[[#This Row],[QTE]]</f>
        <v>-1</v>
      </c>
      <c r="R934" s="317">
        <f t="shared" si="189"/>
        <v>20.48</v>
      </c>
      <c r="S934" s="317">
        <f t="shared" si="190"/>
        <v>20.48</v>
      </c>
      <c r="T934" s="318">
        <f t="shared" si="191"/>
        <v>0</v>
      </c>
      <c r="U934" s="319">
        <f>IFERROR(SUMIF('LISTA DE EMBARQUE'!B:B,MICRO!E:E,'LISTA DE EMBARQUE'!G:G),"")</f>
        <v>1</v>
      </c>
      <c r="V934" s="314">
        <f>IFERROR(VLOOKUP(Tabela1[[#This Row],[COD.MDE]],'LISTA DE EMBARQUE'!B:L,11,0),"")</f>
        <v>9</v>
      </c>
      <c r="W934" s="315">
        <f>IFERROR(VLOOKUP(Tabela1[[#This Row],[COD.MDE]],'LISTA DE EMBARQUE'!B:M,12,0),"")</f>
        <v>46284</v>
      </c>
      <c r="X934" s="316">
        <f>IFERROR(Tabela1[[#This Row],[QIANTIDADE EXPEDIDA]]*Tabela1[[#This Row],[PESO UNI]],"")</f>
        <v>20.48</v>
      </c>
      <c r="Y934" s="316">
        <f t="shared" si="192"/>
        <v>0</v>
      </c>
      <c r="Z934" s="320">
        <f>Tabela1[[#This Row],[PESO TOTAL]]-Tabela1[[#This Row],[Peso Expedido]]</f>
        <v>0</v>
      </c>
      <c r="AA934" s="321">
        <v>1</v>
      </c>
      <c r="AB934" s="322"/>
      <c r="AC934" s="322">
        <v>1</v>
      </c>
      <c r="AD934" s="322">
        <v>1</v>
      </c>
      <c r="AE934" s="322">
        <v>1</v>
      </c>
      <c r="AF934" s="322">
        <v>1</v>
      </c>
      <c r="AG934" s="322">
        <v>1</v>
      </c>
      <c r="AH934" s="322">
        <v>1</v>
      </c>
      <c r="AI934" s="322" t="s">
        <v>4509</v>
      </c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308" t="s">
        <v>5106</v>
      </c>
      <c r="B935" s="309" t="s">
        <v>5107</v>
      </c>
      <c r="C935" s="308">
        <v>2</v>
      </c>
      <c r="D935" s="308" t="s">
        <v>5115</v>
      </c>
      <c r="E935" s="307">
        <v>4562</v>
      </c>
      <c r="F935" s="307">
        <v>58</v>
      </c>
      <c r="G935" s="308">
        <v>18.54</v>
      </c>
      <c r="H935" s="310">
        <f>Tabela1[[#This Row],[PESO UNI]]*Tabela1[[#This Row],[QTE]]</f>
        <v>37.08</v>
      </c>
      <c r="I935" s="307">
        <v>0</v>
      </c>
      <c r="J935" s="311" t="s">
        <v>3045</v>
      </c>
      <c r="K935" s="311" t="s">
        <v>4320</v>
      </c>
      <c r="L935" s="312" t="s">
        <v>2984</v>
      </c>
      <c r="M935" s="313">
        <v>46251</v>
      </c>
      <c r="N935" s="311" t="s">
        <v>5105</v>
      </c>
      <c r="O935" s="314"/>
      <c r="P935" s="315"/>
      <c r="Q935" s="14">
        <f>Tabela1[[#This Row],[QTDE/ Fabricação]]-Tabela1[[#This Row],[QTE]]</f>
        <v>-2</v>
      </c>
      <c r="R935" s="317">
        <f t="shared" si="189"/>
        <v>37.08</v>
      </c>
      <c r="S935" s="317">
        <f t="shared" si="190"/>
        <v>37.08</v>
      </c>
      <c r="T935" s="318">
        <f t="shared" si="191"/>
        <v>0</v>
      </c>
      <c r="U935" s="319">
        <f>IFERROR(SUMIF('LISTA DE EMBARQUE'!B:B,MICRO!E:E,'LISTA DE EMBARQUE'!G:G),"")</f>
        <v>2</v>
      </c>
      <c r="V935" s="314">
        <f>IFERROR(VLOOKUP(Tabela1[[#This Row],[COD.MDE]],'LISTA DE EMBARQUE'!B:L,11,0),"")</f>
        <v>9</v>
      </c>
      <c r="W935" s="315">
        <f>IFERROR(VLOOKUP(Tabela1[[#This Row],[COD.MDE]],'LISTA DE EMBARQUE'!B:M,12,0),"")</f>
        <v>46284</v>
      </c>
      <c r="X935" s="316">
        <f>IFERROR(Tabela1[[#This Row],[QIANTIDADE EXPEDIDA]]*Tabela1[[#This Row],[PESO UNI]],"")</f>
        <v>37.08</v>
      </c>
      <c r="Y935" s="316">
        <f t="shared" si="192"/>
        <v>0</v>
      </c>
      <c r="Z935" s="320">
        <f>Tabela1[[#This Row],[PESO TOTAL]]-Tabela1[[#This Row],[Peso Expedido]]</f>
        <v>0</v>
      </c>
      <c r="AA935" s="321">
        <v>1</v>
      </c>
      <c r="AB935" s="322"/>
      <c r="AC935" s="322">
        <v>1</v>
      </c>
      <c r="AD935" s="322">
        <v>1</v>
      </c>
      <c r="AE935" s="322">
        <v>1</v>
      </c>
      <c r="AF935" s="322">
        <v>1</v>
      </c>
      <c r="AG935" s="322">
        <v>1</v>
      </c>
      <c r="AH935" s="322">
        <v>1</v>
      </c>
      <c r="AI935" s="32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308" t="s">
        <v>5116</v>
      </c>
      <c r="B936" s="309" t="s">
        <v>5117</v>
      </c>
      <c r="C936" s="308">
        <v>1</v>
      </c>
      <c r="D936" s="308" t="s">
        <v>5118</v>
      </c>
      <c r="E936" s="307">
        <v>4563</v>
      </c>
      <c r="F936" s="307">
        <v>58</v>
      </c>
      <c r="G936" s="308">
        <v>82.5</v>
      </c>
      <c r="H936" s="310">
        <f>Tabela1[[#This Row],[PESO UNI]]*Tabela1[[#This Row],[QTE]]</f>
        <v>82.5</v>
      </c>
      <c r="I936" s="307">
        <v>0</v>
      </c>
      <c r="J936" s="311" t="s">
        <v>3045</v>
      </c>
      <c r="K936" s="311" t="s">
        <v>4320</v>
      </c>
      <c r="L936" s="312" t="s">
        <v>2984</v>
      </c>
      <c r="M936" s="313">
        <v>46251</v>
      </c>
      <c r="N936" s="311" t="s">
        <v>5105</v>
      </c>
      <c r="O936" s="314"/>
      <c r="P936" s="315"/>
      <c r="Q936" s="14">
        <f>Tabela1[[#This Row],[QTDE/ Fabricação]]-Tabela1[[#This Row],[QTE]]</f>
        <v>-1</v>
      </c>
      <c r="R936" s="317">
        <f t="shared" si="189"/>
        <v>82.5</v>
      </c>
      <c r="S936" s="317">
        <f t="shared" si="190"/>
        <v>82.5</v>
      </c>
      <c r="T936" s="318">
        <f t="shared" si="191"/>
        <v>0</v>
      </c>
      <c r="U936" s="319">
        <f>IFERROR(SUMIF('LISTA DE EMBARQUE'!B:B,MICRO!E:E,'LISTA DE EMBARQUE'!G:G),"")</f>
        <v>1</v>
      </c>
      <c r="V936" s="314">
        <f>IFERROR(VLOOKUP(Tabela1[[#This Row],[COD.MDE]],'LISTA DE EMBARQUE'!B:L,11,0),"")</f>
        <v>9</v>
      </c>
      <c r="W936" s="315">
        <f>IFERROR(VLOOKUP(Tabela1[[#This Row],[COD.MDE]],'LISTA DE EMBARQUE'!B:M,12,0),"")</f>
        <v>46284</v>
      </c>
      <c r="X936" s="316">
        <f>IFERROR(Tabela1[[#This Row],[QIANTIDADE EXPEDIDA]]*Tabela1[[#This Row],[PESO UNI]],"")</f>
        <v>82.5</v>
      </c>
      <c r="Y936" s="316">
        <f t="shared" si="192"/>
        <v>0</v>
      </c>
      <c r="Z936" s="320">
        <f>Tabela1[[#This Row],[PESO TOTAL]]-Tabela1[[#This Row],[Peso Expedido]]</f>
        <v>0</v>
      </c>
      <c r="AA936" s="321">
        <v>1</v>
      </c>
      <c r="AB936" s="322"/>
      <c r="AC936" s="322">
        <v>1</v>
      </c>
      <c r="AD936" s="322">
        <v>1</v>
      </c>
      <c r="AE936" s="322">
        <v>1</v>
      </c>
      <c r="AF936" s="322">
        <v>1</v>
      </c>
      <c r="AG936" s="322">
        <v>1</v>
      </c>
      <c r="AH936" s="322">
        <v>1</v>
      </c>
      <c r="AI936" s="32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308" t="s">
        <v>5116</v>
      </c>
      <c r="B937" s="309" t="s">
        <v>5117</v>
      </c>
      <c r="C937" s="308">
        <v>1</v>
      </c>
      <c r="D937" s="308" t="s">
        <v>5119</v>
      </c>
      <c r="E937" s="307">
        <v>4564</v>
      </c>
      <c r="F937" s="307">
        <v>58</v>
      </c>
      <c r="G937" s="308">
        <v>81.86</v>
      </c>
      <c r="H937" s="310">
        <f>Tabela1[[#This Row],[PESO UNI]]*Tabela1[[#This Row],[QTE]]</f>
        <v>81.86</v>
      </c>
      <c r="I937" s="307">
        <v>0</v>
      </c>
      <c r="J937" s="311" t="s">
        <v>3045</v>
      </c>
      <c r="K937" s="311" t="s">
        <v>4320</v>
      </c>
      <c r="L937" s="312" t="s">
        <v>2984</v>
      </c>
      <c r="M937" s="313">
        <v>46251</v>
      </c>
      <c r="N937" s="311" t="s">
        <v>5105</v>
      </c>
      <c r="O937" s="314"/>
      <c r="P937" s="315"/>
      <c r="Q937" s="14">
        <f>Tabela1[[#This Row],[QTDE/ Fabricação]]-Tabela1[[#This Row],[QTE]]</f>
        <v>-1</v>
      </c>
      <c r="R937" s="317">
        <f t="shared" si="189"/>
        <v>81.86</v>
      </c>
      <c r="S937" s="317">
        <f t="shared" si="190"/>
        <v>81.86</v>
      </c>
      <c r="T937" s="318">
        <f t="shared" si="191"/>
        <v>0</v>
      </c>
      <c r="U937" s="319">
        <f>IFERROR(SUMIF('LISTA DE EMBARQUE'!B:B,MICRO!E:E,'LISTA DE EMBARQUE'!G:G),"")</f>
        <v>1</v>
      </c>
      <c r="V937" s="314">
        <f>IFERROR(VLOOKUP(Tabela1[[#This Row],[COD.MDE]],'LISTA DE EMBARQUE'!B:L,11,0),"")</f>
        <v>9</v>
      </c>
      <c r="W937" s="315">
        <f>IFERROR(VLOOKUP(Tabela1[[#This Row],[COD.MDE]],'LISTA DE EMBARQUE'!B:M,12,0),"")</f>
        <v>46284</v>
      </c>
      <c r="X937" s="316">
        <f>IFERROR(Tabela1[[#This Row],[QIANTIDADE EXPEDIDA]]*Tabela1[[#This Row],[PESO UNI]],"")</f>
        <v>81.86</v>
      </c>
      <c r="Y937" s="316">
        <f t="shared" si="192"/>
        <v>0</v>
      </c>
      <c r="Z937" s="320">
        <f>Tabela1[[#This Row],[PESO TOTAL]]-Tabela1[[#This Row],[Peso Expedido]]</f>
        <v>0</v>
      </c>
      <c r="AA937" s="321">
        <v>1</v>
      </c>
      <c r="AB937" s="322"/>
      <c r="AC937" s="322">
        <v>1</v>
      </c>
      <c r="AD937" s="322">
        <v>1</v>
      </c>
      <c r="AE937" s="322">
        <v>1</v>
      </c>
      <c r="AF937" s="322">
        <v>1</v>
      </c>
      <c r="AG937" s="322">
        <v>1</v>
      </c>
      <c r="AH937" s="322">
        <v>1</v>
      </c>
      <c r="AI937" s="32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308" t="s">
        <v>5120</v>
      </c>
      <c r="B938" s="309" t="s">
        <v>5121</v>
      </c>
      <c r="C938" s="308">
        <v>3</v>
      </c>
      <c r="D938" s="308" t="s">
        <v>5122</v>
      </c>
      <c r="E938" s="307">
        <v>4565</v>
      </c>
      <c r="F938" s="307">
        <v>58</v>
      </c>
      <c r="G938" s="308">
        <v>83.82</v>
      </c>
      <c r="H938" s="310">
        <f>Tabela1[[#This Row],[PESO UNI]]*Tabela1[[#This Row],[QTE]]</f>
        <v>251.45999999999998</v>
      </c>
      <c r="I938" s="307">
        <v>0</v>
      </c>
      <c r="J938" s="311" t="s">
        <v>3045</v>
      </c>
      <c r="K938" s="311" t="s">
        <v>4320</v>
      </c>
      <c r="L938" s="312" t="s">
        <v>2984</v>
      </c>
      <c r="M938" s="313">
        <v>46251</v>
      </c>
      <c r="N938" s="311" t="s">
        <v>5105</v>
      </c>
      <c r="O938" s="314"/>
      <c r="P938" s="315"/>
      <c r="Q938" s="14">
        <f>Tabela1[[#This Row],[QTDE/ Fabricação]]-Tabela1[[#This Row],[QTE]]</f>
        <v>-3</v>
      </c>
      <c r="R938" s="317">
        <f t="shared" si="189"/>
        <v>251.45999999999998</v>
      </c>
      <c r="S938" s="317">
        <f t="shared" si="190"/>
        <v>251.45999999999998</v>
      </c>
      <c r="T938" s="318">
        <f t="shared" si="191"/>
        <v>0</v>
      </c>
      <c r="U938" s="319">
        <f>IFERROR(SUMIF('LISTA DE EMBARQUE'!B:B,MICRO!E:E,'LISTA DE EMBARQUE'!G:G),"")</f>
        <v>3</v>
      </c>
      <c r="V938" s="314">
        <f>IFERROR(VLOOKUP(Tabela1[[#This Row],[COD.MDE]],'LISTA DE EMBARQUE'!B:L,11,0),"")</f>
        <v>9</v>
      </c>
      <c r="W938" s="315">
        <f>IFERROR(VLOOKUP(Tabela1[[#This Row],[COD.MDE]],'LISTA DE EMBARQUE'!B:M,12,0),"")</f>
        <v>46284</v>
      </c>
      <c r="X938" s="316">
        <f>IFERROR(Tabela1[[#This Row],[QIANTIDADE EXPEDIDA]]*Tabela1[[#This Row],[PESO UNI]],"")</f>
        <v>251.45999999999998</v>
      </c>
      <c r="Y938" s="316">
        <f t="shared" si="192"/>
        <v>0</v>
      </c>
      <c r="Z938" s="320">
        <f>Tabela1[[#This Row],[PESO TOTAL]]-Tabela1[[#This Row],[Peso Expedido]]</f>
        <v>0</v>
      </c>
      <c r="AA938" s="321">
        <v>1</v>
      </c>
      <c r="AB938" s="322"/>
      <c r="AC938" s="322">
        <v>1</v>
      </c>
      <c r="AD938" s="322">
        <v>1</v>
      </c>
      <c r="AE938" s="322">
        <v>1</v>
      </c>
      <c r="AF938" s="322">
        <v>1</v>
      </c>
      <c r="AG938" s="322">
        <v>1</v>
      </c>
      <c r="AH938" s="322">
        <v>1</v>
      </c>
      <c r="AI938" s="32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308" t="s">
        <v>5120</v>
      </c>
      <c r="B939" s="309" t="s">
        <v>5121</v>
      </c>
      <c r="C939" s="308">
        <v>2</v>
      </c>
      <c r="D939" s="308" t="s">
        <v>5123</v>
      </c>
      <c r="E939" s="307">
        <v>4566</v>
      </c>
      <c r="F939" s="307">
        <v>58</v>
      </c>
      <c r="G939" s="308">
        <v>85.1</v>
      </c>
      <c r="H939" s="310">
        <f>Tabela1[[#This Row],[PESO UNI]]*Tabela1[[#This Row],[QTE]]</f>
        <v>170.2</v>
      </c>
      <c r="I939" s="307">
        <v>0</v>
      </c>
      <c r="J939" s="311" t="s">
        <v>3045</v>
      </c>
      <c r="K939" s="311" t="s">
        <v>4320</v>
      </c>
      <c r="L939" s="312" t="s">
        <v>2984</v>
      </c>
      <c r="M939" s="313">
        <v>46251</v>
      </c>
      <c r="N939" s="311" t="s">
        <v>5105</v>
      </c>
      <c r="O939" s="314"/>
      <c r="P939" s="315"/>
      <c r="Q939" s="14">
        <f>Tabela1[[#This Row],[QTDE/ Fabricação]]-Tabela1[[#This Row],[QTE]]</f>
        <v>-2</v>
      </c>
      <c r="R939" s="317">
        <f t="shared" si="189"/>
        <v>170.2</v>
      </c>
      <c r="S939" s="317">
        <f t="shared" si="190"/>
        <v>170.2</v>
      </c>
      <c r="T939" s="318">
        <f t="shared" si="191"/>
        <v>0</v>
      </c>
      <c r="U939" s="319">
        <f>IFERROR(SUMIF('LISTA DE EMBARQUE'!B:B,MICRO!E:E,'LISTA DE EMBARQUE'!G:G),"")</f>
        <v>2</v>
      </c>
      <c r="V939" s="314">
        <f>IFERROR(VLOOKUP(Tabela1[[#This Row],[COD.MDE]],'LISTA DE EMBARQUE'!B:L,11,0),"")</f>
        <v>9</v>
      </c>
      <c r="W939" s="315">
        <f>IFERROR(VLOOKUP(Tabela1[[#This Row],[COD.MDE]],'LISTA DE EMBARQUE'!B:M,12,0),"")</f>
        <v>46284</v>
      </c>
      <c r="X939" s="316">
        <f>IFERROR(Tabela1[[#This Row],[QIANTIDADE EXPEDIDA]]*Tabela1[[#This Row],[PESO UNI]],"")</f>
        <v>170.2</v>
      </c>
      <c r="Y939" s="316">
        <f t="shared" si="192"/>
        <v>0</v>
      </c>
      <c r="Z939" s="320">
        <f>Tabela1[[#This Row],[PESO TOTAL]]-Tabela1[[#This Row],[Peso Expedido]]</f>
        <v>0</v>
      </c>
      <c r="AA939" s="321">
        <v>1</v>
      </c>
      <c r="AB939" s="322"/>
      <c r="AC939" s="322">
        <v>1</v>
      </c>
      <c r="AD939" s="322">
        <v>1</v>
      </c>
      <c r="AE939" s="322">
        <v>1</v>
      </c>
      <c r="AF939" s="322">
        <v>1</v>
      </c>
      <c r="AG939" s="322">
        <v>1</v>
      </c>
      <c r="AH939" s="322">
        <v>1</v>
      </c>
      <c r="AI939" s="32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308" t="s">
        <v>5124</v>
      </c>
      <c r="B940" s="309" t="s">
        <v>5125</v>
      </c>
      <c r="C940" s="308">
        <v>1</v>
      </c>
      <c r="D940" s="308" t="s">
        <v>5126</v>
      </c>
      <c r="E940" s="307">
        <v>4567</v>
      </c>
      <c r="F940" s="307">
        <v>58</v>
      </c>
      <c r="G940" s="308">
        <v>86.97</v>
      </c>
      <c r="H940" s="310">
        <f>Tabela1[[#This Row],[PESO UNI]]*Tabela1[[#This Row],[QTE]]</f>
        <v>86.97</v>
      </c>
      <c r="I940" s="307">
        <v>0</v>
      </c>
      <c r="J940" s="311" t="s">
        <v>3045</v>
      </c>
      <c r="K940" s="311" t="s">
        <v>4320</v>
      </c>
      <c r="L940" s="312" t="s">
        <v>2984</v>
      </c>
      <c r="M940" s="313">
        <v>46251</v>
      </c>
      <c r="N940" s="311" t="s">
        <v>5105</v>
      </c>
      <c r="O940" s="314"/>
      <c r="P940" s="315"/>
      <c r="Q940" s="14">
        <f>Tabela1[[#This Row],[QTDE/ Fabricação]]-Tabela1[[#This Row],[QTE]]</f>
        <v>-1</v>
      </c>
      <c r="R940" s="317">
        <f t="shared" si="189"/>
        <v>86.97</v>
      </c>
      <c r="S940" s="317">
        <f t="shared" si="190"/>
        <v>86.97</v>
      </c>
      <c r="T940" s="318">
        <f t="shared" si="191"/>
        <v>0</v>
      </c>
      <c r="U940" s="319">
        <f>IFERROR(SUMIF('LISTA DE EMBARQUE'!B:B,MICRO!E:E,'LISTA DE EMBARQUE'!G:G),"")</f>
        <v>1</v>
      </c>
      <c r="V940" s="314">
        <f>IFERROR(VLOOKUP(Tabela1[[#This Row],[COD.MDE]],'LISTA DE EMBARQUE'!B:L,11,0),"")</f>
        <v>9</v>
      </c>
      <c r="W940" s="315">
        <f>IFERROR(VLOOKUP(Tabela1[[#This Row],[COD.MDE]],'LISTA DE EMBARQUE'!B:M,12,0),"")</f>
        <v>46284</v>
      </c>
      <c r="X940" s="316">
        <f>IFERROR(Tabela1[[#This Row],[QIANTIDADE EXPEDIDA]]*Tabela1[[#This Row],[PESO UNI]],"")</f>
        <v>86.97</v>
      </c>
      <c r="Y940" s="316">
        <f t="shared" si="192"/>
        <v>0</v>
      </c>
      <c r="Z940" s="320">
        <f>Tabela1[[#This Row],[PESO TOTAL]]-Tabela1[[#This Row],[Peso Expedido]]</f>
        <v>0</v>
      </c>
      <c r="AA940" s="321">
        <v>1</v>
      </c>
      <c r="AB940" s="322"/>
      <c r="AC940" s="322">
        <v>1</v>
      </c>
      <c r="AD940" s="322">
        <v>1</v>
      </c>
      <c r="AE940" s="322">
        <v>1</v>
      </c>
      <c r="AF940" s="322">
        <v>1</v>
      </c>
      <c r="AG940" s="322">
        <v>1</v>
      </c>
      <c r="AH940" s="322">
        <v>1</v>
      </c>
      <c r="AI940" s="32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308" t="s">
        <v>5124</v>
      </c>
      <c r="B941" s="309" t="s">
        <v>5125</v>
      </c>
      <c r="C941" s="308">
        <v>1</v>
      </c>
      <c r="D941" s="308" t="s">
        <v>5127</v>
      </c>
      <c r="E941" s="307">
        <v>4568</v>
      </c>
      <c r="F941" s="307">
        <v>58</v>
      </c>
      <c r="G941" s="308">
        <v>87.61</v>
      </c>
      <c r="H941" s="310">
        <f>Tabela1[[#This Row],[PESO UNI]]*Tabela1[[#This Row],[QTE]]</f>
        <v>87.61</v>
      </c>
      <c r="I941" s="307">
        <v>0</v>
      </c>
      <c r="J941" s="311" t="s">
        <v>3045</v>
      </c>
      <c r="K941" s="311" t="s">
        <v>4320</v>
      </c>
      <c r="L941" s="312" t="s">
        <v>2984</v>
      </c>
      <c r="M941" s="313">
        <v>46251</v>
      </c>
      <c r="N941" s="311" t="s">
        <v>5105</v>
      </c>
      <c r="O941" s="314"/>
      <c r="P941" s="315"/>
      <c r="Q941" s="14">
        <f>Tabela1[[#This Row],[QTDE/ Fabricação]]-Tabela1[[#This Row],[QTE]]</f>
        <v>-1</v>
      </c>
      <c r="R941" s="317">
        <f t="shared" si="189"/>
        <v>87.61</v>
      </c>
      <c r="S941" s="317">
        <f t="shared" si="190"/>
        <v>87.61</v>
      </c>
      <c r="T941" s="318">
        <f t="shared" si="191"/>
        <v>0</v>
      </c>
      <c r="U941" s="319">
        <f>IFERROR(SUMIF('LISTA DE EMBARQUE'!B:B,MICRO!E:E,'LISTA DE EMBARQUE'!G:G),"")</f>
        <v>1</v>
      </c>
      <c r="V941" s="314">
        <f>IFERROR(VLOOKUP(Tabela1[[#This Row],[COD.MDE]],'LISTA DE EMBARQUE'!B:L,11,0),"")</f>
        <v>9</v>
      </c>
      <c r="W941" s="315">
        <f>IFERROR(VLOOKUP(Tabela1[[#This Row],[COD.MDE]],'LISTA DE EMBARQUE'!B:M,12,0),"")</f>
        <v>46284</v>
      </c>
      <c r="X941" s="316">
        <f>IFERROR(Tabela1[[#This Row],[QIANTIDADE EXPEDIDA]]*Tabela1[[#This Row],[PESO UNI]],"")</f>
        <v>87.61</v>
      </c>
      <c r="Y941" s="316">
        <f t="shared" si="192"/>
        <v>0</v>
      </c>
      <c r="Z941" s="320">
        <f>Tabela1[[#This Row],[PESO TOTAL]]-Tabela1[[#This Row],[Peso Expedido]]</f>
        <v>0</v>
      </c>
      <c r="AA941" s="321">
        <v>1</v>
      </c>
      <c r="AB941" s="322"/>
      <c r="AC941" s="322">
        <v>1</v>
      </c>
      <c r="AD941" s="322">
        <v>1</v>
      </c>
      <c r="AE941" s="322">
        <v>1</v>
      </c>
      <c r="AF941" s="322">
        <v>1</v>
      </c>
      <c r="AG941" s="322">
        <v>1</v>
      </c>
      <c r="AH941" s="322">
        <v>1</v>
      </c>
      <c r="AI941" s="32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308" t="s">
        <v>5128</v>
      </c>
      <c r="B942" s="309" t="s">
        <v>5129</v>
      </c>
      <c r="C942" s="308">
        <v>4</v>
      </c>
      <c r="D942" s="308" t="s">
        <v>5130</v>
      </c>
      <c r="E942" s="307">
        <v>4569</v>
      </c>
      <c r="F942" s="307">
        <v>58</v>
      </c>
      <c r="G942" s="308">
        <v>26.26</v>
      </c>
      <c r="H942" s="310">
        <f>Tabela1[[#This Row],[PESO UNI]]*Tabela1[[#This Row],[QTE]]</f>
        <v>105.04</v>
      </c>
      <c r="I942" s="307">
        <v>0</v>
      </c>
      <c r="J942" s="311" t="s">
        <v>3045</v>
      </c>
      <c r="K942" s="311" t="s">
        <v>4320</v>
      </c>
      <c r="L942" s="312" t="s">
        <v>2984</v>
      </c>
      <c r="M942" s="313">
        <v>46251</v>
      </c>
      <c r="N942" s="311" t="s">
        <v>5105</v>
      </c>
      <c r="O942" s="314"/>
      <c r="P942" s="315"/>
      <c r="Q942" s="14">
        <f>Tabela1[[#This Row],[QTDE/ Fabricação]]-Tabela1[[#This Row],[QTE]]</f>
        <v>-4</v>
      </c>
      <c r="R942" s="317">
        <f t="shared" si="189"/>
        <v>105.04</v>
      </c>
      <c r="S942" s="317">
        <f t="shared" si="190"/>
        <v>105.04</v>
      </c>
      <c r="T942" s="318">
        <f t="shared" si="191"/>
        <v>0</v>
      </c>
      <c r="U942" s="319">
        <f>IFERROR(SUMIF('LISTA DE EMBARQUE'!B:B,MICRO!E:E,'LISTA DE EMBARQUE'!G:G),"")</f>
        <v>4</v>
      </c>
      <c r="V942" s="314">
        <f>IFERROR(VLOOKUP(Tabela1[[#This Row],[COD.MDE]],'LISTA DE EMBARQUE'!B:L,11,0),"")</f>
        <v>9</v>
      </c>
      <c r="W942" s="315">
        <f>IFERROR(VLOOKUP(Tabela1[[#This Row],[COD.MDE]],'LISTA DE EMBARQUE'!B:M,12,0),"")</f>
        <v>46284</v>
      </c>
      <c r="X942" s="316">
        <f>IFERROR(Tabela1[[#This Row],[QIANTIDADE EXPEDIDA]]*Tabela1[[#This Row],[PESO UNI]],"")</f>
        <v>105.04</v>
      </c>
      <c r="Y942" s="316">
        <f t="shared" si="192"/>
        <v>0</v>
      </c>
      <c r="Z942" s="320">
        <f>Tabela1[[#This Row],[PESO TOTAL]]-Tabela1[[#This Row],[Peso Expedido]]</f>
        <v>0</v>
      </c>
      <c r="AA942" s="321">
        <v>1</v>
      </c>
      <c r="AB942" s="322"/>
      <c r="AC942" s="322">
        <v>1</v>
      </c>
      <c r="AD942" s="322">
        <v>1</v>
      </c>
      <c r="AE942" s="322">
        <v>1</v>
      </c>
      <c r="AF942" s="322">
        <v>1</v>
      </c>
      <c r="AG942" s="322">
        <v>1</v>
      </c>
      <c r="AH942" s="322">
        <v>1</v>
      </c>
      <c r="AI942" s="32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308" t="s">
        <v>5128</v>
      </c>
      <c r="B943" s="309" t="s">
        <v>5129</v>
      </c>
      <c r="C943" s="308">
        <v>4</v>
      </c>
      <c r="D943" s="308" t="s">
        <v>5131</v>
      </c>
      <c r="E943" s="307">
        <v>4570</v>
      </c>
      <c r="F943" s="307">
        <v>58</v>
      </c>
      <c r="G943" s="308">
        <v>31.82</v>
      </c>
      <c r="H943" s="310">
        <f>Tabela1[[#This Row],[PESO UNI]]*Tabela1[[#This Row],[QTE]]</f>
        <v>127.28</v>
      </c>
      <c r="I943" s="307">
        <v>0</v>
      </c>
      <c r="J943" s="311" t="s">
        <v>3045</v>
      </c>
      <c r="K943" s="311" t="s">
        <v>4320</v>
      </c>
      <c r="L943" s="312" t="s">
        <v>2984</v>
      </c>
      <c r="M943" s="313">
        <v>46251</v>
      </c>
      <c r="N943" s="311" t="s">
        <v>5105</v>
      </c>
      <c r="O943" s="314"/>
      <c r="P943" s="315"/>
      <c r="Q943" s="14">
        <f>Tabela1[[#This Row],[QTDE/ Fabricação]]-Tabela1[[#This Row],[QTE]]</f>
        <v>-4</v>
      </c>
      <c r="R943" s="317">
        <f t="shared" si="189"/>
        <v>127.28</v>
      </c>
      <c r="S943" s="317">
        <f t="shared" si="190"/>
        <v>127.28</v>
      </c>
      <c r="T943" s="318">
        <f t="shared" si="191"/>
        <v>0</v>
      </c>
      <c r="U943" s="319">
        <f>IFERROR(SUMIF('LISTA DE EMBARQUE'!B:B,MICRO!E:E,'LISTA DE EMBARQUE'!G:G),"")</f>
        <v>4</v>
      </c>
      <c r="V943" s="314">
        <f>IFERROR(VLOOKUP(Tabela1[[#This Row],[COD.MDE]],'LISTA DE EMBARQUE'!B:L,11,0),"")</f>
        <v>9</v>
      </c>
      <c r="W943" s="315">
        <f>IFERROR(VLOOKUP(Tabela1[[#This Row],[COD.MDE]],'LISTA DE EMBARQUE'!B:M,12,0),"")</f>
        <v>46284</v>
      </c>
      <c r="X943" s="316">
        <f>IFERROR(Tabela1[[#This Row],[QIANTIDADE EXPEDIDA]]*Tabela1[[#This Row],[PESO UNI]],"")</f>
        <v>127.28</v>
      </c>
      <c r="Y943" s="316">
        <f t="shared" si="192"/>
        <v>0</v>
      </c>
      <c r="Z943" s="320">
        <f>Tabela1[[#This Row],[PESO TOTAL]]-Tabela1[[#This Row],[Peso Expedido]]</f>
        <v>0</v>
      </c>
      <c r="AA943" s="321">
        <v>1</v>
      </c>
      <c r="AB943" s="322"/>
      <c r="AC943" s="322">
        <v>1</v>
      </c>
      <c r="AD943" s="322">
        <v>1</v>
      </c>
      <c r="AE943" s="322">
        <v>1</v>
      </c>
      <c r="AF943" s="322">
        <v>1</v>
      </c>
      <c r="AG943" s="322">
        <v>1</v>
      </c>
      <c r="AH943" s="322">
        <v>1</v>
      </c>
      <c r="AI943" s="32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308" t="s">
        <v>5128</v>
      </c>
      <c r="B944" s="309" t="s">
        <v>5129</v>
      </c>
      <c r="C944" s="308">
        <v>4</v>
      </c>
      <c r="D944" s="308" t="s">
        <v>5132</v>
      </c>
      <c r="E944" s="307">
        <v>4571</v>
      </c>
      <c r="F944" s="307">
        <v>58</v>
      </c>
      <c r="G944" s="308">
        <v>30.1</v>
      </c>
      <c r="H944" s="310">
        <f>Tabela1[[#This Row],[PESO UNI]]*Tabela1[[#This Row],[QTE]]</f>
        <v>120.4</v>
      </c>
      <c r="I944" s="307">
        <v>0</v>
      </c>
      <c r="J944" s="311" t="s">
        <v>3045</v>
      </c>
      <c r="K944" s="311" t="s">
        <v>4320</v>
      </c>
      <c r="L944" s="312" t="s">
        <v>2984</v>
      </c>
      <c r="M944" s="313">
        <v>46251</v>
      </c>
      <c r="N944" s="311" t="s">
        <v>5105</v>
      </c>
      <c r="O944" s="314"/>
      <c r="P944" s="315"/>
      <c r="Q944" s="14">
        <f>Tabela1[[#This Row],[QTDE/ Fabricação]]-Tabela1[[#This Row],[QTE]]</f>
        <v>-4</v>
      </c>
      <c r="R944" s="317">
        <f t="shared" si="189"/>
        <v>120.4</v>
      </c>
      <c r="S944" s="317">
        <f t="shared" si="190"/>
        <v>120.4</v>
      </c>
      <c r="T944" s="318">
        <f t="shared" si="191"/>
        <v>0</v>
      </c>
      <c r="U944" s="319">
        <f>IFERROR(SUMIF('LISTA DE EMBARQUE'!B:B,MICRO!E:E,'LISTA DE EMBARQUE'!G:G),"")</f>
        <v>4</v>
      </c>
      <c r="V944" s="314">
        <f>IFERROR(VLOOKUP(Tabela1[[#This Row],[COD.MDE]],'LISTA DE EMBARQUE'!B:L,11,0),"")</f>
        <v>9</v>
      </c>
      <c r="W944" s="315">
        <f>IFERROR(VLOOKUP(Tabela1[[#This Row],[COD.MDE]],'LISTA DE EMBARQUE'!B:M,12,0),"")</f>
        <v>46284</v>
      </c>
      <c r="X944" s="316">
        <f>IFERROR(Tabela1[[#This Row],[QIANTIDADE EXPEDIDA]]*Tabela1[[#This Row],[PESO UNI]],"")</f>
        <v>120.4</v>
      </c>
      <c r="Y944" s="316">
        <f t="shared" si="192"/>
        <v>0</v>
      </c>
      <c r="Z944" s="320">
        <f>Tabela1[[#This Row],[PESO TOTAL]]-Tabela1[[#This Row],[Peso Expedido]]</f>
        <v>0</v>
      </c>
      <c r="AA944" s="321">
        <v>1</v>
      </c>
      <c r="AB944" s="322"/>
      <c r="AC944" s="322">
        <v>1</v>
      </c>
      <c r="AD944" s="322">
        <v>1</v>
      </c>
      <c r="AE944" s="322">
        <v>1</v>
      </c>
      <c r="AF944" s="322">
        <v>1</v>
      </c>
      <c r="AG944" s="322">
        <v>1</v>
      </c>
      <c r="AH944" s="322">
        <v>1</v>
      </c>
      <c r="AI944" s="32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308" t="s">
        <v>5128</v>
      </c>
      <c r="B945" s="309" t="s">
        <v>5129</v>
      </c>
      <c r="C945" s="308">
        <v>4</v>
      </c>
      <c r="D945" s="308" t="s">
        <v>5133</v>
      </c>
      <c r="E945" s="307">
        <v>4572</v>
      </c>
      <c r="F945" s="307">
        <v>58</v>
      </c>
      <c r="G945" s="308">
        <v>34.200000000000003</v>
      </c>
      <c r="H945" s="310">
        <f>Tabela1[[#This Row],[PESO UNI]]*Tabela1[[#This Row],[QTE]]</f>
        <v>136.80000000000001</v>
      </c>
      <c r="I945" s="307">
        <v>0</v>
      </c>
      <c r="J945" s="311" t="s">
        <v>3045</v>
      </c>
      <c r="K945" s="311" t="s">
        <v>4320</v>
      </c>
      <c r="L945" s="312" t="s">
        <v>2984</v>
      </c>
      <c r="M945" s="313">
        <v>46251</v>
      </c>
      <c r="N945" s="311" t="s">
        <v>5105</v>
      </c>
      <c r="O945" s="314"/>
      <c r="P945" s="315"/>
      <c r="Q945" s="14">
        <f>Tabela1[[#This Row],[QTDE/ Fabricação]]-Tabela1[[#This Row],[QTE]]</f>
        <v>-4</v>
      </c>
      <c r="R945" s="317">
        <f t="shared" si="189"/>
        <v>136.80000000000001</v>
      </c>
      <c r="S945" s="317">
        <f t="shared" si="190"/>
        <v>136.80000000000001</v>
      </c>
      <c r="T945" s="318">
        <f t="shared" si="191"/>
        <v>0</v>
      </c>
      <c r="U945" s="319">
        <f>IFERROR(SUMIF('LISTA DE EMBARQUE'!B:B,MICRO!E:E,'LISTA DE EMBARQUE'!G:G),"")</f>
        <v>4</v>
      </c>
      <c r="V945" s="314">
        <f>IFERROR(VLOOKUP(Tabela1[[#This Row],[COD.MDE]],'LISTA DE EMBARQUE'!B:L,11,0),"")</f>
        <v>9</v>
      </c>
      <c r="W945" s="315">
        <f>IFERROR(VLOOKUP(Tabela1[[#This Row],[COD.MDE]],'LISTA DE EMBARQUE'!B:M,12,0),"")</f>
        <v>46284</v>
      </c>
      <c r="X945" s="316">
        <f>IFERROR(Tabela1[[#This Row],[QIANTIDADE EXPEDIDA]]*Tabela1[[#This Row],[PESO UNI]],"")</f>
        <v>136.80000000000001</v>
      </c>
      <c r="Y945" s="316">
        <f t="shared" si="192"/>
        <v>0</v>
      </c>
      <c r="Z945" s="320">
        <f>Tabela1[[#This Row],[PESO TOTAL]]-Tabela1[[#This Row],[Peso Expedido]]</f>
        <v>0</v>
      </c>
      <c r="AA945" s="321">
        <v>1</v>
      </c>
      <c r="AB945" s="322"/>
      <c r="AC945" s="322">
        <v>1</v>
      </c>
      <c r="AD945" s="322">
        <v>1</v>
      </c>
      <c r="AE945" s="322">
        <v>1</v>
      </c>
      <c r="AF945" s="322">
        <v>1</v>
      </c>
      <c r="AG945" s="322">
        <v>1</v>
      </c>
      <c r="AH945" s="322">
        <v>1</v>
      </c>
      <c r="AI945" s="32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308" t="s">
        <v>5128</v>
      </c>
      <c r="B946" s="309" t="s">
        <v>5129</v>
      </c>
      <c r="C946" s="308">
        <v>2</v>
      </c>
      <c r="D946" s="308" t="s">
        <v>5134</v>
      </c>
      <c r="E946" s="307">
        <v>4573</v>
      </c>
      <c r="F946" s="307">
        <v>58</v>
      </c>
      <c r="G946" s="308">
        <v>29.36</v>
      </c>
      <c r="H946" s="310">
        <f>Tabela1[[#This Row],[PESO UNI]]*Tabela1[[#This Row],[QTE]]</f>
        <v>58.72</v>
      </c>
      <c r="I946" s="307">
        <v>0</v>
      </c>
      <c r="J946" s="311" t="s">
        <v>3045</v>
      </c>
      <c r="K946" s="311" t="s">
        <v>4320</v>
      </c>
      <c r="L946" s="312" t="s">
        <v>2984</v>
      </c>
      <c r="M946" s="313">
        <v>46251</v>
      </c>
      <c r="N946" s="311" t="s">
        <v>5105</v>
      </c>
      <c r="O946" s="314"/>
      <c r="P946" s="315"/>
      <c r="Q946" s="14">
        <f>Tabela1[[#This Row],[QTDE/ Fabricação]]-Tabela1[[#This Row],[QTE]]</f>
        <v>-2</v>
      </c>
      <c r="R946" s="317">
        <f t="shared" si="189"/>
        <v>58.72</v>
      </c>
      <c r="S946" s="317">
        <f t="shared" si="190"/>
        <v>58.72</v>
      </c>
      <c r="T946" s="318">
        <f t="shared" si="191"/>
        <v>0</v>
      </c>
      <c r="U946" s="319">
        <f>IFERROR(SUMIF('LISTA DE EMBARQUE'!B:B,MICRO!E:E,'LISTA DE EMBARQUE'!G:G),"")</f>
        <v>2</v>
      </c>
      <c r="V946" s="314">
        <f>IFERROR(VLOOKUP(Tabela1[[#This Row],[COD.MDE]],'LISTA DE EMBARQUE'!B:L,11,0),"")</f>
        <v>9</v>
      </c>
      <c r="W946" s="315">
        <f>IFERROR(VLOOKUP(Tabela1[[#This Row],[COD.MDE]],'LISTA DE EMBARQUE'!B:M,12,0),"")</f>
        <v>46284</v>
      </c>
      <c r="X946" s="316">
        <f>IFERROR(Tabela1[[#This Row],[QIANTIDADE EXPEDIDA]]*Tabela1[[#This Row],[PESO UNI]],"")</f>
        <v>58.72</v>
      </c>
      <c r="Y946" s="316">
        <f t="shared" si="192"/>
        <v>0</v>
      </c>
      <c r="Z946" s="320">
        <f>Tabela1[[#This Row],[PESO TOTAL]]-Tabela1[[#This Row],[Peso Expedido]]</f>
        <v>0</v>
      </c>
      <c r="AA946" s="321">
        <v>1</v>
      </c>
      <c r="AB946" s="322"/>
      <c r="AC946" s="322">
        <v>1</v>
      </c>
      <c r="AD946" s="322">
        <v>1</v>
      </c>
      <c r="AE946" s="322">
        <v>1</v>
      </c>
      <c r="AF946" s="322">
        <v>1</v>
      </c>
      <c r="AG946" s="322">
        <v>1</v>
      </c>
      <c r="AH946" s="322">
        <v>1</v>
      </c>
      <c r="AI946" s="32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308" t="s">
        <v>5128</v>
      </c>
      <c r="B947" s="309" t="s">
        <v>5129</v>
      </c>
      <c r="C947" s="308">
        <v>2</v>
      </c>
      <c r="D947" s="308" t="s">
        <v>5135</v>
      </c>
      <c r="E947" s="307">
        <v>4574</v>
      </c>
      <c r="F947" s="307">
        <v>58</v>
      </c>
      <c r="G947" s="308">
        <v>27.46</v>
      </c>
      <c r="H947" s="310">
        <f>Tabela1[[#This Row],[PESO UNI]]*Tabela1[[#This Row],[QTE]]</f>
        <v>54.92</v>
      </c>
      <c r="I947" s="307">
        <v>0</v>
      </c>
      <c r="J947" s="311" t="s">
        <v>3045</v>
      </c>
      <c r="K947" s="311" t="s">
        <v>4320</v>
      </c>
      <c r="L947" s="312" t="s">
        <v>2984</v>
      </c>
      <c r="M947" s="313">
        <v>46251</v>
      </c>
      <c r="N947" s="311" t="s">
        <v>5105</v>
      </c>
      <c r="O947" s="314"/>
      <c r="P947" s="315"/>
      <c r="Q947" s="14">
        <f>Tabela1[[#This Row],[QTDE/ Fabricação]]-Tabela1[[#This Row],[QTE]]</f>
        <v>-2</v>
      </c>
      <c r="R947" s="317">
        <f t="shared" si="189"/>
        <v>54.92</v>
      </c>
      <c r="S947" s="317">
        <f t="shared" si="190"/>
        <v>54.92</v>
      </c>
      <c r="T947" s="318">
        <f t="shared" si="191"/>
        <v>0</v>
      </c>
      <c r="U947" s="319">
        <f>IFERROR(SUMIF('LISTA DE EMBARQUE'!B:B,MICRO!E:E,'LISTA DE EMBARQUE'!G:G),"")</f>
        <v>2</v>
      </c>
      <c r="V947" s="314">
        <f>IFERROR(VLOOKUP(Tabela1[[#This Row],[COD.MDE]],'LISTA DE EMBARQUE'!B:L,11,0),"")</f>
        <v>9</v>
      </c>
      <c r="W947" s="315">
        <f>IFERROR(VLOOKUP(Tabela1[[#This Row],[COD.MDE]],'LISTA DE EMBARQUE'!B:M,12,0),"")</f>
        <v>46284</v>
      </c>
      <c r="X947" s="316">
        <f>IFERROR(Tabela1[[#This Row],[QIANTIDADE EXPEDIDA]]*Tabela1[[#This Row],[PESO UNI]],"")</f>
        <v>54.92</v>
      </c>
      <c r="Y947" s="316">
        <f t="shared" si="192"/>
        <v>0</v>
      </c>
      <c r="Z947" s="320">
        <f>Tabela1[[#This Row],[PESO TOTAL]]-Tabela1[[#This Row],[Peso Expedido]]</f>
        <v>0</v>
      </c>
      <c r="AA947" s="321">
        <v>1</v>
      </c>
      <c r="AB947" s="322"/>
      <c r="AC947" s="322">
        <v>1</v>
      </c>
      <c r="AD947" s="322">
        <v>1</v>
      </c>
      <c r="AE947" s="322">
        <v>1</v>
      </c>
      <c r="AF947" s="322">
        <v>1</v>
      </c>
      <c r="AG947" s="322">
        <v>1</v>
      </c>
      <c r="AH947" s="322">
        <v>1</v>
      </c>
      <c r="AI947" s="32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308" t="s">
        <v>5128</v>
      </c>
      <c r="B948" s="309" t="s">
        <v>5129</v>
      </c>
      <c r="C948" s="308">
        <v>2</v>
      </c>
      <c r="D948" s="308" t="s">
        <v>5137</v>
      </c>
      <c r="E948" s="307">
        <v>4575</v>
      </c>
      <c r="F948" s="307">
        <v>58</v>
      </c>
      <c r="G948" s="308">
        <v>71.62</v>
      </c>
      <c r="H948" s="310">
        <f>Tabela1[[#This Row],[PESO UNI]]*Tabela1[[#This Row],[QTE]]</f>
        <v>143.24</v>
      </c>
      <c r="I948" s="307">
        <v>0</v>
      </c>
      <c r="J948" s="311" t="s">
        <v>3045</v>
      </c>
      <c r="K948" s="311" t="s">
        <v>4320</v>
      </c>
      <c r="L948" s="312" t="s">
        <v>2984</v>
      </c>
      <c r="M948" s="313">
        <v>46251</v>
      </c>
      <c r="N948" s="311" t="s">
        <v>5105</v>
      </c>
      <c r="O948" s="314"/>
      <c r="P948" s="315"/>
      <c r="Q948" s="14">
        <f>Tabela1[[#This Row],[QTDE/ Fabricação]]-Tabela1[[#This Row],[QTE]]</f>
        <v>-2</v>
      </c>
      <c r="R948" s="317">
        <f t="shared" si="189"/>
        <v>143.24</v>
      </c>
      <c r="S948" s="317">
        <f t="shared" si="190"/>
        <v>143.24</v>
      </c>
      <c r="T948" s="318">
        <f t="shared" si="191"/>
        <v>0</v>
      </c>
      <c r="U948" s="319">
        <f>IFERROR(SUMIF('LISTA DE EMBARQUE'!B:B,MICRO!E:E,'LISTA DE EMBARQUE'!G:G),"")</f>
        <v>2</v>
      </c>
      <c r="V948" s="314">
        <f>IFERROR(VLOOKUP(Tabela1[[#This Row],[COD.MDE]],'LISTA DE EMBARQUE'!B:L,11,0),"")</f>
        <v>9</v>
      </c>
      <c r="W948" s="315">
        <f>IFERROR(VLOOKUP(Tabela1[[#This Row],[COD.MDE]],'LISTA DE EMBARQUE'!B:M,12,0),"")</f>
        <v>46284</v>
      </c>
      <c r="X948" s="316">
        <f>IFERROR(Tabela1[[#This Row],[QIANTIDADE EXPEDIDA]]*Tabela1[[#This Row],[PESO UNI]],"")</f>
        <v>143.24</v>
      </c>
      <c r="Y948" s="316">
        <f t="shared" si="192"/>
        <v>0</v>
      </c>
      <c r="Z948" s="320">
        <f>Tabela1[[#This Row],[PESO TOTAL]]-Tabela1[[#This Row],[Peso Expedido]]</f>
        <v>0</v>
      </c>
      <c r="AA948" s="321">
        <v>1</v>
      </c>
      <c r="AB948" s="322"/>
      <c r="AC948" s="322">
        <v>1</v>
      </c>
      <c r="AD948" s="322">
        <v>1</v>
      </c>
      <c r="AE948" s="322">
        <v>1</v>
      </c>
      <c r="AF948" s="322">
        <v>1</v>
      </c>
      <c r="AG948" s="322">
        <v>1</v>
      </c>
      <c r="AH948" s="322">
        <v>1</v>
      </c>
      <c r="AI948" s="32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308" t="s">
        <v>5128</v>
      </c>
      <c r="B949" s="309" t="s">
        <v>5129</v>
      </c>
      <c r="C949" s="308">
        <v>2</v>
      </c>
      <c r="D949" s="308" t="s">
        <v>5136</v>
      </c>
      <c r="E949" s="307">
        <v>4576</v>
      </c>
      <c r="F949" s="307">
        <v>58</v>
      </c>
      <c r="G949" s="308">
        <v>82.73</v>
      </c>
      <c r="H949" s="310">
        <f>Tabela1[[#This Row],[PESO UNI]]*Tabela1[[#This Row],[QTE]]</f>
        <v>165.46</v>
      </c>
      <c r="I949" s="307">
        <v>0</v>
      </c>
      <c r="J949" s="311" t="s">
        <v>3045</v>
      </c>
      <c r="K949" s="311" t="s">
        <v>4320</v>
      </c>
      <c r="L949" s="312" t="s">
        <v>2984</v>
      </c>
      <c r="M949" s="313">
        <v>46251</v>
      </c>
      <c r="N949" s="311" t="s">
        <v>5105</v>
      </c>
      <c r="O949" s="314"/>
      <c r="P949" s="315"/>
      <c r="Q949" s="14">
        <f>Tabela1[[#This Row],[QTDE/ Fabricação]]-Tabela1[[#This Row],[QTE]]</f>
        <v>-2</v>
      </c>
      <c r="R949" s="317">
        <f t="shared" si="189"/>
        <v>165.46</v>
      </c>
      <c r="S949" s="317">
        <f t="shared" si="190"/>
        <v>165.46</v>
      </c>
      <c r="T949" s="318">
        <f t="shared" si="191"/>
        <v>0</v>
      </c>
      <c r="U949" s="319">
        <f>IFERROR(SUMIF('LISTA DE EMBARQUE'!B:B,MICRO!E:E,'LISTA DE EMBARQUE'!G:G),"")</f>
        <v>2</v>
      </c>
      <c r="V949" s="314">
        <f>IFERROR(VLOOKUP(Tabela1[[#This Row],[COD.MDE]],'LISTA DE EMBARQUE'!B:L,11,0),"")</f>
        <v>9</v>
      </c>
      <c r="W949" s="315">
        <f>IFERROR(VLOOKUP(Tabela1[[#This Row],[COD.MDE]],'LISTA DE EMBARQUE'!B:M,12,0),"")</f>
        <v>46284</v>
      </c>
      <c r="X949" s="316">
        <f>IFERROR(Tabela1[[#This Row],[QIANTIDADE EXPEDIDA]]*Tabela1[[#This Row],[PESO UNI]],"")</f>
        <v>165.46</v>
      </c>
      <c r="Y949" s="316">
        <f t="shared" si="192"/>
        <v>0</v>
      </c>
      <c r="Z949" s="320">
        <f>Tabela1[[#This Row],[PESO TOTAL]]-Tabela1[[#This Row],[Peso Expedido]]</f>
        <v>0</v>
      </c>
      <c r="AA949" s="321">
        <v>1</v>
      </c>
      <c r="AB949" s="322"/>
      <c r="AC949" s="322">
        <v>1</v>
      </c>
      <c r="AD949" s="322">
        <v>1</v>
      </c>
      <c r="AE949" s="322">
        <v>1</v>
      </c>
      <c r="AF949" s="322">
        <v>1</v>
      </c>
      <c r="AG949" s="322">
        <v>1</v>
      </c>
      <c r="AH949" s="322">
        <v>1</v>
      </c>
      <c r="AI949" s="32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308" t="s">
        <v>5138</v>
      </c>
      <c r="B950" s="309" t="s">
        <v>5139</v>
      </c>
      <c r="C950" s="308">
        <v>1</v>
      </c>
      <c r="D950" s="308" t="s">
        <v>5140</v>
      </c>
      <c r="E950" s="307">
        <v>4577</v>
      </c>
      <c r="F950" s="307">
        <v>58</v>
      </c>
      <c r="G950" s="308">
        <v>92.27</v>
      </c>
      <c r="H950" s="310">
        <f>Tabela1[[#This Row],[PESO UNI]]*Tabela1[[#This Row],[QTE]]</f>
        <v>92.27</v>
      </c>
      <c r="I950" s="307">
        <v>0</v>
      </c>
      <c r="J950" s="311" t="s">
        <v>3045</v>
      </c>
      <c r="K950" s="311" t="s">
        <v>4320</v>
      </c>
      <c r="L950" s="312" t="s">
        <v>2984</v>
      </c>
      <c r="M950" s="313">
        <v>46251</v>
      </c>
      <c r="N950" s="311" t="s">
        <v>5105</v>
      </c>
      <c r="O950" s="314"/>
      <c r="P950" s="315"/>
      <c r="Q950" s="14">
        <f>Tabela1[[#This Row],[QTDE/ Fabricação]]-Tabela1[[#This Row],[QTE]]</f>
        <v>-1</v>
      </c>
      <c r="R950" s="317">
        <f t="shared" si="189"/>
        <v>92.27</v>
      </c>
      <c r="S950" s="317">
        <f t="shared" si="190"/>
        <v>92.27</v>
      </c>
      <c r="T950" s="318">
        <f t="shared" si="191"/>
        <v>0</v>
      </c>
      <c r="U950" s="319">
        <f>IFERROR(SUMIF('LISTA DE EMBARQUE'!B:B,MICRO!E:E,'LISTA DE EMBARQUE'!G:G),"")</f>
        <v>1</v>
      </c>
      <c r="V950" s="314">
        <f>IFERROR(VLOOKUP(Tabela1[[#This Row],[COD.MDE]],'LISTA DE EMBARQUE'!B:L,11,0),"")</f>
        <v>9</v>
      </c>
      <c r="W950" s="315">
        <f>IFERROR(VLOOKUP(Tabela1[[#This Row],[COD.MDE]],'LISTA DE EMBARQUE'!B:M,12,0),"")</f>
        <v>46284</v>
      </c>
      <c r="X950" s="316">
        <f>IFERROR(Tabela1[[#This Row],[QIANTIDADE EXPEDIDA]]*Tabela1[[#This Row],[PESO UNI]],"")</f>
        <v>92.27</v>
      </c>
      <c r="Y950" s="316">
        <f t="shared" si="192"/>
        <v>0</v>
      </c>
      <c r="Z950" s="320">
        <f>Tabela1[[#This Row],[PESO TOTAL]]-Tabela1[[#This Row],[Peso Expedido]]</f>
        <v>0</v>
      </c>
      <c r="AA950" s="321">
        <v>1</v>
      </c>
      <c r="AB950" s="322"/>
      <c r="AC950" s="322">
        <v>1</v>
      </c>
      <c r="AD950" s="322">
        <v>1</v>
      </c>
      <c r="AE950" s="322">
        <v>1</v>
      </c>
      <c r="AF950" s="322">
        <v>1</v>
      </c>
      <c r="AG950" s="322">
        <v>1</v>
      </c>
      <c r="AH950" s="322">
        <v>1</v>
      </c>
      <c r="AI950" s="32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308" t="s">
        <v>5138</v>
      </c>
      <c r="B951" s="309" t="s">
        <v>5139</v>
      </c>
      <c r="C951" s="308">
        <v>1</v>
      </c>
      <c r="D951" s="308" t="s">
        <v>5141</v>
      </c>
      <c r="E951" s="307">
        <v>4578</v>
      </c>
      <c r="F951" s="307">
        <v>58</v>
      </c>
      <c r="G951" s="308">
        <v>93.32</v>
      </c>
      <c r="H951" s="310">
        <f>Tabela1[[#This Row],[PESO UNI]]*Tabela1[[#This Row],[QTE]]</f>
        <v>93.32</v>
      </c>
      <c r="I951" s="307">
        <v>0</v>
      </c>
      <c r="J951" s="311" t="s">
        <v>3045</v>
      </c>
      <c r="K951" s="311" t="s">
        <v>4320</v>
      </c>
      <c r="L951" s="312" t="s">
        <v>2984</v>
      </c>
      <c r="M951" s="313">
        <v>46251</v>
      </c>
      <c r="N951" s="311" t="s">
        <v>5105</v>
      </c>
      <c r="O951" s="314"/>
      <c r="P951" s="315"/>
      <c r="Q951" s="14">
        <f>Tabela1[[#This Row],[QTDE/ Fabricação]]-Tabela1[[#This Row],[QTE]]</f>
        <v>-1</v>
      </c>
      <c r="R951" s="317">
        <f t="shared" si="189"/>
        <v>93.32</v>
      </c>
      <c r="S951" s="317">
        <f t="shared" si="190"/>
        <v>93.32</v>
      </c>
      <c r="T951" s="318">
        <f t="shared" si="191"/>
        <v>0</v>
      </c>
      <c r="U951" s="319">
        <f>IFERROR(SUMIF('LISTA DE EMBARQUE'!B:B,MICRO!E:E,'LISTA DE EMBARQUE'!G:G),"")</f>
        <v>1</v>
      </c>
      <c r="V951" s="314">
        <f>IFERROR(VLOOKUP(Tabela1[[#This Row],[COD.MDE]],'LISTA DE EMBARQUE'!B:L,11,0),"")</f>
        <v>9</v>
      </c>
      <c r="W951" s="315">
        <f>IFERROR(VLOOKUP(Tabela1[[#This Row],[COD.MDE]],'LISTA DE EMBARQUE'!B:M,12,0),"")</f>
        <v>46284</v>
      </c>
      <c r="X951" s="316">
        <f>IFERROR(Tabela1[[#This Row],[QIANTIDADE EXPEDIDA]]*Tabela1[[#This Row],[PESO UNI]],"")</f>
        <v>93.32</v>
      </c>
      <c r="Y951" s="316">
        <f t="shared" si="192"/>
        <v>0</v>
      </c>
      <c r="Z951" s="320">
        <f>Tabela1[[#This Row],[PESO TOTAL]]-Tabela1[[#This Row],[Peso Expedido]]</f>
        <v>0</v>
      </c>
      <c r="AA951" s="321">
        <v>1</v>
      </c>
      <c r="AB951" s="322"/>
      <c r="AC951" s="322">
        <v>1</v>
      </c>
      <c r="AD951" s="322">
        <v>1</v>
      </c>
      <c r="AE951" s="322">
        <v>1</v>
      </c>
      <c r="AF951" s="322">
        <v>1</v>
      </c>
      <c r="AG951" s="322">
        <v>1</v>
      </c>
      <c r="AH951" s="322">
        <v>1</v>
      </c>
      <c r="AI951" s="32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308" t="s">
        <v>5138</v>
      </c>
      <c r="B952" s="309" t="s">
        <v>5139</v>
      </c>
      <c r="C952" s="308">
        <v>1</v>
      </c>
      <c r="D952" s="308" t="s">
        <v>5142</v>
      </c>
      <c r="E952" s="307">
        <v>4579</v>
      </c>
      <c r="F952" s="307">
        <v>58</v>
      </c>
      <c r="G952" s="308">
        <v>60.64</v>
      </c>
      <c r="H952" s="310">
        <f>Tabela1[[#This Row],[PESO UNI]]*Tabela1[[#This Row],[QTE]]</f>
        <v>60.64</v>
      </c>
      <c r="I952" s="307">
        <v>0</v>
      </c>
      <c r="J952" s="311" t="s">
        <v>3045</v>
      </c>
      <c r="K952" s="311" t="s">
        <v>4320</v>
      </c>
      <c r="L952" s="312" t="s">
        <v>2984</v>
      </c>
      <c r="M952" s="313">
        <v>46251</v>
      </c>
      <c r="N952" s="311" t="s">
        <v>5105</v>
      </c>
      <c r="O952" s="314"/>
      <c r="P952" s="315"/>
      <c r="Q952" s="14">
        <f>Tabela1[[#This Row],[QTDE/ Fabricação]]-Tabela1[[#This Row],[QTE]]</f>
        <v>-1</v>
      </c>
      <c r="R952" s="317">
        <f t="shared" si="189"/>
        <v>60.64</v>
      </c>
      <c r="S952" s="317">
        <f t="shared" si="190"/>
        <v>60.64</v>
      </c>
      <c r="T952" s="318">
        <f t="shared" si="191"/>
        <v>0</v>
      </c>
      <c r="U952" s="319">
        <f>IFERROR(SUMIF('LISTA DE EMBARQUE'!B:B,MICRO!E:E,'LISTA DE EMBARQUE'!G:G),"")</f>
        <v>1</v>
      </c>
      <c r="V952" s="314">
        <f>IFERROR(VLOOKUP(Tabela1[[#This Row],[COD.MDE]],'LISTA DE EMBARQUE'!B:L,11,0),"")</f>
        <v>9</v>
      </c>
      <c r="W952" s="315">
        <f>IFERROR(VLOOKUP(Tabela1[[#This Row],[COD.MDE]],'LISTA DE EMBARQUE'!B:M,12,0),"")</f>
        <v>46284</v>
      </c>
      <c r="X952" s="316">
        <f>IFERROR(Tabela1[[#This Row],[QIANTIDADE EXPEDIDA]]*Tabela1[[#This Row],[PESO UNI]],"")</f>
        <v>60.64</v>
      </c>
      <c r="Y952" s="316">
        <f t="shared" si="192"/>
        <v>0</v>
      </c>
      <c r="Z952" s="320">
        <f>Tabela1[[#This Row],[PESO TOTAL]]-Tabela1[[#This Row],[Peso Expedido]]</f>
        <v>0</v>
      </c>
      <c r="AA952" s="321">
        <v>1</v>
      </c>
      <c r="AB952" s="322"/>
      <c r="AC952" s="322">
        <v>1</v>
      </c>
      <c r="AD952" s="322">
        <v>1</v>
      </c>
      <c r="AE952" s="322">
        <v>1</v>
      </c>
      <c r="AF952" s="322">
        <v>1</v>
      </c>
      <c r="AG952" s="322">
        <v>1</v>
      </c>
      <c r="AH952" s="322">
        <v>1</v>
      </c>
      <c r="AI952" s="32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308" t="s">
        <v>5138</v>
      </c>
      <c r="B953" s="309" t="s">
        <v>5139</v>
      </c>
      <c r="C953" s="308">
        <v>2</v>
      </c>
      <c r="D953" s="308" t="s">
        <v>5143</v>
      </c>
      <c r="E953" s="307">
        <v>4580</v>
      </c>
      <c r="F953" s="307">
        <v>58</v>
      </c>
      <c r="G953" s="308">
        <v>91.98</v>
      </c>
      <c r="H953" s="310">
        <f>Tabela1[[#This Row],[PESO UNI]]*Tabela1[[#This Row],[QTE]]</f>
        <v>183.96</v>
      </c>
      <c r="I953" s="307">
        <v>0</v>
      </c>
      <c r="J953" s="311" t="s">
        <v>3045</v>
      </c>
      <c r="K953" s="311" t="s">
        <v>4320</v>
      </c>
      <c r="L953" s="312" t="s">
        <v>2984</v>
      </c>
      <c r="M953" s="313">
        <v>46251</v>
      </c>
      <c r="N953" s="311" t="s">
        <v>5105</v>
      </c>
      <c r="O953" s="314"/>
      <c r="P953" s="315"/>
      <c r="Q953" s="14">
        <f>Tabela1[[#This Row],[QTDE/ Fabricação]]-Tabela1[[#This Row],[QTE]]</f>
        <v>-2</v>
      </c>
      <c r="R953" s="317" t="str">
        <f>IFERROR(H953*((AA953*0.25)+(#REF!*0.25)+(#REF!*0.225)+(#REF!*0.225)+(#REF!*0.05)),"")</f>
        <v/>
      </c>
      <c r="S953" s="317" t="str">
        <f>IFERROR(H953*#REF!,"")</f>
        <v/>
      </c>
      <c r="T953" s="318" t="str">
        <f t="shared" si="191"/>
        <v/>
      </c>
      <c r="U953" s="319">
        <f>IFERROR(SUMIF('LISTA DE EMBARQUE'!B:B,MICRO!E:E,'LISTA DE EMBARQUE'!G:G),"")</f>
        <v>2</v>
      </c>
      <c r="V953" s="314">
        <f>IFERROR(VLOOKUP(Tabela1[[#This Row],[COD.MDE]],'LISTA DE EMBARQUE'!B:L,11,0),"")</f>
        <v>9</v>
      </c>
      <c r="W953" s="315">
        <f>IFERROR(VLOOKUP(Tabela1[[#This Row],[COD.MDE]],'LISTA DE EMBARQUE'!B:M,12,0),"")</f>
        <v>46284</v>
      </c>
      <c r="X953" s="316">
        <f>IFERROR(Tabela1[[#This Row],[QIANTIDADE EXPEDIDA]]*Tabela1[[#This Row],[PESO UNI]],"")</f>
        <v>183.96</v>
      </c>
      <c r="Y953" s="316">
        <f t="shared" si="192"/>
        <v>0</v>
      </c>
      <c r="Z953" s="320">
        <f>Tabela1[[#This Row],[PESO TOTAL]]-Tabela1[[#This Row],[Peso Expedido]]</f>
        <v>0</v>
      </c>
      <c r="AA953" s="321">
        <v>1</v>
      </c>
      <c r="AB953" s="322"/>
      <c r="AC953" s="322">
        <v>1</v>
      </c>
      <c r="AD953" s="322">
        <v>1</v>
      </c>
      <c r="AE953" s="322">
        <v>1</v>
      </c>
      <c r="AF953" s="322">
        <v>1</v>
      </c>
      <c r="AG953" s="322">
        <v>1</v>
      </c>
      <c r="AH953" s="322">
        <v>1</v>
      </c>
      <c r="AI953" s="32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308" t="s">
        <v>5138</v>
      </c>
      <c r="B954" s="309" t="s">
        <v>5139</v>
      </c>
      <c r="C954" s="308">
        <v>1</v>
      </c>
      <c r="D954" s="308" t="s">
        <v>5144</v>
      </c>
      <c r="E954" s="307">
        <v>4581</v>
      </c>
      <c r="F954" s="307">
        <v>58</v>
      </c>
      <c r="G954" s="308">
        <v>26.04</v>
      </c>
      <c r="H954" s="310">
        <f>Tabela1[[#This Row],[PESO UNI]]*Tabela1[[#This Row],[QTE]]</f>
        <v>26.04</v>
      </c>
      <c r="I954" s="307">
        <v>0</v>
      </c>
      <c r="J954" s="311" t="s">
        <v>3045</v>
      </c>
      <c r="K954" s="311" t="s">
        <v>4320</v>
      </c>
      <c r="L954" s="312" t="s">
        <v>2984</v>
      </c>
      <c r="M954" s="313">
        <v>46251</v>
      </c>
      <c r="N954" s="311" t="s">
        <v>5105</v>
      </c>
      <c r="O954" s="314"/>
      <c r="P954" s="315"/>
      <c r="Q954" s="14">
        <f>Tabela1[[#This Row],[QTDE/ Fabricação]]-Tabela1[[#This Row],[QTE]]</f>
        <v>-1</v>
      </c>
      <c r="R954" s="317">
        <f>IFERROR(H954*((AA954*0.25)+(AC953*0.25)+(AD953*0.225)+(AE953*0.225)+(AF953*0.05)),"")</f>
        <v>26.04</v>
      </c>
      <c r="S954" s="317">
        <f>IFERROR(H954*AG953,"")</f>
        <v>26.04</v>
      </c>
      <c r="T954" s="318">
        <f t="shared" si="191"/>
        <v>0</v>
      </c>
      <c r="U954" s="319">
        <f>IFERROR(SUMIF('LISTA DE EMBARQUE'!B:B,MICRO!E:E,'LISTA DE EMBARQUE'!G:G),"")</f>
        <v>1</v>
      </c>
      <c r="V954" s="314">
        <f>IFERROR(VLOOKUP(Tabela1[[#This Row],[COD.MDE]],'LISTA DE EMBARQUE'!B:L,11,0),"")</f>
        <v>9</v>
      </c>
      <c r="W954" s="315">
        <f>IFERROR(VLOOKUP(Tabela1[[#This Row],[COD.MDE]],'LISTA DE EMBARQUE'!B:M,12,0),"")</f>
        <v>46284</v>
      </c>
      <c r="X954" s="316">
        <f>IFERROR(Tabela1[[#This Row],[QIANTIDADE EXPEDIDA]]*Tabela1[[#This Row],[PESO UNI]],"")</f>
        <v>26.04</v>
      </c>
      <c r="Y954" s="316">
        <f t="shared" si="192"/>
        <v>0</v>
      </c>
      <c r="Z954" s="320">
        <f>Tabela1[[#This Row],[PESO TOTAL]]-Tabela1[[#This Row],[Peso Expedido]]</f>
        <v>0</v>
      </c>
      <c r="AA954" s="321">
        <v>1</v>
      </c>
      <c r="AB954" s="322"/>
      <c r="AC954" s="322">
        <v>1</v>
      </c>
      <c r="AD954" s="322">
        <v>1</v>
      </c>
      <c r="AE954" s="322">
        <v>1</v>
      </c>
      <c r="AF954" s="322">
        <v>1</v>
      </c>
      <c r="AG954" s="322">
        <v>1</v>
      </c>
      <c r="AH954" s="322">
        <v>1</v>
      </c>
      <c r="AI954" s="32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308" t="s">
        <v>5138</v>
      </c>
      <c r="B955" s="309" t="s">
        <v>5139</v>
      </c>
      <c r="C955" s="308">
        <v>1</v>
      </c>
      <c r="D955" s="308" t="s">
        <v>5145</v>
      </c>
      <c r="E955" s="307">
        <v>4582</v>
      </c>
      <c r="F955" s="307">
        <v>58</v>
      </c>
      <c r="G955" s="308">
        <v>26.04</v>
      </c>
      <c r="H955" s="310">
        <f>Tabela1[[#This Row],[PESO UNI]]*Tabela1[[#This Row],[QTE]]</f>
        <v>26.04</v>
      </c>
      <c r="I955" s="307">
        <v>0</v>
      </c>
      <c r="J955" s="311" t="s">
        <v>3045</v>
      </c>
      <c r="K955" s="311" t="s">
        <v>4320</v>
      </c>
      <c r="L955" s="312" t="s">
        <v>2984</v>
      </c>
      <c r="M955" s="313">
        <v>46251</v>
      </c>
      <c r="N955" s="311" t="s">
        <v>5105</v>
      </c>
      <c r="O955" s="314"/>
      <c r="P955" s="315"/>
      <c r="Q955" s="14">
        <f>Tabela1[[#This Row],[QTDE/ Fabricação]]-Tabela1[[#This Row],[QTE]]</f>
        <v>-1</v>
      </c>
      <c r="R955" s="317">
        <f t="shared" si="189"/>
        <v>26.04</v>
      </c>
      <c r="S955" s="317">
        <f t="shared" si="190"/>
        <v>26.04</v>
      </c>
      <c r="T955" s="318">
        <f t="shared" si="191"/>
        <v>0</v>
      </c>
      <c r="U955" s="319">
        <f>IFERROR(SUMIF('LISTA DE EMBARQUE'!B:B,MICRO!E:E,'LISTA DE EMBARQUE'!G:G),"")</f>
        <v>1</v>
      </c>
      <c r="V955" s="314">
        <f>IFERROR(VLOOKUP(Tabela1[[#This Row],[COD.MDE]],'LISTA DE EMBARQUE'!B:L,11,0),"")</f>
        <v>9</v>
      </c>
      <c r="W955" s="315">
        <f>IFERROR(VLOOKUP(Tabela1[[#This Row],[COD.MDE]],'LISTA DE EMBARQUE'!B:M,12,0),"")</f>
        <v>46284</v>
      </c>
      <c r="X955" s="316">
        <f>IFERROR(Tabela1[[#This Row],[QIANTIDADE EXPEDIDA]]*Tabela1[[#This Row],[PESO UNI]],"")</f>
        <v>26.04</v>
      </c>
      <c r="Y955" s="316">
        <f t="shared" si="192"/>
        <v>0</v>
      </c>
      <c r="Z955" s="320">
        <f>Tabela1[[#This Row],[PESO TOTAL]]-Tabela1[[#This Row],[Peso Expedido]]</f>
        <v>0</v>
      </c>
      <c r="AA955" s="321">
        <v>1</v>
      </c>
      <c r="AB955" s="322"/>
      <c r="AC955" s="322">
        <v>1</v>
      </c>
      <c r="AD955" s="322">
        <v>1</v>
      </c>
      <c r="AE955" s="322">
        <v>1</v>
      </c>
      <c r="AF955" s="322">
        <v>1</v>
      </c>
      <c r="AG955" s="322">
        <v>1</v>
      </c>
      <c r="AH955" s="322">
        <v>1</v>
      </c>
      <c r="AI955" s="32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308" t="s">
        <v>5138</v>
      </c>
      <c r="B956" s="309" t="s">
        <v>5139</v>
      </c>
      <c r="C956" s="308">
        <v>1</v>
      </c>
      <c r="D956" s="308" t="s">
        <v>5146</v>
      </c>
      <c r="E956" s="307">
        <v>4583</v>
      </c>
      <c r="F956" s="307">
        <v>58</v>
      </c>
      <c r="G956" s="308">
        <v>177.93</v>
      </c>
      <c r="H956" s="310">
        <f>Tabela1[[#This Row],[PESO UNI]]*Tabela1[[#This Row],[QTE]]</f>
        <v>177.93</v>
      </c>
      <c r="I956" s="307">
        <v>0</v>
      </c>
      <c r="J956" s="311" t="s">
        <v>3045</v>
      </c>
      <c r="K956" s="311" t="s">
        <v>4320</v>
      </c>
      <c r="L956" s="312" t="s">
        <v>2984</v>
      </c>
      <c r="M956" s="313">
        <v>46251</v>
      </c>
      <c r="N956" s="311" t="s">
        <v>5105</v>
      </c>
      <c r="O956" s="314"/>
      <c r="P956" s="315"/>
      <c r="Q956" s="14">
        <f>Tabela1[[#This Row],[QTDE/ Fabricação]]-Tabela1[[#This Row],[QTE]]</f>
        <v>-1</v>
      </c>
      <c r="R956" s="317">
        <f t="shared" si="189"/>
        <v>177.93</v>
      </c>
      <c r="S956" s="317">
        <f t="shared" si="190"/>
        <v>177.93</v>
      </c>
      <c r="T956" s="318">
        <f t="shared" si="191"/>
        <v>0</v>
      </c>
      <c r="U956" s="319">
        <f>IFERROR(SUMIF('LISTA DE EMBARQUE'!B:B,MICRO!E:E,'LISTA DE EMBARQUE'!G:G),"")</f>
        <v>1</v>
      </c>
      <c r="V956" s="314">
        <f>IFERROR(VLOOKUP(Tabela1[[#This Row],[COD.MDE]],'LISTA DE EMBARQUE'!B:L,11,0),"")</f>
        <v>9</v>
      </c>
      <c r="W956" s="315">
        <f>IFERROR(VLOOKUP(Tabela1[[#This Row],[COD.MDE]],'LISTA DE EMBARQUE'!B:M,12,0),"")</f>
        <v>46284</v>
      </c>
      <c r="X956" s="316">
        <f>IFERROR(Tabela1[[#This Row],[QIANTIDADE EXPEDIDA]]*Tabela1[[#This Row],[PESO UNI]],"")</f>
        <v>177.93</v>
      </c>
      <c r="Y956" s="316">
        <f t="shared" si="192"/>
        <v>0</v>
      </c>
      <c r="Z956" s="320">
        <f>Tabela1[[#This Row],[PESO TOTAL]]-Tabela1[[#This Row],[Peso Expedido]]</f>
        <v>0</v>
      </c>
      <c r="AA956" s="321">
        <v>1</v>
      </c>
      <c r="AB956" s="322"/>
      <c r="AC956" s="322">
        <v>1</v>
      </c>
      <c r="AD956" s="322">
        <v>1</v>
      </c>
      <c r="AE956" s="322">
        <v>1</v>
      </c>
      <c r="AF956" s="322">
        <v>1</v>
      </c>
      <c r="AG956" s="322">
        <v>1</v>
      </c>
      <c r="AH956" s="322">
        <v>1</v>
      </c>
      <c r="AI956" s="32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308" t="s">
        <v>5138</v>
      </c>
      <c r="B957" s="309" t="s">
        <v>5139</v>
      </c>
      <c r="C957" s="308">
        <v>1</v>
      </c>
      <c r="D957" s="308" t="s">
        <v>5147</v>
      </c>
      <c r="E957" s="307">
        <v>4584</v>
      </c>
      <c r="F957" s="307">
        <v>58</v>
      </c>
      <c r="G957" s="308">
        <v>177.93</v>
      </c>
      <c r="H957" s="310">
        <f>Tabela1[[#This Row],[PESO UNI]]*Tabela1[[#This Row],[QTE]]</f>
        <v>177.93</v>
      </c>
      <c r="I957" s="307">
        <v>0</v>
      </c>
      <c r="J957" s="311" t="s">
        <v>3045</v>
      </c>
      <c r="K957" s="311" t="s">
        <v>4320</v>
      </c>
      <c r="L957" s="312" t="s">
        <v>2984</v>
      </c>
      <c r="M957" s="313">
        <v>46251</v>
      </c>
      <c r="N957" s="311" t="s">
        <v>5105</v>
      </c>
      <c r="O957" s="314"/>
      <c r="P957" s="315"/>
      <c r="Q957" s="14">
        <f>Tabela1[[#This Row],[QTDE/ Fabricação]]-Tabela1[[#This Row],[QTE]]</f>
        <v>-1</v>
      </c>
      <c r="R957" s="317">
        <f t="shared" si="189"/>
        <v>177.93</v>
      </c>
      <c r="S957" s="317">
        <f t="shared" si="190"/>
        <v>177.93</v>
      </c>
      <c r="T957" s="318">
        <f t="shared" si="191"/>
        <v>0</v>
      </c>
      <c r="U957" s="319">
        <f>IFERROR(SUMIF('LISTA DE EMBARQUE'!B:B,MICRO!E:E,'LISTA DE EMBARQUE'!G:G),"")</f>
        <v>1</v>
      </c>
      <c r="V957" s="314">
        <f>IFERROR(VLOOKUP(Tabela1[[#This Row],[COD.MDE]],'LISTA DE EMBARQUE'!B:L,11,0),"")</f>
        <v>9</v>
      </c>
      <c r="W957" s="315">
        <f>IFERROR(VLOOKUP(Tabela1[[#This Row],[COD.MDE]],'LISTA DE EMBARQUE'!B:M,12,0),"")</f>
        <v>46284</v>
      </c>
      <c r="X957" s="316">
        <f>IFERROR(Tabela1[[#This Row],[QIANTIDADE EXPEDIDA]]*Tabela1[[#This Row],[PESO UNI]],"")</f>
        <v>177.93</v>
      </c>
      <c r="Y957" s="316">
        <f t="shared" si="192"/>
        <v>0</v>
      </c>
      <c r="Z957" s="320">
        <f>Tabela1[[#This Row],[PESO TOTAL]]-Tabela1[[#This Row],[Peso Expedido]]</f>
        <v>0</v>
      </c>
      <c r="AA957" s="321">
        <v>1</v>
      </c>
      <c r="AB957" s="322"/>
      <c r="AC957" s="322">
        <v>1</v>
      </c>
      <c r="AD957" s="322">
        <v>1</v>
      </c>
      <c r="AE957" s="322">
        <v>1</v>
      </c>
      <c r="AF957" s="322">
        <v>1</v>
      </c>
      <c r="AG957" s="322">
        <v>1</v>
      </c>
      <c r="AH957" s="322">
        <v>1</v>
      </c>
      <c r="AI957" s="32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308" t="s">
        <v>5161</v>
      </c>
      <c r="B969" s="309" t="s">
        <v>5162</v>
      </c>
      <c r="C969" s="308">
        <v>2</v>
      </c>
      <c r="D969" s="308" t="s">
        <v>5163</v>
      </c>
      <c r="E969" s="307">
        <v>4596</v>
      </c>
      <c r="F969" s="307">
        <v>58</v>
      </c>
      <c r="G969" s="308">
        <v>96.54</v>
      </c>
      <c r="H969" s="310">
        <f>Tabela1[[#This Row],[PESO UNI]]*Tabela1[[#This Row],[QTE]]</f>
        <v>193.08</v>
      </c>
      <c r="I969" s="307">
        <v>0</v>
      </c>
      <c r="J969" s="311" t="s">
        <v>3045</v>
      </c>
      <c r="K969" s="311" t="s">
        <v>4320</v>
      </c>
      <c r="L969" s="312" t="s">
        <v>2984</v>
      </c>
      <c r="M969" s="313">
        <v>46251</v>
      </c>
      <c r="N969" s="311" t="s">
        <v>5105</v>
      </c>
      <c r="O969" s="314"/>
      <c r="P969" s="315"/>
      <c r="Q969" s="14">
        <f>Tabela1[[#This Row],[QTDE/ Fabricação]]-Tabela1[[#This Row],[QTE]]</f>
        <v>-2</v>
      </c>
      <c r="R969" s="317">
        <f t="shared" si="193"/>
        <v>193.08</v>
      </c>
      <c r="S969" s="317">
        <f t="shared" si="194"/>
        <v>193.08</v>
      </c>
      <c r="T969" s="318">
        <f t="shared" si="195"/>
        <v>0</v>
      </c>
      <c r="U969" s="319">
        <f>IFERROR(SUMIF('LISTA DE EMBARQUE'!B:B,MICRO!E:E,'LISTA DE EMBARQUE'!G:G),"")</f>
        <v>2</v>
      </c>
      <c r="V969" s="314">
        <f>IFERROR(VLOOKUP(Tabela1[[#This Row],[COD.MDE]],'LISTA DE EMBARQUE'!B:L,11,0),"")</f>
        <v>9</v>
      </c>
      <c r="W969" s="315">
        <f>IFERROR(VLOOKUP(Tabela1[[#This Row],[COD.MDE]],'LISTA DE EMBARQUE'!B:M,12,0),"")</f>
        <v>46284</v>
      </c>
      <c r="X969" s="316">
        <f>IFERROR(Tabela1[[#This Row],[QIANTIDADE EXPEDIDA]]*Tabela1[[#This Row],[PESO UNI]],"")</f>
        <v>193.08</v>
      </c>
      <c r="Y969" s="316">
        <f t="shared" si="196"/>
        <v>0</v>
      </c>
      <c r="Z969" s="320">
        <f>Tabela1[[#This Row],[PESO TOTAL]]-Tabela1[[#This Row],[Peso Expedido]]</f>
        <v>0</v>
      </c>
      <c r="AA969" s="321">
        <v>1</v>
      </c>
      <c r="AB969" s="322"/>
      <c r="AC969" s="322">
        <v>1</v>
      </c>
      <c r="AD969" s="322">
        <v>1</v>
      </c>
      <c r="AE969" s="322">
        <v>1</v>
      </c>
      <c r="AF969" s="322">
        <v>1</v>
      </c>
      <c r="AG969" s="322">
        <v>1</v>
      </c>
      <c r="AH969" s="322">
        <v>1</v>
      </c>
      <c r="AI969" s="322" t="s">
        <v>4509</v>
      </c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308" t="s">
        <v>5161</v>
      </c>
      <c r="B970" s="309" t="s">
        <v>5162</v>
      </c>
      <c r="C970" s="308">
        <v>2</v>
      </c>
      <c r="D970" s="308" t="s">
        <v>5164</v>
      </c>
      <c r="E970" s="307">
        <v>4597</v>
      </c>
      <c r="F970" s="307">
        <v>58</v>
      </c>
      <c r="G970" s="308">
        <v>112.63</v>
      </c>
      <c r="H970" s="310">
        <f>Tabela1[[#This Row],[PESO UNI]]*Tabela1[[#This Row],[QTE]]</f>
        <v>225.26</v>
      </c>
      <c r="I970" s="307">
        <v>0</v>
      </c>
      <c r="J970" s="311" t="s">
        <v>3045</v>
      </c>
      <c r="K970" s="311" t="s">
        <v>4320</v>
      </c>
      <c r="L970" s="312" t="s">
        <v>2984</v>
      </c>
      <c r="M970" s="313">
        <v>46251</v>
      </c>
      <c r="N970" s="311" t="s">
        <v>5105</v>
      </c>
      <c r="O970" s="314"/>
      <c r="P970" s="315"/>
      <c r="Q970" s="14">
        <f>Tabela1[[#This Row],[QTDE/ Fabricação]]-Tabela1[[#This Row],[QTE]]</f>
        <v>-2</v>
      </c>
      <c r="R970" s="317">
        <f t="shared" si="193"/>
        <v>225.26</v>
      </c>
      <c r="S970" s="317">
        <f t="shared" si="194"/>
        <v>225.26</v>
      </c>
      <c r="T970" s="318">
        <f t="shared" si="195"/>
        <v>0</v>
      </c>
      <c r="U970" s="319">
        <f>IFERROR(SUMIF('LISTA DE EMBARQUE'!B:B,MICRO!E:E,'LISTA DE EMBARQUE'!G:G),"")</f>
        <v>2</v>
      </c>
      <c r="V970" s="314">
        <f>IFERROR(VLOOKUP(Tabela1[[#This Row],[COD.MDE]],'LISTA DE EMBARQUE'!B:L,11,0),"")</f>
        <v>9</v>
      </c>
      <c r="W970" s="315">
        <f>IFERROR(VLOOKUP(Tabela1[[#This Row],[COD.MDE]],'LISTA DE EMBARQUE'!B:M,12,0),"")</f>
        <v>46284</v>
      </c>
      <c r="X970" s="316">
        <f>IFERROR(Tabela1[[#This Row],[QIANTIDADE EXPEDIDA]]*Tabela1[[#This Row],[PESO UNI]],"")</f>
        <v>225.26</v>
      </c>
      <c r="Y970" s="316">
        <f t="shared" si="196"/>
        <v>0</v>
      </c>
      <c r="Z970" s="320">
        <f>Tabela1[[#This Row],[PESO TOTAL]]-Tabela1[[#This Row],[Peso Expedido]]</f>
        <v>0</v>
      </c>
      <c r="AA970" s="321">
        <v>1</v>
      </c>
      <c r="AB970" s="322"/>
      <c r="AC970" s="322">
        <v>1</v>
      </c>
      <c r="AD970" s="322">
        <v>1</v>
      </c>
      <c r="AE970" s="322">
        <v>1</v>
      </c>
      <c r="AF970" s="322">
        <v>1</v>
      </c>
      <c r="AG970" s="322">
        <v>1</v>
      </c>
      <c r="AH970" s="322">
        <v>1</v>
      </c>
      <c r="AI970" s="32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308" t="s">
        <v>5161</v>
      </c>
      <c r="B971" s="309" t="s">
        <v>5162</v>
      </c>
      <c r="C971" s="308">
        <v>1</v>
      </c>
      <c r="D971" s="308" t="s">
        <v>5165</v>
      </c>
      <c r="E971" s="307">
        <v>4598</v>
      </c>
      <c r="F971" s="307">
        <v>58</v>
      </c>
      <c r="G971" s="308">
        <v>89.11</v>
      </c>
      <c r="H971" s="310">
        <f>Tabela1[[#This Row],[PESO UNI]]*Tabela1[[#This Row],[QTE]]</f>
        <v>89.11</v>
      </c>
      <c r="I971" s="307">
        <v>0</v>
      </c>
      <c r="J971" s="311" t="s">
        <v>3045</v>
      </c>
      <c r="K971" s="311" t="s">
        <v>4320</v>
      </c>
      <c r="L971" s="312" t="s">
        <v>2984</v>
      </c>
      <c r="M971" s="313">
        <v>46251</v>
      </c>
      <c r="N971" s="311" t="s">
        <v>5105</v>
      </c>
      <c r="O971" s="314"/>
      <c r="P971" s="315"/>
      <c r="Q971" s="14">
        <f>Tabela1[[#This Row],[QTDE/ Fabricação]]-Tabela1[[#This Row],[QTE]]</f>
        <v>-1</v>
      </c>
      <c r="R971" s="317">
        <f t="shared" si="193"/>
        <v>89.11</v>
      </c>
      <c r="S971" s="317">
        <f t="shared" si="194"/>
        <v>89.11</v>
      </c>
      <c r="T971" s="318">
        <f t="shared" si="195"/>
        <v>0</v>
      </c>
      <c r="U971" s="319">
        <f>IFERROR(SUMIF('LISTA DE EMBARQUE'!B:B,MICRO!E:E,'LISTA DE EMBARQUE'!G:G),"")</f>
        <v>1</v>
      </c>
      <c r="V971" s="314">
        <f>IFERROR(VLOOKUP(Tabela1[[#This Row],[COD.MDE]],'LISTA DE EMBARQUE'!B:L,11,0),"")</f>
        <v>9</v>
      </c>
      <c r="W971" s="315">
        <f>IFERROR(VLOOKUP(Tabela1[[#This Row],[COD.MDE]],'LISTA DE EMBARQUE'!B:M,12,0),"")</f>
        <v>46284</v>
      </c>
      <c r="X971" s="316">
        <f>IFERROR(Tabela1[[#This Row],[QIANTIDADE EXPEDIDA]]*Tabela1[[#This Row],[PESO UNI]],"")</f>
        <v>89.11</v>
      </c>
      <c r="Y971" s="316">
        <f t="shared" si="196"/>
        <v>0</v>
      </c>
      <c r="Z971" s="320">
        <f>Tabela1[[#This Row],[PESO TOTAL]]-Tabela1[[#This Row],[Peso Expedido]]</f>
        <v>0</v>
      </c>
      <c r="AA971" s="321">
        <v>1</v>
      </c>
      <c r="AB971" s="322"/>
      <c r="AC971" s="322">
        <v>1</v>
      </c>
      <c r="AD971" s="322">
        <v>1</v>
      </c>
      <c r="AE971" s="322">
        <v>1</v>
      </c>
      <c r="AF971" s="322">
        <v>1</v>
      </c>
      <c r="AG971" s="322">
        <v>1</v>
      </c>
      <c r="AH971" s="322">
        <v>1</v>
      </c>
      <c r="AI971" s="32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308" t="s">
        <v>5161</v>
      </c>
      <c r="B972" s="309" t="s">
        <v>5162</v>
      </c>
      <c r="C972" s="308">
        <v>1</v>
      </c>
      <c r="D972" s="308" t="s">
        <v>5166</v>
      </c>
      <c r="E972" s="307">
        <v>4599</v>
      </c>
      <c r="F972" s="307">
        <v>58</v>
      </c>
      <c r="G972" s="308">
        <v>88.34</v>
      </c>
      <c r="H972" s="310">
        <f>Tabela1[[#This Row],[PESO UNI]]*Tabela1[[#This Row],[QTE]]</f>
        <v>88.34</v>
      </c>
      <c r="I972" s="307">
        <v>0</v>
      </c>
      <c r="J972" s="311" t="s">
        <v>3045</v>
      </c>
      <c r="K972" s="311" t="s">
        <v>4320</v>
      </c>
      <c r="L972" s="312" t="s">
        <v>2984</v>
      </c>
      <c r="M972" s="313">
        <v>46251</v>
      </c>
      <c r="N972" s="311" t="s">
        <v>5105</v>
      </c>
      <c r="O972" s="314"/>
      <c r="P972" s="315"/>
      <c r="Q972" s="14">
        <f>Tabela1[[#This Row],[QTDE/ Fabricação]]-Tabela1[[#This Row],[QTE]]</f>
        <v>-1</v>
      </c>
      <c r="R972" s="317">
        <f t="shared" si="193"/>
        <v>88.34</v>
      </c>
      <c r="S972" s="317">
        <f t="shared" si="194"/>
        <v>88.34</v>
      </c>
      <c r="T972" s="318">
        <f t="shared" si="195"/>
        <v>0</v>
      </c>
      <c r="U972" s="319">
        <f>IFERROR(SUMIF('LISTA DE EMBARQUE'!B:B,MICRO!E:E,'LISTA DE EMBARQUE'!G:G),"")</f>
        <v>1</v>
      </c>
      <c r="V972" s="314">
        <f>IFERROR(VLOOKUP(Tabela1[[#This Row],[COD.MDE]],'LISTA DE EMBARQUE'!B:L,11,0),"")</f>
        <v>9</v>
      </c>
      <c r="W972" s="315">
        <f>IFERROR(VLOOKUP(Tabela1[[#This Row],[COD.MDE]],'LISTA DE EMBARQUE'!B:M,12,0),"")</f>
        <v>46284</v>
      </c>
      <c r="X972" s="316">
        <f>IFERROR(Tabela1[[#This Row],[QIANTIDADE EXPEDIDA]]*Tabela1[[#This Row],[PESO UNI]],"")</f>
        <v>88.34</v>
      </c>
      <c r="Y972" s="316">
        <f t="shared" si="196"/>
        <v>0</v>
      </c>
      <c r="Z972" s="320">
        <f>Tabela1[[#This Row],[PESO TOTAL]]-Tabela1[[#This Row],[Peso Expedido]]</f>
        <v>0</v>
      </c>
      <c r="AA972" s="321">
        <v>1</v>
      </c>
      <c r="AB972" s="322"/>
      <c r="AC972" s="322">
        <v>1</v>
      </c>
      <c r="AD972" s="322">
        <v>1</v>
      </c>
      <c r="AE972" s="322">
        <v>1</v>
      </c>
      <c r="AF972" s="322">
        <v>1</v>
      </c>
      <c r="AG972" s="322">
        <v>1</v>
      </c>
      <c r="AH972" s="322">
        <v>1</v>
      </c>
      <c r="AI972" s="32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308" t="s">
        <v>5161</v>
      </c>
      <c r="B973" s="309" t="s">
        <v>5162</v>
      </c>
      <c r="C973" s="308">
        <v>1</v>
      </c>
      <c r="D973" s="308" t="s">
        <v>5167</v>
      </c>
      <c r="E973" s="307">
        <v>4600</v>
      </c>
      <c r="F973" s="307">
        <v>58</v>
      </c>
      <c r="G973" s="308">
        <v>83.44</v>
      </c>
      <c r="H973" s="310">
        <f>Tabela1[[#This Row],[PESO UNI]]*Tabela1[[#This Row],[QTE]]</f>
        <v>83.44</v>
      </c>
      <c r="I973" s="307">
        <v>0</v>
      </c>
      <c r="J973" s="311" t="s">
        <v>3045</v>
      </c>
      <c r="K973" s="311" t="s">
        <v>4320</v>
      </c>
      <c r="L973" s="312" t="s">
        <v>2984</v>
      </c>
      <c r="M973" s="313">
        <v>46251</v>
      </c>
      <c r="N973" s="311" t="s">
        <v>5105</v>
      </c>
      <c r="O973" s="314"/>
      <c r="P973" s="315"/>
      <c r="Q973" s="14">
        <f>Tabela1[[#This Row],[QTDE/ Fabricação]]-Tabela1[[#This Row],[QTE]]</f>
        <v>-1</v>
      </c>
      <c r="R973" s="317">
        <f t="shared" si="193"/>
        <v>83.44</v>
      </c>
      <c r="S973" s="317">
        <f t="shared" si="194"/>
        <v>83.44</v>
      </c>
      <c r="T973" s="318">
        <f t="shared" si="195"/>
        <v>0</v>
      </c>
      <c r="U973" s="319">
        <f>IFERROR(SUMIF('LISTA DE EMBARQUE'!B:B,MICRO!E:E,'LISTA DE EMBARQUE'!G:G),"")</f>
        <v>1</v>
      </c>
      <c r="V973" s="314">
        <f>IFERROR(VLOOKUP(Tabela1[[#This Row],[COD.MDE]],'LISTA DE EMBARQUE'!B:L,11,0),"")</f>
        <v>9</v>
      </c>
      <c r="W973" s="315">
        <f>IFERROR(VLOOKUP(Tabela1[[#This Row],[COD.MDE]],'LISTA DE EMBARQUE'!B:M,12,0),"")</f>
        <v>46284</v>
      </c>
      <c r="X973" s="316">
        <f>IFERROR(Tabela1[[#This Row],[QIANTIDADE EXPEDIDA]]*Tabela1[[#This Row],[PESO UNI]],"")</f>
        <v>83.44</v>
      </c>
      <c r="Y973" s="316">
        <f t="shared" si="196"/>
        <v>0</v>
      </c>
      <c r="Z973" s="320">
        <f>Tabela1[[#This Row],[PESO TOTAL]]-Tabela1[[#This Row],[Peso Expedido]]</f>
        <v>0</v>
      </c>
      <c r="AA973" s="321">
        <v>1</v>
      </c>
      <c r="AB973" s="322"/>
      <c r="AC973" s="322">
        <v>1</v>
      </c>
      <c r="AD973" s="322">
        <v>1</v>
      </c>
      <c r="AE973" s="322">
        <v>1</v>
      </c>
      <c r="AF973" s="322">
        <v>1</v>
      </c>
      <c r="AG973" s="322">
        <v>1</v>
      </c>
      <c r="AH973" s="322">
        <v>1</v>
      </c>
      <c r="AI973" s="32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308" t="s">
        <v>5161</v>
      </c>
      <c r="B974" s="309" t="s">
        <v>5162</v>
      </c>
      <c r="C974" s="308">
        <v>1</v>
      </c>
      <c r="D974" s="308" t="s">
        <v>5168</v>
      </c>
      <c r="E974" s="307">
        <v>4601</v>
      </c>
      <c r="F974" s="307">
        <v>58</v>
      </c>
      <c r="G974" s="308">
        <v>105.14</v>
      </c>
      <c r="H974" s="310">
        <f>Tabela1[[#This Row],[PESO UNI]]*Tabela1[[#This Row],[QTE]]</f>
        <v>105.14</v>
      </c>
      <c r="I974" s="307">
        <v>0</v>
      </c>
      <c r="J974" s="311" t="s">
        <v>3045</v>
      </c>
      <c r="K974" s="311" t="s">
        <v>4320</v>
      </c>
      <c r="L974" s="312" t="s">
        <v>2984</v>
      </c>
      <c r="M974" s="313">
        <v>46251</v>
      </c>
      <c r="N974" s="311" t="s">
        <v>5105</v>
      </c>
      <c r="O974" s="314"/>
      <c r="P974" s="315"/>
      <c r="Q974" s="14">
        <f>Tabela1[[#This Row],[QTDE/ Fabricação]]-Tabela1[[#This Row],[QTE]]</f>
        <v>-1</v>
      </c>
      <c r="R974" s="317">
        <f t="shared" si="193"/>
        <v>105.14</v>
      </c>
      <c r="S974" s="317">
        <f t="shared" si="194"/>
        <v>105.14</v>
      </c>
      <c r="T974" s="318">
        <f t="shared" si="195"/>
        <v>0</v>
      </c>
      <c r="U974" s="319">
        <f>IFERROR(SUMIF('LISTA DE EMBARQUE'!B:B,MICRO!E:E,'LISTA DE EMBARQUE'!G:G),"")</f>
        <v>1</v>
      </c>
      <c r="V974" s="314">
        <f>IFERROR(VLOOKUP(Tabela1[[#This Row],[COD.MDE]],'LISTA DE EMBARQUE'!B:L,11,0),"")</f>
        <v>9</v>
      </c>
      <c r="W974" s="315">
        <f>IFERROR(VLOOKUP(Tabela1[[#This Row],[COD.MDE]],'LISTA DE EMBARQUE'!B:M,12,0),"")</f>
        <v>46284</v>
      </c>
      <c r="X974" s="316">
        <f>IFERROR(Tabela1[[#This Row],[QIANTIDADE EXPEDIDA]]*Tabela1[[#This Row],[PESO UNI]],"")</f>
        <v>105.14</v>
      </c>
      <c r="Y974" s="316">
        <f t="shared" si="196"/>
        <v>0</v>
      </c>
      <c r="Z974" s="320">
        <f>Tabela1[[#This Row],[PESO TOTAL]]-Tabela1[[#This Row],[Peso Expedido]]</f>
        <v>0</v>
      </c>
      <c r="AA974" s="321">
        <v>1</v>
      </c>
      <c r="AB974" s="322"/>
      <c r="AC974" s="322">
        <v>1</v>
      </c>
      <c r="AD974" s="322">
        <v>1</v>
      </c>
      <c r="AE974" s="322">
        <v>1</v>
      </c>
      <c r="AF974" s="322">
        <v>1</v>
      </c>
      <c r="AG974" s="322">
        <v>1</v>
      </c>
      <c r="AH974" s="322">
        <v>1</v>
      </c>
      <c r="AI974" s="32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308" t="s">
        <v>5161</v>
      </c>
      <c r="B975" s="309" t="s">
        <v>5162</v>
      </c>
      <c r="C975" s="308">
        <v>1</v>
      </c>
      <c r="D975" s="308" t="s">
        <v>5169</v>
      </c>
      <c r="E975" s="307">
        <v>4602</v>
      </c>
      <c r="F975" s="307">
        <v>58</v>
      </c>
      <c r="G975" s="308">
        <v>105.14</v>
      </c>
      <c r="H975" s="310">
        <f>Tabela1[[#This Row],[PESO UNI]]*Tabela1[[#This Row],[QTE]]</f>
        <v>105.14</v>
      </c>
      <c r="I975" s="307">
        <v>0</v>
      </c>
      <c r="J975" s="311" t="s">
        <v>3045</v>
      </c>
      <c r="K975" s="311" t="s">
        <v>4320</v>
      </c>
      <c r="L975" s="312" t="s">
        <v>2984</v>
      </c>
      <c r="M975" s="313">
        <v>46251</v>
      </c>
      <c r="N975" s="311" t="s">
        <v>5105</v>
      </c>
      <c r="O975" s="314"/>
      <c r="P975" s="315"/>
      <c r="Q975" s="14">
        <f>Tabela1[[#This Row],[QTDE/ Fabricação]]-Tabela1[[#This Row],[QTE]]</f>
        <v>-1</v>
      </c>
      <c r="R975" s="317">
        <f t="shared" si="193"/>
        <v>105.14</v>
      </c>
      <c r="S975" s="317">
        <f t="shared" si="194"/>
        <v>105.14</v>
      </c>
      <c r="T975" s="318">
        <f t="shared" si="195"/>
        <v>0</v>
      </c>
      <c r="U975" s="319">
        <f>IFERROR(SUMIF('LISTA DE EMBARQUE'!B:B,MICRO!E:E,'LISTA DE EMBARQUE'!G:G),"")</f>
        <v>1</v>
      </c>
      <c r="V975" s="314">
        <f>IFERROR(VLOOKUP(Tabela1[[#This Row],[COD.MDE]],'LISTA DE EMBARQUE'!B:L,11,0),"")</f>
        <v>9</v>
      </c>
      <c r="W975" s="315">
        <f>IFERROR(VLOOKUP(Tabela1[[#This Row],[COD.MDE]],'LISTA DE EMBARQUE'!B:M,12,0),"")</f>
        <v>46284</v>
      </c>
      <c r="X975" s="316">
        <f>IFERROR(Tabela1[[#This Row],[QIANTIDADE EXPEDIDA]]*Tabela1[[#This Row],[PESO UNI]],"")</f>
        <v>105.14</v>
      </c>
      <c r="Y975" s="316">
        <f t="shared" si="196"/>
        <v>0</v>
      </c>
      <c r="Z975" s="320">
        <f>Tabela1[[#This Row],[PESO TOTAL]]-Tabela1[[#This Row],[Peso Expedido]]</f>
        <v>0</v>
      </c>
      <c r="AA975" s="321">
        <v>1</v>
      </c>
      <c r="AB975" s="322"/>
      <c r="AC975" s="322">
        <v>1</v>
      </c>
      <c r="AD975" s="322">
        <v>1</v>
      </c>
      <c r="AE975" s="322">
        <v>1</v>
      </c>
      <c r="AF975" s="322">
        <v>1</v>
      </c>
      <c r="AG975" s="322">
        <v>1</v>
      </c>
      <c r="AH975" s="322">
        <v>1</v>
      </c>
      <c r="AI975" s="32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308" t="s">
        <v>5161</v>
      </c>
      <c r="B976" s="309" t="s">
        <v>5162</v>
      </c>
      <c r="C976" s="308">
        <v>1</v>
      </c>
      <c r="D976" s="308" t="s">
        <v>5170</v>
      </c>
      <c r="E976" s="307">
        <v>4603</v>
      </c>
      <c r="F976" s="307">
        <v>58</v>
      </c>
      <c r="G976" s="308">
        <v>107.64</v>
      </c>
      <c r="H976" s="310">
        <f>Tabela1[[#This Row],[PESO UNI]]*Tabela1[[#This Row],[QTE]]</f>
        <v>107.64</v>
      </c>
      <c r="I976" s="307">
        <v>0</v>
      </c>
      <c r="J976" s="311" t="s">
        <v>3045</v>
      </c>
      <c r="K976" s="311" t="s">
        <v>4320</v>
      </c>
      <c r="L976" s="312" t="s">
        <v>2984</v>
      </c>
      <c r="M976" s="313">
        <v>46251</v>
      </c>
      <c r="N976" s="311" t="s">
        <v>5105</v>
      </c>
      <c r="O976" s="314"/>
      <c r="P976" s="315"/>
      <c r="Q976" s="14">
        <f>Tabela1[[#This Row],[QTDE/ Fabricação]]-Tabela1[[#This Row],[QTE]]</f>
        <v>-1</v>
      </c>
      <c r="R976" s="317">
        <f t="shared" si="193"/>
        <v>107.64</v>
      </c>
      <c r="S976" s="317">
        <f t="shared" si="194"/>
        <v>107.64</v>
      </c>
      <c r="T976" s="318">
        <f t="shared" si="195"/>
        <v>0</v>
      </c>
      <c r="U976" s="319">
        <f>IFERROR(SUMIF('LISTA DE EMBARQUE'!B:B,MICRO!E:E,'LISTA DE EMBARQUE'!G:G),"")</f>
        <v>1</v>
      </c>
      <c r="V976" s="314">
        <f>IFERROR(VLOOKUP(Tabela1[[#This Row],[COD.MDE]],'LISTA DE EMBARQUE'!B:L,11,0),"")</f>
        <v>9</v>
      </c>
      <c r="W976" s="315">
        <f>IFERROR(VLOOKUP(Tabela1[[#This Row],[COD.MDE]],'LISTA DE EMBARQUE'!B:M,12,0),"")</f>
        <v>46284</v>
      </c>
      <c r="X976" s="316">
        <f>IFERROR(Tabela1[[#This Row],[QIANTIDADE EXPEDIDA]]*Tabela1[[#This Row],[PESO UNI]],"")</f>
        <v>107.64</v>
      </c>
      <c r="Y976" s="316">
        <f t="shared" si="196"/>
        <v>0</v>
      </c>
      <c r="Z976" s="320">
        <f>Tabela1[[#This Row],[PESO TOTAL]]-Tabela1[[#This Row],[Peso Expedido]]</f>
        <v>0</v>
      </c>
      <c r="AA976" s="321">
        <v>1</v>
      </c>
      <c r="AB976" s="322"/>
      <c r="AC976" s="322">
        <v>1</v>
      </c>
      <c r="AD976" s="322">
        <v>1</v>
      </c>
      <c r="AE976" s="322">
        <v>1</v>
      </c>
      <c r="AF976" s="322">
        <v>1</v>
      </c>
      <c r="AG976" s="322">
        <v>1</v>
      </c>
      <c r="AH976" s="322">
        <v>1</v>
      </c>
      <c r="AI976" s="32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308" t="s">
        <v>5173</v>
      </c>
      <c r="B977" s="309" t="s">
        <v>5171</v>
      </c>
      <c r="C977" s="308">
        <v>1</v>
      </c>
      <c r="D977" s="308" t="s">
        <v>5172</v>
      </c>
      <c r="E977" s="307">
        <v>4604</v>
      </c>
      <c r="F977" s="307">
        <v>58</v>
      </c>
      <c r="G977" s="308">
        <v>513.87</v>
      </c>
      <c r="H977" s="310">
        <f>Tabela1[[#This Row],[PESO UNI]]*Tabela1[[#This Row],[QTE]]</f>
        <v>513.87</v>
      </c>
      <c r="I977" s="307">
        <v>0</v>
      </c>
      <c r="J977" s="311" t="s">
        <v>3045</v>
      </c>
      <c r="K977" s="311" t="s">
        <v>4320</v>
      </c>
      <c r="L977" s="312" t="s">
        <v>2984</v>
      </c>
      <c r="M977" s="313">
        <v>46251</v>
      </c>
      <c r="N977" s="311" t="s">
        <v>5105</v>
      </c>
      <c r="O977" s="314"/>
      <c r="P977" s="315"/>
      <c r="Q977" s="14">
        <f>Tabela1[[#This Row],[QTDE/ Fabricação]]-Tabela1[[#This Row],[QTE]]</f>
        <v>-1</v>
      </c>
      <c r="R977" s="317">
        <f t="shared" si="193"/>
        <v>513.87</v>
      </c>
      <c r="S977" s="317">
        <f t="shared" si="194"/>
        <v>513.87</v>
      </c>
      <c r="T977" s="318">
        <f t="shared" si="195"/>
        <v>0</v>
      </c>
      <c r="U977" s="319">
        <f>IFERROR(SUMIF('LISTA DE EMBARQUE'!B:B,MICRO!E:E,'LISTA DE EMBARQUE'!G:G),"")</f>
        <v>1</v>
      </c>
      <c r="V977" s="314">
        <f>IFERROR(VLOOKUP(Tabela1[[#This Row],[COD.MDE]],'LISTA DE EMBARQUE'!B:L,11,0),"")</f>
        <v>9</v>
      </c>
      <c r="W977" s="315">
        <f>IFERROR(VLOOKUP(Tabela1[[#This Row],[COD.MDE]],'LISTA DE EMBARQUE'!B:M,12,0),"")</f>
        <v>46284</v>
      </c>
      <c r="X977" s="316">
        <f>IFERROR(Tabela1[[#This Row],[QIANTIDADE EXPEDIDA]]*Tabela1[[#This Row],[PESO UNI]],"")</f>
        <v>513.87</v>
      </c>
      <c r="Y977" s="316">
        <f t="shared" si="196"/>
        <v>0</v>
      </c>
      <c r="Z977" s="320">
        <f>Tabela1[[#This Row],[PESO TOTAL]]-Tabela1[[#This Row],[Peso Expedido]]</f>
        <v>0</v>
      </c>
      <c r="AA977" s="321">
        <v>1</v>
      </c>
      <c r="AB977" s="322"/>
      <c r="AC977" s="322">
        <v>1</v>
      </c>
      <c r="AD977" s="322">
        <v>1</v>
      </c>
      <c r="AE977" s="322">
        <v>1</v>
      </c>
      <c r="AF977" s="322">
        <v>1</v>
      </c>
      <c r="AG977" s="322">
        <v>1</v>
      </c>
      <c r="AH977" s="322">
        <v>1</v>
      </c>
      <c r="AI977" s="32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308" t="s">
        <v>5174</v>
      </c>
      <c r="B978" s="309" t="s">
        <v>5175</v>
      </c>
      <c r="C978" s="308">
        <v>1</v>
      </c>
      <c r="D978" s="308" t="s">
        <v>5176</v>
      </c>
      <c r="E978" s="307">
        <v>4605</v>
      </c>
      <c r="F978" s="307">
        <v>58</v>
      </c>
      <c r="G978" s="308">
        <v>483.47</v>
      </c>
      <c r="H978" s="310">
        <f>Tabela1[[#This Row],[PESO UNI]]*Tabela1[[#This Row],[QTE]]</f>
        <v>483.47</v>
      </c>
      <c r="I978" s="307">
        <v>0</v>
      </c>
      <c r="J978" s="311" t="s">
        <v>3045</v>
      </c>
      <c r="K978" s="311" t="s">
        <v>4320</v>
      </c>
      <c r="L978" s="312" t="s">
        <v>2984</v>
      </c>
      <c r="M978" s="313">
        <v>46251</v>
      </c>
      <c r="N978" s="311" t="s">
        <v>5105</v>
      </c>
      <c r="O978" s="314"/>
      <c r="P978" s="315"/>
      <c r="Q978" s="14">
        <f>Tabela1[[#This Row],[QTDE/ Fabricação]]-Tabela1[[#This Row],[QTE]]</f>
        <v>-1</v>
      </c>
      <c r="R978" s="317">
        <f t="shared" si="193"/>
        <v>483.47</v>
      </c>
      <c r="S978" s="317">
        <f t="shared" si="194"/>
        <v>483.47</v>
      </c>
      <c r="T978" s="318">
        <f t="shared" si="195"/>
        <v>0</v>
      </c>
      <c r="U978" s="319">
        <f>IFERROR(SUMIF('LISTA DE EMBARQUE'!B:B,MICRO!E:E,'LISTA DE EMBARQUE'!G:G),"")</f>
        <v>1</v>
      </c>
      <c r="V978" s="314">
        <f>IFERROR(VLOOKUP(Tabela1[[#This Row],[COD.MDE]],'LISTA DE EMBARQUE'!B:L,11,0),"")</f>
        <v>9</v>
      </c>
      <c r="W978" s="315">
        <f>IFERROR(VLOOKUP(Tabela1[[#This Row],[COD.MDE]],'LISTA DE EMBARQUE'!B:M,12,0),"")</f>
        <v>46284</v>
      </c>
      <c r="X978" s="316">
        <f>IFERROR(Tabela1[[#This Row],[QIANTIDADE EXPEDIDA]]*Tabela1[[#This Row],[PESO UNI]],"")</f>
        <v>483.47</v>
      </c>
      <c r="Y978" s="316">
        <f t="shared" si="196"/>
        <v>0</v>
      </c>
      <c r="Z978" s="320">
        <f>Tabela1[[#This Row],[PESO TOTAL]]-Tabela1[[#This Row],[Peso Expedido]]</f>
        <v>0</v>
      </c>
      <c r="AA978" s="321">
        <v>1</v>
      </c>
      <c r="AB978" s="322"/>
      <c r="AC978" s="322">
        <v>1</v>
      </c>
      <c r="AD978" s="322">
        <v>1</v>
      </c>
      <c r="AE978" s="322">
        <v>1</v>
      </c>
      <c r="AF978" s="322">
        <v>1</v>
      </c>
      <c r="AG978" s="322">
        <v>1</v>
      </c>
      <c r="AH978" s="322">
        <v>1</v>
      </c>
      <c r="AI978" s="32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308" t="s">
        <v>5177</v>
      </c>
      <c r="B979" s="309" t="s">
        <v>5178</v>
      </c>
      <c r="C979" s="308">
        <v>1</v>
      </c>
      <c r="D979" s="308" t="s">
        <v>5179</v>
      </c>
      <c r="E979" s="307">
        <v>4606</v>
      </c>
      <c r="F979" s="307">
        <v>58</v>
      </c>
      <c r="G979" s="308">
        <v>477.68</v>
      </c>
      <c r="H979" s="310">
        <f>Tabela1[[#This Row],[PESO UNI]]*Tabela1[[#This Row],[QTE]]</f>
        <v>477.68</v>
      </c>
      <c r="I979" s="307">
        <v>0</v>
      </c>
      <c r="J979" s="311" t="s">
        <v>3045</v>
      </c>
      <c r="K979" s="311" t="s">
        <v>4320</v>
      </c>
      <c r="L979" s="312" t="s">
        <v>2984</v>
      </c>
      <c r="M979" s="313">
        <v>46251</v>
      </c>
      <c r="N979" s="311" t="s">
        <v>5105</v>
      </c>
      <c r="O979" s="314"/>
      <c r="P979" s="315"/>
      <c r="Q979" s="14">
        <f>Tabela1[[#This Row],[QTDE/ Fabricação]]-Tabela1[[#This Row],[QTE]]</f>
        <v>-1</v>
      </c>
      <c r="R979" s="317">
        <f t="shared" si="193"/>
        <v>477.68</v>
      </c>
      <c r="S979" s="317">
        <f t="shared" si="194"/>
        <v>477.68</v>
      </c>
      <c r="T979" s="318">
        <f t="shared" si="195"/>
        <v>0</v>
      </c>
      <c r="U979" s="319">
        <f>IFERROR(SUMIF('LISTA DE EMBARQUE'!B:B,MICRO!E:E,'LISTA DE EMBARQUE'!G:G),"")</f>
        <v>1</v>
      </c>
      <c r="V979" s="314">
        <f>IFERROR(VLOOKUP(Tabela1[[#This Row],[COD.MDE]],'LISTA DE EMBARQUE'!B:L,11,0),"")</f>
        <v>9</v>
      </c>
      <c r="W979" s="315">
        <f>IFERROR(VLOOKUP(Tabela1[[#This Row],[COD.MDE]],'LISTA DE EMBARQUE'!B:M,12,0),"")</f>
        <v>46284</v>
      </c>
      <c r="X979" s="316">
        <f>IFERROR(Tabela1[[#This Row],[QIANTIDADE EXPEDIDA]]*Tabela1[[#This Row],[PESO UNI]],"")</f>
        <v>477.68</v>
      </c>
      <c r="Y979" s="316">
        <f t="shared" si="196"/>
        <v>0</v>
      </c>
      <c r="Z979" s="320">
        <f>Tabela1[[#This Row],[PESO TOTAL]]-Tabela1[[#This Row],[Peso Expedido]]</f>
        <v>0</v>
      </c>
      <c r="AA979" s="321">
        <v>1</v>
      </c>
      <c r="AB979" s="322"/>
      <c r="AC979" s="322">
        <v>1</v>
      </c>
      <c r="AD979" s="322">
        <v>1</v>
      </c>
      <c r="AE979" s="322">
        <v>1</v>
      </c>
      <c r="AF979" s="322">
        <v>1</v>
      </c>
      <c r="AG979" s="322">
        <v>1</v>
      </c>
      <c r="AH979" s="322">
        <v>1</v>
      </c>
      <c r="AI979" s="32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308" t="s">
        <v>5180</v>
      </c>
      <c r="B980" s="309" t="s">
        <v>5181</v>
      </c>
      <c r="C980" s="308">
        <v>1</v>
      </c>
      <c r="D980" s="308" t="s">
        <v>5182</v>
      </c>
      <c r="E980" s="307">
        <v>4607</v>
      </c>
      <c r="F980" s="307">
        <v>58</v>
      </c>
      <c r="G980" s="308">
        <v>499.5</v>
      </c>
      <c r="H980" s="310">
        <f>Tabela1[[#This Row],[PESO UNI]]*Tabela1[[#This Row],[QTE]]</f>
        <v>499.5</v>
      </c>
      <c r="I980" s="307">
        <v>0</v>
      </c>
      <c r="J980" s="311" t="s">
        <v>3045</v>
      </c>
      <c r="K980" s="311" t="s">
        <v>4320</v>
      </c>
      <c r="L980" s="312" t="s">
        <v>2984</v>
      </c>
      <c r="M980" s="313">
        <v>46251</v>
      </c>
      <c r="N980" s="311" t="s">
        <v>5105</v>
      </c>
      <c r="O980" s="314"/>
      <c r="P980" s="315"/>
      <c r="Q980" s="14">
        <f>Tabela1[[#This Row],[QTDE/ Fabricação]]-Tabela1[[#This Row],[QTE]]</f>
        <v>-1</v>
      </c>
      <c r="R980" s="317">
        <f t="shared" si="193"/>
        <v>499.5</v>
      </c>
      <c r="S980" s="317">
        <f t="shared" si="194"/>
        <v>499.5</v>
      </c>
      <c r="T980" s="318">
        <f t="shared" si="195"/>
        <v>0</v>
      </c>
      <c r="U980" s="319">
        <f>IFERROR(SUMIF('LISTA DE EMBARQUE'!B:B,MICRO!E:E,'LISTA DE EMBARQUE'!G:G),"")</f>
        <v>1</v>
      </c>
      <c r="V980" s="314">
        <f>IFERROR(VLOOKUP(Tabela1[[#This Row],[COD.MDE]],'LISTA DE EMBARQUE'!B:L,11,0),"")</f>
        <v>9</v>
      </c>
      <c r="W980" s="315">
        <f>IFERROR(VLOOKUP(Tabela1[[#This Row],[COD.MDE]],'LISTA DE EMBARQUE'!B:M,12,0),"")</f>
        <v>46284</v>
      </c>
      <c r="X980" s="316">
        <f>IFERROR(Tabela1[[#This Row],[QIANTIDADE EXPEDIDA]]*Tabela1[[#This Row],[PESO UNI]],"")</f>
        <v>499.5</v>
      </c>
      <c r="Y980" s="316">
        <f t="shared" si="196"/>
        <v>0</v>
      </c>
      <c r="Z980" s="320">
        <f>Tabela1[[#This Row],[PESO TOTAL]]-Tabela1[[#This Row],[Peso Expedido]]</f>
        <v>0</v>
      </c>
      <c r="AA980" s="321">
        <v>1</v>
      </c>
      <c r="AB980" s="322"/>
      <c r="AC980" s="322">
        <v>1</v>
      </c>
      <c r="AD980" s="322">
        <v>1</v>
      </c>
      <c r="AE980" s="322">
        <v>1</v>
      </c>
      <c r="AF980" s="322">
        <v>1</v>
      </c>
      <c r="AG980" s="322">
        <v>1</v>
      </c>
      <c r="AH980" s="322">
        <v>1</v>
      </c>
      <c r="AI980" s="32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308" t="s">
        <v>5220</v>
      </c>
      <c r="B1000" s="309" t="s">
        <v>5221</v>
      </c>
      <c r="C1000" s="308">
        <v>1</v>
      </c>
      <c r="D1000" s="308" t="s">
        <v>5222</v>
      </c>
      <c r="E1000" s="307">
        <v>4627</v>
      </c>
      <c r="F1000" s="307">
        <v>61</v>
      </c>
      <c r="G1000" s="308">
        <v>372</v>
      </c>
      <c r="H1000" s="310">
        <f>Tabela1[[#This Row],[PESO UNI]]*Tabela1[[#This Row],[QTE]]</f>
        <v>372</v>
      </c>
      <c r="I1000" s="307" t="s">
        <v>5280</v>
      </c>
      <c r="J1000" s="311" t="s">
        <v>3045</v>
      </c>
      <c r="K1000" s="311" t="s">
        <v>4320</v>
      </c>
      <c r="L1000" s="312" t="s">
        <v>2984</v>
      </c>
      <c r="M1000" s="313">
        <v>46251</v>
      </c>
      <c r="N1000" s="311" t="s">
        <v>5105</v>
      </c>
      <c r="O1000" s="314"/>
      <c r="P1000" s="315"/>
      <c r="Q1000" s="14">
        <f>Tabela1[[#This Row],[QTDE/ Fabricação]]-Tabela1[[#This Row],[QTE]]</f>
        <v>-1</v>
      </c>
      <c r="R1000" s="317">
        <f t="shared" si="197"/>
        <v>372</v>
      </c>
      <c r="S1000" s="317">
        <f t="shared" si="198"/>
        <v>372</v>
      </c>
      <c r="T1000" s="318">
        <f t="shared" si="199"/>
        <v>0</v>
      </c>
      <c r="U1000" s="319">
        <f>IFERROR(SUMIF('LISTA DE EMBARQUE'!B:B,MICRO!E:E,'LISTA DE EMBARQUE'!G:G),"")</f>
        <v>1</v>
      </c>
      <c r="V1000" s="314">
        <f>IFERROR(VLOOKUP(Tabela1[[#This Row],[COD.MDE]],'LISTA DE EMBARQUE'!B:L,11,0),"")</f>
        <v>8</v>
      </c>
      <c r="W1000" s="315">
        <f>IFERROR(VLOOKUP(Tabela1[[#This Row],[COD.MDE]],'LISTA DE EMBARQUE'!B:M,12,0),"")</f>
        <v>46280</v>
      </c>
      <c r="X1000" s="316">
        <f>IFERROR(Tabela1[[#This Row],[QIANTIDADE EXPEDIDA]]*Tabela1[[#This Row],[PESO UNI]],"")</f>
        <v>372</v>
      </c>
      <c r="Y1000" s="316">
        <f t="shared" si="200"/>
        <v>0</v>
      </c>
      <c r="Z1000" s="320">
        <f>Tabela1[[#This Row],[PESO TOTAL]]-Tabela1[[#This Row],[Peso Expedido]]</f>
        <v>0</v>
      </c>
      <c r="AA1000" s="321">
        <v>1</v>
      </c>
      <c r="AB1000" s="322"/>
      <c r="AC1000" s="322">
        <v>1</v>
      </c>
      <c r="AD1000" s="322">
        <v>1</v>
      </c>
      <c r="AE1000" s="322">
        <v>1</v>
      </c>
      <c r="AF1000" s="322">
        <v>1</v>
      </c>
      <c r="AG1000" s="322">
        <v>1</v>
      </c>
      <c r="AH1000" s="322">
        <v>1</v>
      </c>
      <c r="AI1000" s="322" t="s">
        <v>4509</v>
      </c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5280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308" t="s">
        <v>5220</v>
      </c>
      <c r="B1002" s="309" t="s">
        <v>5221</v>
      </c>
      <c r="C1002" s="308">
        <v>8</v>
      </c>
      <c r="D1002" s="308" t="s">
        <v>5224</v>
      </c>
      <c r="E1002" s="307">
        <v>4629</v>
      </c>
      <c r="F1002" s="307">
        <v>61</v>
      </c>
      <c r="G1002" s="308">
        <v>2.1</v>
      </c>
      <c r="H1002" s="310">
        <f>Tabela1[[#This Row],[PESO UNI]]*Tabela1[[#This Row],[QTE]]</f>
        <v>16.8</v>
      </c>
      <c r="I1002" s="307" t="s">
        <v>5280</v>
      </c>
      <c r="J1002" s="311" t="s">
        <v>3045</v>
      </c>
      <c r="K1002" s="311" t="s">
        <v>4320</v>
      </c>
      <c r="L1002" s="312" t="s">
        <v>2984</v>
      </c>
      <c r="M1002" s="313">
        <v>46251</v>
      </c>
      <c r="N1002" s="311" t="s">
        <v>5105</v>
      </c>
      <c r="O1002" s="314"/>
      <c r="P1002" s="315"/>
      <c r="Q1002" s="14">
        <f>Tabela1[[#This Row],[QTDE/ Fabricação]]-Tabela1[[#This Row],[QTE]]</f>
        <v>-8</v>
      </c>
      <c r="R1002" s="317">
        <f t="shared" si="197"/>
        <v>16.8</v>
      </c>
      <c r="S1002" s="317">
        <f t="shared" si="198"/>
        <v>16.8</v>
      </c>
      <c r="T1002" s="318">
        <f t="shared" si="199"/>
        <v>0</v>
      </c>
      <c r="U1002" s="319">
        <f>IFERROR(SUMIF('LISTA DE EMBARQUE'!B:B,MICRO!E:E,'LISTA DE EMBARQUE'!G:G),"")</f>
        <v>8</v>
      </c>
      <c r="V1002" s="314">
        <f>IFERROR(VLOOKUP(Tabela1[[#This Row],[COD.MDE]],'LISTA DE EMBARQUE'!B:L,11,0),"")</f>
        <v>8</v>
      </c>
      <c r="W1002" s="315">
        <f>IFERROR(VLOOKUP(Tabela1[[#This Row],[COD.MDE]],'LISTA DE EMBARQUE'!B:M,12,0),"")</f>
        <v>46280</v>
      </c>
      <c r="X1002" s="316">
        <f>IFERROR(Tabela1[[#This Row],[QIANTIDADE EXPEDIDA]]*Tabela1[[#This Row],[PESO UNI]],"")</f>
        <v>16.8</v>
      </c>
      <c r="Y1002" s="316">
        <f t="shared" si="200"/>
        <v>0</v>
      </c>
      <c r="Z1002" s="320">
        <f>Tabela1[[#This Row],[PESO TOTAL]]-Tabela1[[#This Row],[Peso Expedido]]</f>
        <v>0</v>
      </c>
      <c r="AA1002" s="321">
        <v>1</v>
      </c>
      <c r="AB1002" s="322"/>
      <c r="AC1002" s="322">
        <v>1</v>
      </c>
      <c r="AD1002" s="322">
        <v>1</v>
      </c>
      <c r="AE1002" s="322">
        <v>1</v>
      </c>
      <c r="AF1002" s="322">
        <v>1</v>
      </c>
      <c r="AG1002" s="322">
        <v>1</v>
      </c>
      <c r="AH1002" s="322">
        <v>1</v>
      </c>
      <c r="AI1002" s="322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308" t="s">
        <v>5220</v>
      </c>
      <c r="B1003" s="309" t="s">
        <v>5221</v>
      </c>
      <c r="C1003" s="308">
        <v>2</v>
      </c>
      <c r="D1003" s="308" t="s">
        <v>5225</v>
      </c>
      <c r="E1003" s="307">
        <v>4630</v>
      </c>
      <c r="F1003" s="307">
        <v>61</v>
      </c>
      <c r="G1003" s="308">
        <v>1.6</v>
      </c>
      <c r="H1003" s="310">
        <f>Tabela1[[#This Row],[PESO UNI]]*Tabela1[[#This Row],[QTE]]</f>
        <v>3.2</v>
      </c>
      <c r="I1003" s="307" t="s">
        <v>5280</v>
      </c>
      <c r="J1003" s="311" t="s">
        <v>3045</v>
      </c>
      <c r="K1003" s="311" t="s">
        <v>4320</v>
      </c>
      <c r="L1003" s="312" t="s">
        <v>2984</v>
      </c>
      <c r="M1003" s="313">
        <v>46251</v>
      </c>
      <c r="N1003" s="311" t="s">
        <v>5105</v>
      </c>
      <c r="O1003" s="314"/>
      <c r="P1003" s="315"/>
      <c r="Q1003" s="14">
        <f>Tabela1[[#This Row],[QTDE/ Fabricação]]-Tabela1[[#This Row],[QTE]]</f>
        <v>-2</v>
      </c>
      <c r="R1003" s="317">
        <f t="shared" si="197"/>
        <v>3.2</v>
      </c>
      <c r="S1003" s="317">
        <f t="shared" si="198"/>
        <v>3.2</v>
      </c>
      <c r="T1003" s="318">
        <f t="shared" si="199"/>
        <v>0</v>
      </c>
      <c r="U1003" s="319">
        <f>IFERROR(SUMIF('LISTA DE EMBARQUE'!B:B,MICRO!E:E,'LISTA DE EMBARQUE'!G:G),"")</f>
        <v>2</v>
      </c>
      <c r="V1003" s="314">
        <f>IFERROR(VLOOKUP(Tabela1[[#This Row],[COD.MDE]],'LISTA DE EMBARQUE'!B:L,11,0),"")</f>
        <v>8</v>
      </c>
      <c r="W1003" s="315">
        <f>IFERROR(VLOOKUP(Tabela1[[#This Row],[COD.MDE]],'LISTA DE EMBARQUE'!B:M,12,0),"")</f>
        <v>46280</v>
      </c>
      <c r="X1003" s="316">
        <f>IFERROR(Tabela1[[#This Row],[QIANTIDADE EXPEDIDA]]*Tabela1[[#This Row],[PESO UNI]],"")</f>
        <v>3.2</v>
      </c>
      <c r="Y1003" s="316">
        <f t="shared" si="200"/>
        <v>0</v>
      </c>
      <c r="Z1003" s="320">
        <f>Tabela1[[#This Row],[PESO TOTAL]]-Tabela1[[#This Row],[Peso Expedido]]</f>
        <v>0</v>
      </c>
      <c r="AA1003" s="321">
        <v>1</v>
      </c>
      <c r="AB1003" s="322"/>
      <c r="AC1003" s="322">
        <v>1</v>
      </c>
      <c r="AD1003" s="322">
        <v>1</v>
      </c>
      <c r="AE1003" s="322">
        <v>1</v>
      </c>
      <c r="AF1003" s="322">
        <v>1</v>
      </c>
      <c r="AG1003" s="322">
        <v>1</v>
      </c>
      <c r="AH1003" s="322">
        <v>1</v>
      </c>
      <c r="AI1003" s="32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308" t="s">
        <v>5220</v>
      </c>
      <c r="B1004" s="309" t="s">
        <v>5221</v>
      </c>
      <c r="C1004" s="308">
        <v>4</v>
      </c>
      <c r="D1004" s="308" t="s">
        <v>5226</v>
      </c>
      <c r="E1004" s="307">
        <v>4631</v>
      </c>
      <c r="F1004" s="307">
        <v>61</v>
      </c>
      <c r="G1004" s="308">
        <v>0.3</v>
      </c>
      <c r="H1004" s="310">
        <f>Tabela1[[#This Row],[PESO UNI]]*Tabela1[[#This Row],[QTE]]</f>
        <v>1.2</v>
      </c>
      <c r="I1004" s="307" t="s">
        <v>5280</v>
      </c>
      <c r="J1004" s="311" t="s">
        <v>3045</v>
      </c>
      <c r="K1004" s="311" t="s">
        <v>4320</v>
      </c>
      <c r="L1004" s="312" t="s">
        <v>2984</v>
      </c>
      <c r="M1004" s="313">
        <v>46251</v>
      </c>
      <c r="N1004" s="311" t="s">
        <v>5105</v>
      </c>
      <c r="O1004" s="314"/>
      <c r="P1004" s="315"/>
      <c r="Q1004" s="14">
        <f>Tabela1[[#This Row],[QTDE/ Fabricação]]-Tabela1[[#This Row],[QTE]]</f>
        <v>-4</v>
      </c>
      <c r="R1004" s="317">
        <f t="shared" si="197"/>
        <v>1.2</v>
      </c>
      <c r="S1004" s="317">
        <f t="shared" si="198"/>
        <v>1.2</v>
      </c>
      <c r="T1004" s="318">
        <f t="shared" si="199"/>
        <v>0</v>
      </c>
      <c r="U1004" s="319">
        <f>IFERROR(SUMIF('LISTA DE EMBARQUE'!B:B,MICRO!E:E,'LISTA DE EMBARQUE'!G:G),"")</f>
        <v>4</v>
      </c>
      <c r="V1004" s="314">
        <f>IFERROR(VLOOKUP(Tabela1[[#This Row],[COD.MDE]],'LISTA DE EMBARQUE'!B:L,11,0),"")</f>
        <v>8</v>
      </c>
      <c r="W1004" s="315">
        <f>IFERROR(VLOOKUP(Tabela1[[#This Row],[COD.MDE]],'LISTA DE EMBARQUE'!B:M,12,0),"")</f>
        <v>46280</v>
      </c>
      <c r="X1004" s="316">
        <f>IFERROR(Tabela1[[#This Row],[QIANTIDADE EXPEDIDA]]*Tabela1[[#This Row],[PESO UNI]],"")</f>
        <v>1.2</v>
      </c>
      <c r="Y1004" s="316">
        <f t="shared" si="200"/>
        <v>0</v>
      </c>
      <c r="Z1004" s="320">
        <f>Tabela1[[#This Row],[PESO TOTAL]]-Tabela1[[#This Row],[Peso Expedido]]</f>
        <v>0</v>
      </c>
      <c r="AA1004" s="321">
        <v>1</v>
      </c>
      <c r="AB1004" s="322"/>
      <c r="AC1004" s="322">
        <v>1</v>
      </c>
      <c r="AD1004" s="322">
        <v>1</v>
      </c>
      <c r="AE1004" s="322">
        <v>1</v>
      </c>
      <c r="AF1004" s="322">
        <v>1</v>
      </c>
      <c r="AG1004" s="322">
        <v>1</v>
      </c>
      <c r="AH1004" s="322">
        <v>1</v>
      </c>
      <c r="AI1004" s="32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308" t="s">
        <v>5220</v>
      </c>
      <c r="B1005" s="309" t="s">
        <v>5221</v>
      </c>
      <c r="C1005" s="308">
        <v>2</v>
      </c>
      <c r="D1005" s="308" t="s">
        <v>5227</v>
      </c>
      <c r="E1005" s="307">
        <v>4632</v>
      </c>
      <c r="F1005" s="307">
        <v>61</v>
      </c>
      <c r="G1005" s="308">
        <v>14.4</v>
      </c>
      <c r="H1005" s="310">
        <f>Tabela1[[#This Row],[PESO UNI]]*Tabela1[[#This Row],[QTE]]</f>
        <v>28.8</v>
      </c>
      <c r="I1005" s="307" t="s">
        <v>5280</v>
      </c>
      <c r="J1005" s="311" t="s">
        <v>3045</v>
      </c>
      <c r="K1005" s="311" t="s">
        <v>4320</v>
      </c>
      <c r="L1005" s="312" t="s">
        <v>2984</v>
      </c>
      <c r="M1005" s="313">
        <v>46251</v>
      </c>
      <c r="N1005" s="311" t="s">
        <v>5105</v>
      </c>
      <c r="O1005" s="314"/>
      <c r="P1005" s="315"/>
      <c r="Q1005" s="14">
        <f>Tabela1[[#This Row],[QTDE/ Fabricação]]-Tabela1[[#This Row],[QTE]]</f>
        <v>-2</v>
      </c>
      <c r="R1005" s="317">
        <f t="shared" si="197"/>
        <v>28.8</v>
      </c>
      <c r="S1005" s="317">
        <f t="shared" si="198"/>
        <v>28.8</v>
      </c>
      <c r="T1005" s="318">
        <f t="shared" si="199"/>
        <v>0</v>
      </c>
      <c r="U1005" s="319">
        <f>IFERROR(SUMIF('LISTA DE EMBARQUE'!B:B,MICRO!E:E,'LISTA DE EMBARQUE'!G:G),"")</f>
        <v>2</v>
      </c>
      <c r="V1005" s="314">
        <f>IFERROR(VLOOKUP(Tabela1[[#This Row],[COD.MDE]],'LISTA DE EMBARQUE'!B:L,11,0),"")</f>
        <v>8</v>
      </c>
      <c r="W1005" s="315">
        <f>IFERROR(VLOOKUP(Tabela1[[#This Row],[COD.MDE]],'LISTA DE EMBARQUE'!B:M,12,0),"")</f>
        <v>46280</v>
      </c>
      <c r="X1005" s="316">
        <f>IFERROR(Tabela1[[#This Row],[QIANTIDADE EXPEDIDA]]*Tabela1[[#This Row],[PESO UNI]],"")</f>
        <v>28.8</v>
      </c>
      <c r="Y1005" s="316">
        <f t="shared" si="200"/>
        <v>0</v>
      </c>
      <c r="Z1005" s="320">
        <f>Tabela1[[#This Row],[PESO TOTAL]]-Tabela1[[#This Row],[Peso Expedido]]</f>
        <v>0</v>
      </c>
      <c r="AA1005" s="321">
        <v>1</v>
      </c>
      <c r="AB1005" s="322"/>
      <c r="AC1005" s="322">
        <v>1</v>
      </c>
      <c r="AD1005" s="322">
        <v>1</v>
      </c>
      <c r="AE1005" s="322">
        <v>1</v>
      </c>
      <c r="AF1005" s="322">
        <v>1</v>
      </c>
      <c r="AG1005" s="322">
        <v>1</v>
      </c>
      <c r="AH1005" s="322">
        <v>1</v>
      </c>
      <c r="AI1005" s="32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308" t="s">
        <v>5415</v>
      </c>
      <c r="B1006" s="309" t="s">
        <v>5229</v>
      </c>
      <c r="C1006" s="308">
        <v>1</v>
      </c>
      <c r="D1006" s="308" t="s">
        <v>5230</v>
      </c>
      <c r="E1006" s="307">
        <v>4633</v>
      </c>
      <c r="F1006" s="307">
        <v>61</v>
      </c>
      <c r="G1006" s="308">
        <v>408.6</v>
      </c>
      <c r="H1006" s="310">
        <f>Tabela1[[#This Row],[PESO UNI]]*Tabela1[[#This Row],[QTE]]</f>
        <v>408.6</v>
      </c>
      <c r="I1006" s="307" t="s">
        <v>5280</v>
      </c>
      <c r="J1006" s="311" t="s">
        <v>3045</v>
      </c>
      <c r="K1006" s="311" t="s">
        <v>4320</v>
      </c>
      <c r="L1006" s="312" t="s">
        <v>2984</v>
      </c>
      <c r="M1006" s="313">
        <v>46251</v>
      </c>
      <c r="N1006" s="311" t="s">
        <v>5105</v>
      </c>
      <c r="O1006" s="314"/>
      <c r="P1006" s="315"/>
      <c r="Q1006" s="14">
        <f>Tabela1[[#This Row],[QTDE/ Fabricação]]-Tabela1[[#This Row],[QTE]]</f>
        <v>-1</v>
      </c>
      <c r="R1006" s="317">
        <f t="shared" si="197"/>
        <v>408.6</v>
      </c>
      <c r="S1006" s="317">
        <f t="shared" si="198"/>
        <v>408.6</v>
      </c>
      <c r="T1006" s="318">
        <f t="shared" si="199"/>
        <v>0</v>
      </c>
      <c r="U1006" s="319">
        <f>IFERROR(SUMIF('LISTA DE EMBARQUE'!B:B,MICRO!E:E,'LISTA DE EMBARQUE'!G:G),"")</f>
        <v>1</v>
      </c>
      <c r="V1006" s="314">
        <f>IFERROR(VLOOKUP(Tabela1[[#This Row],[COD.MDE]],'LISTA DE EMBARQUE'!B:L,11,0),"")</f>
        <v>8</v>
      </c>
      <c r="W1006" s="315">
        <f>IFERROR(VLOOKUP(Tabela1[[#This Row],[COD.MDE]],'LISTA DE EMBARQUE'!B:M,12,0),"")</f>
        <v>46280</v>
      </c>
      <c r="X1006" s="316">
        <f>IFERROR(Tabela1[[#This Row],[QIANTIDADE EXPEDIDA]]*Tabela1[[#This Row],[PESO UNI]],"")</f>
        <v>408.6</v>
      </c>
      <c r="Y1006" s="316">
        <f t="shared" si="200"/>
        <v>0</v>
      </c>
      <c r="Z1006" s="320">
        <f>Tabela1[[#This Row],[PESO TOTAL]]-Tabela1[[#This Row],[Peso Expedido]]</f>
        <v>0</v>
      </c>
      <c r="AA1006" s="321">
        <v>1</v>
      </c>
      <c r="AB1006" s="322"/>
      <c r="AC1006" s="322">
        <v>1</v>
      </c>
      <c r="AD1006" s="322">
        <v>1</v>
      </c>
      <c r="AE1006" s="322">
        <v>1</v>
      </c>
      <c r="AF1006" s="322">
        <v>1</v>
      </c>
      <c r="AG1006" s="322">
        <v>1</v>
      </c>
      <c r="AH1006" s="322">
        <v>1</v>
      </c>
      <c r="AI1006" s="32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5282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5280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5282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5280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5282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5280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5282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5280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5282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5280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5282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5280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308" t="s">
        <v>5281</v>
      </c>
      <c r="B1013" s="309" t="s">
        <v>5238</v>
      </c>
      <c r="C1013" s="308">
        <v>1</v>
      </c>
      <c r="D1013" s="308" t="s">
        <v>5239</v>
      </c>
      <c r="E1013" s="307">
        <v>4640</v>
      </c>
      <c r="F1013" s="307">
        <v>61</v>
      </c>
      <c r="G1013" s="308">
        <v>204.2</v>
      </c>
      <c r="H1013" s="310">
        <f>Tabela1[[#This Row],[PESO UNI]]*Tabela1[[#This Row],[QTE]]</f>
        <v>204.2</v>
      </c>
      <c r="I1013" s="307" t="s">
        <v>5280</v>
      </c>
      <c r="J1013" s="311" t="s">
        <v>3045</v>
      </c>
      <c r="K1013" s="311" t="s">
        <v>4320</v>
      </c>
      <c r="L1013" s="312" t="s">
        <v>2984</v>
      </c>
      <c r="M1013" s="313">
        <v>46251</v>
      </c>
      <c r="N1013" s="311" t="s">
        <v>5105</v>
      </c>
      <c r="O1013" s="314"/>
      <c r="P1013" s="315"/>
      <c r="Q1013" s="14">
        <f>Tabela1[[#This Row],[QTDE/ Fabricação]]-Tabela1[[#This Row],[QTE]]</f>
        <v>-1</v>
      </c>
      <c r="R1013" s="317">
        <f t="shared" si="197"/>
        <v>204.2</v>
      </c>
      <c r="S1013" s="317">
        <f t="shared" si="198"/>
        <v>204.2</v>
      </c>
      <c r="T1013" s="318">
        <f t="shared" si="199"/>
        <v>0</v>
      </c>
      <c r="U1013" s="319">
        <f>IFERROR(SUMIF('LISTA DE EMBARQUE'!B:B,MICRO!E:E,'LISTA DE EMBARQUE'!G:G),"")</f>
        <v>1</v>
      </c>
      <c r="V1013" s="314">
        <f>IFERROR(VLOOKUP(Tabela1[[#This Row],[COD.MDE]],'LISTA DE EMBARQUE'!B:L,11,0),"")</f>
        <v>8</v>
      </c>
      <c r="W1013" s="315">
        <f>IFERROR(VLOOKUP(Tabela1[[#This Row],[COD.MDE]],'LISTA DE EMBARQUE'!B:M,12,0),"")</f>
        <v>46280</v>
      </c>
      <c r="X1013" s="316">
        <f>IFERROR(Tabela1[[#This Row],[QIANTIDADE EXPEDIDA]]*Tabela1[[#This Row],[PESO UNI]],"")</f>
        <v>204.2</v>
      </c>
      <c r="Y1013" s="316">
        <f t="shared" si="200"/>
        <v>0</v>
      </c>
      <c r="Z1013" s="320">
        <f>Tabela1[[#This Row],[PESO TOTAL]]-Tabela1[[#This Row],[Peso Expedido]]</f>
        <v>0</v>
      </c>
      <c r="AA1013" s="321">
        <v>1</v>
      </c>
      <c r="AB1013" s="322"/>
      <c r="AC1013" s="322">
        <v>1</v>
      </c>
      <c r="AD1013" s="322">
        <v>1</v>
      </c>
      <c r="AE1013" s="322">
        <v>1</v>
      </c>
      <c r="AF1013" s="322">
        <v>1</v>
      </c>
      <c r="AG1013" s="322">
        <v>1</v>
      </c>
      <c r="AH1013" s="322">
        <v>1</v>
      </c>
      <c r="AI1013" s="322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308" t="s">
        <v>5281</v>
      </c>
      <c r="B1014" s="309" t="s">
        <v>5238</v>
      </c>
      <c r="C1014" s="308">
        <v>1</v>
      </c>
      <c r="D1014" s="308" t="s">
        <v>5240</v>
      </c>
      <c r="E1014" s="307">
        <v>4661</v>
      </c>
      <c r="F1014" s="307">
        <v>61</v>
      </c>
      <c r="G1014" s="308">
        <v>168.6</v>
      </c>
      <c r="H1014" s="310">
        <f>Tabela1[[#This Row],[PESO UNI]]*Tabela1[[#This Row],[QTE]]</f>
        <v>168.6</v>
      </c>
      <c r="I1014" s="307" t="s">
        <v>5280</v>
      </c>
      <c r="J1014" s="311" t="s">
        <v>3045</v>
      </c>
      <c r="K1014" s="311" t="s">
        <v>4320</v>
      </c>
      <c r="L1014" s="312" t="s">
        <v>2984</v>
      </c>
      <c r="M1014" s="313">
        <v>46251</v>
      </c>
      <c r="N1014" s="311" t="s">
        <v>5105</v>
      </c>
      <c r="O1014" s="314"/>
      <c r="P1014" s="315"/>
      <c r="Q1014" s="14">
        <f>Tabela1[[#This Row],[QTDE/ Fabricação]]-Tabela1[[#This Row],[QTE]]</f>
        <v>-1</v>
      </c>
      <c r="R1014" s="317">
        <f>IFERROR(H1014*((AA1014*0.25)+(AC1014*0.25)+(AD1014*0.225)+(AE1014*0.225)+(AF1014*0.05)),"")</f>
        <v>168.6</v>
      </c>
      <c r="S1014" s="317">
        <f>IFERROR(H1014*AG1014,"")</f>
        <v>168.6</v>
      </c>
      <c r="T1014" s="318">
        <f>IFERROR(S1014-H1014,"")</f>
        <v>0</v>
      </c>
      <c r="U1014" s="319">
        <f>IFERROR(SUMIF('LISTA DE EMBARQUE'!B:B,MICRO!E:E,'LISTA DE EMBARQUE'!G:G),"")</f>
        <v>1</v>
      </c>
      <c r="V1014" s="314">
        <f>IFERROR(VLOOKUP(Tabela1[[#This Row],[COD.MDE]],'LISTA DE EMBARQUE'!B:L,11,0),"")</f>
        <v>8</v>
      </c>
      <c r="W1014" s="315">
        <f>IFERROR(VLOOKUP(Tabela1[[#This Row],[COD.MDE]],'LISTA DE EMBARQUE'!B:M,12,0),"")</f>
        <v>46280</v>
      </c>
      <c r="X1014" s="316">
        <f>IFERROR(Tabela1[[#This Row],[QIANTIDADE EXPEDIDA]]*Tabela1[[#This Row],[PESO UNI]],"")</f>
        <v>168.6</v>
      </c>
      <c r="Y1014" s="316">
        <f>U1014-C1014</f>
        <v>0</v>
      </c>
      <c r="Z1014" s="320">
        <f>Tabela1[[#This Row],[PESO TOTAL]]-Tabela1[[#This Row],[Peso Expedido]]</f>
        <v>0</v>
      </c>
      <c r="AA1014" s="321">
        <v>1</v>
      </c>
      <c r="AB1014" s="322"/>
      <c r="AC1014" s="322">
        <v>1</v>
      </c>
      <c r="AD1014" s="322">
        <v>1</v>
      </c>
      <c r="AE1014" s="322">
        <v>1</v>
      </c>
      <c r="AF1014" s="322">
        <v>1</v>
      </c>
      <c r="AG1014" s="322">
        <v>1</v>
      </c>
      <c r="AH1014" s="322">
        <v>1</v>
      </c>
      <c r="AI1014" s="32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308" t="s">
        <v>5281</v>
      </c>
      <c r="B1015" s="309" t="s">
        <v>5238</v>
      </c>
      <c r="C1015" s="308">
        <v>1</v>
      </c>
      <c r="D1015" s="308" t="s">
        <v>5416</v>
      </c>
      <c r="E1015" s="307">
        <v>4750</v>
      </c>
      <c r="F1015" s="307">
        <v>61</v>
      </c>
      <c r="G1015" s="308">
        <v>36.4</v>
      </c>
      <c r="H1015" s="310">
        <f>Tabela1[[#This Row],[PESO UNI]]*Tabela1[[#This Row],[QTE]]</f>
        <v>36.4</v>
      </c>
      <c r="I1015" s="307" t="s">
        <v>5280</v>
      </c>
      <c r="J1015" s="311" t="s">
        <v>3045</v>
      </c>
      <c r="K1015" s="311" t="s">
        <v>4320</v>
      </c>
      <c r="L1015" s="312" t="s">
        <v>2984</v>
      </c>
      <c r="M1015" s="313">
        <v>46251</v>
      </c>
      <c r="N1015" s="311" t="s">
        <v>5105</v>
      </c>
      <c r="O1015" s="314"/>
      <c r="P1015" s="315"/>
      <c r="Q1015" s="14">
        <f>Tabela1[[#This Row],[QTDE/ Fabricação]]-Tabela1[[#This Row],[QTE]]</f>
        <v>-1</v>
      </c>
      <c r="R1015" s="317">
        <f>IFERROR(H1015*((AA1015*0.25)+(AC1015*0.25)+(AD1015*0.225)+(AE1015*0.225)+(AF1015*0.05)),"")</f>
        <v>36.4</v>
      </c>
      <c r="S1015" s="317">
        <f>IFERROR(H1015*AG1015,"")</f>
        <v>36.4</v>
      </c>
      <c r="T1015" s="318">
        <f>IFERROR(S1015-H1015,"")</f>
        <v>0</v>
      </c>
      <c r="U1015" s="319">
        <f>IFERROR(SUMIF('LISTA DE EMBARQUE'!B:B,MICRO!E:E,'LISTA DE EMBARQUE'!G:G),"")</f>
        <v>1</v>
      </c>
      <c r="V1015" s="314">
        <f>IFERROR(VLOOKUP(Tabela1[[#This Row],[COD.MDE]],'LISTA DE EMBARQUE'!B:L,11,0),"")</f>
        <v>8</v>
      </c>
      <c r="W1015" s="315">
        <f>IFERROR(VLOOKUP(Tabela1[[#This Row],[COD.MDE]],'LISTA DE EMBARQUE'!B:M,12,0),"")</f>
        <v>46280</v>
      </c>
      <c r="X1015" s="316">
        <f>IFERROR(Tabela1[[#This Row],[QIANTIDADE EXPEDIDA]]*Tabela1[[#This Row],[PESO UNI]],"")</f>
        <v>36.4</v>
      </c>
      <c r="Y1015" s="316">
        <f>U1015-C1015</f>
        <v>0</v>
      </c>
      <c r="Z1015" s="320">
        <f>Tabela1[[#This Row],[PESO TOTAL]]-Tabela1[[#This Row],[Peso Expedido]]</f>
        <v>0</v>
      </c>
      <c r="AA1015" s="321">
        <v>1</v>
      </c>
      <c r="AB1015" s="322"/>
      <c r="AC1015" s="322">
        <v>1</v>
      </c>
      <c r="AD1015" s="322">
        <v>1</v>
      </c>
      <c r="AE1015" s="322">
        <v>1</v>
      </c>
      <c r="AF1015" s="322">
        <v>1</v>
      </c>
      <c r="AG1015" s="322">
        <v>1</v>
      </c>
      <c r="AH1015" s="322">
        <v>1</v>
      </c>
      <c r="AI1015" s="32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 t="s">
        <v>5639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 t="s">
        <v>5639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 t="s">
        <v>5639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 t="s">
        <v>5639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 t="s">
        <v>5639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 t="s">
        <v>5639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 t="s">
        <v>5639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5579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5579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5579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5579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5579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5579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5579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5277</v>
      </c>
      <c r="B1034" s="21" t="s">
        <v>5278</v>
      </c>
      <c r="C1034" s="1">
        <v>1</v>
      </c>
      <c r="D1034" s="1" t="s">
        <v>5279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5284</v>
      </c>
      <c r="B1035" s="21"/>
      <c r="C1035" s="1">
        <v>2</v>
      </c>
      <c r="D1035" s="1" t="s">
        <v>5285</v>
      </c>
      <c r="E1035" s="7">
        <v>4681</v>
      </c>
      <c r="F1035" s="7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5286</v>
      </c>
      <c r="B1036" s="21"/>
      <c r="C1036" s="1">
        <v>2</v>
      </c>
      <c r="D1036" s="1" t="s">
        <v>5287</v>
      </c>
      <c r="E1036" s="7">
        <v>4682</v>
      </c>
      <c r="F1036" s="7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5283</v>
      </c>
      <c r="B1037" s="21"/>
      <c r="C1037" s="1">
        <v>1</v>
      </c>
      <c r="D1037" s="1" t="s">
        <v>5288</v>
      </c>
      <c r="E1037" s="7">
        <v>4683</v>
      </c>
      <c r="F1037" s="7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5289</v>
      </c>
      <c r="B1038" s="21"/>
      <c r="C1038" s="1">
        <v>2</v>
      </c>
      <c r="D1038" s="1" t="s">
        <v>5290</v>
      </c>
      <c r="E1038" s="7">
        <v>4684</v>
      </c>
      <c r="F1038" s="7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5291</v>
      </c>
      <c r="B1039" s="21"/>
      <c r="C1039" s="1">
        <v>2</v>
      </c>
      <c r="D1039" s="1" t="s">
        <v>5292</v>
      </c>
      <c r="E1039" s="7">
        <v>4685</v>
      </c>
      <c r="F1039" s="7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5293</v>
      </c>
      <c r="B1040" s="21"/>
      <c r="C1040" s="1">
        <v>2</v>
      </c>
      <c r="D1040" s="1" t="s">
        <v>5294</v>
      </c>
      <c r="E1040" s="7">
        <v>4686</v>
      </c>
      <c r="F1040" s="7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5295</v>
      </c>
      <c r="B1041" s="21"/>
      <c r="C1041" s="1">
        <v>2</v>
      </c>
      <c r="D1041" s="1" t="s">
        <v>5296</v>
      </c>
      <c r="E1041" s="7">
        <v>4687</v>
      </c>
      <c r="F1041" s="7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5297</v>
      </c>
      <c r="B1042" s="21"/>
      <c r="C1042" s="1">
        <v>2</v>
      </c>
      <c r="D1042" s="1" t="s">
        <v>5298</v>
      </c>
      <c r="E1042" s="7">
        <v>4688</v>
      </c>
      <c r="F1042" s="7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>IFERROR(H1042*((AA1042*0.25)+(AC1042*0.25)+(AD1042*0.225)+(AE1042*0.225)+(AF1042*0.05)),"")</f>
        <v>0</v>
      </c>
      <c r="S1042" s="18">
        <f>IFERROR(H1042*AG1042,"")</f>
        <v>0</v>
      </c>
      <c r="T1042" s="19">
        <f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5300</v>
      </c>
      <c r="B1043" s="21" t="s">
        <v>5301</v>
      </c>
      <c r="C1043" s="1">
        <v>1</v>
      </c>
      <c r="D1043" s="1" t="s">
        <v>5302</v>
      </c>
      <c r="E1043" s="7">
        <v>4689</v>
      </c>
      <c r="F1043" s="7">
        <v>24</v>
      </c>
      <c r="G1043" s="1">
        <v>660</v>
      </c>
      <c r="H1043" s="34">
        <f>Tabela1[[#This Row],[PESO UNI]]*Tabela1[[#This Row],[QTE]]</f>
        <v>660</v>
      </c>
      <c r="I1043" s="7" t="s">
        <v>5580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ref="R1043:R1048" si="209">IFERROR(H1043*((AA1043*0.25)+(AC1043*0.25)+(AD1043*0.225)+(AE1043*0.225)+(AF1043*0.05)),"")</f>
        <v>404.25000000000006</v>
      </c>
      <c r="S1043" s="18">
        <f t="shared" ref="S1043:S1048" si="210">IFERROR(H1043*AG1043,"")</f>
        <v>0</v>
      </c>
      <c r="T1043" s="19">
        <f t="shared" ref="T1043:T1048" si="211">IFERROR(S1043-H1043,"")</f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ref="Y1043:Y1048" si="212">U1043-C1043</f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5303</v>
      </c>
      <c r="B1044" s="21" t="s">
        <v>5304</v>
      </c>
      <c r="C1044" s="1">
        <v>1</v>
      </c>
      <c r="D1044" s="1" t="s">
        <v>5305</v>
      </c>
      <c r="E1044" s="7">
        <v>4690</v>
      </c>
      <c r="F1044" s="7">
        <v>24</v>
      </c>
      <c r="G1044" s="1">
        <v>424.7</v>
      </c>
      <c r="H1044" s="34">
        <f>Tabela1[[#This Row],[PESO UNI]]*Tabela1[[#This Row],[QTE]]</f>
        <v>424.7</v>
      </c>
      <c r="I1044" s="7" t="s">
        <v>5580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307.90749999999997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1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5303</v>
      </c>
      <c r="B1045" s="21" t="s">
        <v>5304</v>
      </c>
      <c r="C1045" s="1">
        <v>1</v>
      </c>
      <c r="D1045" s="1" t="s">
        <v>5306</v>
      </c>
      <c r="E1045" s="7">
        <v>4691</v>
      </c>
      <c r="F1045" s="7">
        <v>24</v>
      </c>
      <c r="G1045" s="1">
        <v>254.4</v>
      </c>
      <c r="H1045" s="34">
        <f>Tabela1[[#This Row],[PESO UNI]]*Tabela1[[#This Row],[QTE]]</f>
        <v>254.4</v>
      </c>
      <c r="I1045" s="7" t="s">
        <v>5580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5307</v>
      </c>
      <c r="B1046" s="21" t="s">
        <v>5308</v>
      </c>
      <c r="C1046" s="1">
        <v>1</v>
      </c>
      <c r="D1046" s="1" t="s">
        <v>5309</v>
      </c>
      <c r="E1046" s="7">
        <v>4692</v>
      </c>
      <c r="F1046" s="7">
        <v>24</v>
      </c>
      <c r="G1046" s="1">
        <v>433.2</v>
      </c>
      <c r="H1046" s="34">
        <f>Tabela1[[#This Row],[PESO UNI]]*Tabela1[[#This Row],[QTE]]</f>
        <v>433.2</v>
      </c>
      <c r="I1046" s="7" t="s">
        <v>5580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5310</v>
      </c>
      <c r="B1047" s="21" t="s">
        <v>5311</v>
      </c>
      <c r="C1047" s="1">
        <v>1</v>
      </c>
      <c r="D1047" s="1" t="s">
        <v>5312</v>
      </c>
      <c r="E1047" s="7">
        <v>4693</v>
      </c>
      <c r="F1047" s="7">
        <v>23</v>
      </c>
      <c r="G1047" s="1">
        <v>425.4</v>
      </c>
      <c r="H1047" s="34">
        <f>Tabela1[[#This Row],[PESO UNI]]*Tabela1[[#This Row],[QTE]]</f>
        <v>425.4</v>
      </c>
      <c r="I1047" s="7" t="s">
        <v>5711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425.4</v>
      </c>
      <c r="S1047" s="18">
        <f t="shared" si="210"/>
        <v>425.4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5313</v>
      </c>
      <c r="B1048" s="21" t="s">
        <v>5314</v>
      </c>
      <c r="C1048" s="1">
        <v>1</v>
      </c>
      <c r="D1048" s="1" t="s">
        <v>5315</v>
      </c>
      <c r="E1048" s="7">
        <v>4694</v>
      </c>
      <c r="F1048" s="7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5712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586.79999999999995</v>
      </c>
      <c r="S1048" s="18">
        <f t="shared" si="210"/>
        <v>586.79999999999995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5316</v>
      </c>
      <c r="B1049" s="21" t="s">
        <v>5317</v>
      </c>
      <c r="C1049" s="1">
        <v>1</v>
      </c>
      <c r="D1049" s="1" t="s">
        <v>5318</v>
      </c>
      <c r="E1049" s="7">
        <v>4695</v>
      </c>
      <c r="F1049" s="7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5579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303.42999999999995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/>
      <c r="AG1049" s="33"/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5316</v>
      </c>
      <c r="B1050" s="21" t="s">
        <v>5317</v>
      </c>
      <c r="C1050" s="1">
        <v>2</v>
      </c>
      <c r="D1050" s="1" t="s">
        <v>5319</v>
      </c>
      <c r="E1050" s="7">
        <v>4696</v>
      </c>
      <c r="F1050" s="7">
        <v>25</v>
      </c>
      <c r="G1050" s="1">
        <v>62.1</v>
      </c>
      <c r="H1050" s="34">
        <f>Tabela1[[#This Row],[PESO UNI]]*Tabela1[[#This Row],[QTE]]</f>
        <v>124.2</v>
      </c>
      <c r="I1050" s="7" t="s">
        <v>5579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117.99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5316</v>
      </c>
      <c r="B1051" s="21" t="s">
        <v>5317</v>
      </c>
      <c r="C1051" s="1">
        <v>2</v>
      </c>
      <c r="D1051" s="1" t="s">
        <v>5320</v>
      </c>
      <c r="E1051" s="7">
        <v>4697</v>
      </c>
      <c r="F1051" s="7">
        <v>25</v>
      </c>
      <c r="G1051" s="1">
        <v>9.5</v>
      </c>
      <c r="H1051" s="34">
        <f>Tabela1[[#This Row],[PESO UNI]]*Tabela1[[#This Row],[QTE]]</f>
        <v>19</v>
      </c>
      <c r="I1051" s="7" t="s">
        <v>5579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18.05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5321</v>
      </c>
      <c r="B1052" s="21" t="s">
        <v>5322</v>
      </c>
      <c r="C1052" s="1">
        <v>6</v>
      </c>
      <c r="D1052" s="1" t="s">
        <v>5323</v>
      </c>
      <c r="E1052" s="7">
        <v>4698</v>
      </c>
      <c r="F1052" s="7">
        <v>26</v>
      </c>
      <c r="G1052" s="1">
        <v>49.6</v>
      </c>
      <c r="H1052" s="34">
        <f>Tabela1[[#This Row],[PESO UNI]]*Tabela1[[#This Row],[QTE]]</f>
        <v>297.60000000000002</v>
      </c>
      <c r="I1052" s="7" t="s">
        <v>5933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129.45600000000002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0.6</v>
      </c>
      <c r="AB1052" s="33"/>
      <c r="AC1052" s="33">
        <v>0.6</v>
      </c>
      <c r="AD1052" s="33">
        <v>0.6</v>
      </c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5321</v>
      </c>
      <c r="B1053" s="21" t="s">
        <v>5322</v>
      </c>
      <c r="C1053" s="1">
        <v>6</v>
      </c>
      <c r="D1053" s="1" t="s">
        <v>5324</v>
      </c>
      <c r="E1053" s="7">
        <v>4699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5933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5321</v>
      </c>
      <c r="B1054" s="21" t="s">
        <v>5322</v>
      </c>
      <c r="C1054" s="1">
        <v>1</v>
      </c>
      <c r="D1054" s="1" t="s">
        <v>5325</v>
      </c>
      <c r="E1054" s="7">
        <v>4700</v>
      </c>
      <c r="F1054" s="7">
        <v>26</v>
      </c>
      <c r="G1054" s="1">
        <v>13.7</v>
      </c>
      <c r="H1054" s="34">
        <f>Tabela1[[#This Row],[PESO UNI]]*Tabela1[[#This Row],[QTE]]</f>
        <v>13.7</v>
      </c>
      <c r="I1054" s="7" t="s">
        <v>5933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5.9594999999999994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5321</v>
      </c>
      <c r="B1055" s="21" t="s">
        <v>5322</v>
      </c>
      <c r="C1055" s="1">
        <v>12</v>
      </c>
      <c r="D1055" s="1" t="s">
        <v>5326</v>
      </c>
      <c r="E1055" s="7">
        <v>4701</v>
      </c>
      <c r="F1055" s="7">
        <v>26</v>
      </c>
      <c r="G1055" s="1">
        <v>7</v>
      </c>
      <c r="H1055" s="34">
        <f>Tabela1[[#This Row],[PESO UNI]]*Tabela1[[#This Row],[QTE]]</f>
        <v>84</v>
      </c>
      <c r="I1055" s="7" t="s">
        <v>5933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36.54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5321</v>
      </c>
      <c r="B1056" s="21" t="s">
        <v>5322</v>
      </c>
      <c r="C1056" s="1">
        <v>12</v>
      </c>
      <c r="D1056" s="1" t="s">
        <v>5327</v>
      </c>
      <c r="E1056" s="7">
        <v>4702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5933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5321</v>
      </c>
      <c r="B1057" s="21" t="s">
        <v>5322</v>
      </c>
      <c r="C1057" s="1">
        <v>24</v>
      </c>
      <c r="D1057" s="1" t="s">
        <v>5328</v>
      </c>
      <c r="E1057" s="7">
        <v>4703</v>
      </c>
      <c r="F1057" s="7">
        <v>26</v>
      </c>
      <c r="G1057" s="1">
        <v>0.6</v>
      </c>
      <c r="H1057" s="34">
        <f>Tabela1[[#This Row],[PESO UNI]]*Tabela1[[#This Row],[QTE]]</f>
        <v>14.399999999999999</v>
      </c>
      <c r="I1057" s="7" t="s">
        <v>5933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13.679999999999998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1</v>
      </c>
      <c r="AB1057" s="33"/>
      <c r="AC1057" s="33">
        <v>1</v>
      </c>
      <c r="AD1057" s="33">
        <v>1</v>
      </c>
      <c r="AE1057" s="33">
        <v>1</v>
      </c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5321</v>
      </c>
      <c r="B1058" s="21" t="s">
        <v>5322</v>
      </c>
      <c r="C1058" s="1">
        <v>12</v>
      </c>
      <c r="D1058" s="1" t="s">
        <v>5331</v>
      </c>
      <c r="E1058" s="7">
        <v>4704</v>
      </c>
      <c r="F1058" s="7">
        <v>26</v>
      </c>
      <c r="G1058" s="1">
        <v>1.7</v>
      </c>
      <c r="H1058" s="34">
        <f>Tabela1[[#This Row],[PESO UNI]]*Tabela1[[#This Row],[QTE]]</f>
        <v>20.399999999999999</v>
      </c>
      <c r="I1058" s="7" t="s">
        <v>5933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19.38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5321</v>
      </c>
      <c r="B1059" s="21" t="s">
        <v>5322</v>
      </c>
      <c r="C1059" s="1">
        <v>24</v>
      </c>
      <c r="D1059" s="1" t="s">
        <v>5330</v>
      </c>
      <c r="E1059" s="7">
        <v>4705</v>
      </c>
      <c r="F1059" s="7">
        <v>26</v>
      </c>
      <c r="G1059" s="1">
        <v>1.5</v>
      </c>
      <c r="H1059" s="34">
        <f>Tabela1[[#This Row],[PESO UNI]]*Tabela1[[#This Row],[QTE]]</f>
        <v>36</v>
      </c>
      <c r="I1059" s="7" t="s">
        <v>5933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15.66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0.6</v>
      </c>
      <c r="AB1059" s="33"/>
      <c r="AC1059" s="33">
        <v>0.6</v>
      </c>
      <c r="AD1059" s="33">
        <v>0.6</v>
      </c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5321</v>
      </c>
      <c r="B1060" s="21" t="s">
        <v>5322</v>
      </c>
      <c r="C1060" s="1">
        <v>1</v>
      </c>
      <c r="D1060" s="1" t="s">
        <v>5329</v>
      </c>
      <c r="E1060" s="7">
        <v>4706</v>
      </c>
      <c r="F1060" s="7">
        <v>26</v>
      </c>
      <c r="G1060" s="1">
        <v>1.3</v>
      </c>
      <c r="H1060" s="34">
        <f>Tabela1[[#This Row],[PESO UNI]]*Tabela1[[#This Row],[QTE]]</f>
        <v>1.3</v>
      </c>
      <c r="I1060" s="7" t="s">
        <v>5933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1.2349999999999999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5334</v>
      </c>
      <c r="B1061" s="21"/>
      <c r="C1061" s="1">
        <v>2</v>
      </c>
      <c r="D1061" s="1" t="s">
        <v>5335</v>
      </c>
      <c r="E1061" s="7">
        <v>4707</v>
      </c>
      <c r="F1061" s="7">
        <v>22</v>
      </c>
      <c r="G1061" s="1">
        <v>562</v>
      </c>
      <c r="H1061" s="34">
        <f>Tabela1[[#This Row],[PESO UNI]]*Tabela1[[#This Row],[QTE]]</f>
        <v>1124</v>
      </c>
      <c r="I1061" s="7" t="s">
        <v>5401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5332</v>
      </c>
      <c r="B1062" s="21" t="s">
        <v>5333</v>
      </c>
      <c r="C1062" s="1">
        <v>1</v>
      </c>
      <c r="D1062" s="1" t="s">
        <v>5336</v>
      </c>
      <c r="E1062" s="7">
        <v>4708</v>
      </c>
      <c r="F1062" s="7">
        <v>27</v>
      </c>
      <c r="G1062" s="1">
        <v>41</v>
      </c>
      <c r="H1062" s="34">
        <f>Tabela1[[#This Row],[PESO UNI]]*Tabela1[[#This Row],[QTE]]</f>
        <v>41</v>
      </c>
      <c r="I1062" s="7" t="s">
        <v>5579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5332</v>
      </c>
      <c r="B1063" s="21" t="s">
        <v>5333</v>
      </c>
      <c r="C1063" s="1">
        <v>2</v>
      </c>
      <c r="D1063" s="1" t="s">
        <v>5337</v>
      </c>
      <c r="E1063" s="7">
        <v>4709</v>
      </c>
      <c r="F1063" s="7">
        <v>27</v>
      </c>
      <c r="G1063" s="1">
        <v>5.2</v>
      </c>
      <c r="H1063" s="34">
        <f>Tabela1[[#This Row],[PESO UNI]]*Tabela1[[#This Row],[QTE]]</f>
        <v>10.4</v>
      </c>
      <c r="I1063" s="7" t="s">
        <v>5579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5332</v>
      </c>
      <c r="B1064" s="21" t="s">
        <v>5333</v>
      </c>
      <c r="C1064" s="1">
        <v>1</v>
      </c>
      <c r="D1064" s="1" t="s">
        <v>5338</v>
      </c>
      <c r="E1064" s="7">
        <v>4710</v>
      </c>
      <c r="F1064" s="7">
        <v>27</v>
      </c>
      <c r="G1064" s="1">
        <v>12.7</v>
      </c>
      <c r="H1064" s="34">
        <f>Tabela1[[#This Row],[PESO UNI]]*Tabela1[[#This Row],[QTE]]</f>
        <v>12.7</v>
      </c>
      <c r="I1064" s="7" t="s">
        <v>5579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5332</v>
      </c>
      <c r="B1065" s="21" t="s">
        <v>5333</v>
      </c>
      <c r="C1065" s="1">
        <v>4</v>
      </c>
      <c r="D1065" s="1" t="s">
        <v>5339</v>
      </c>
      <c r="E1065" s="7">
        <v>4711</v>
      </c>
      <c r="F1065" s="7">
        <v>27</v>
      </c>
      <c r="G1065" s="1">
        <v>0.8</v>
      </c>
      <c r="H1065" s="34">
        <f>Tabela1[[#This Row],[PESO UNI]]*Tabela1[[#This Row],[QTE]]</f>
        <v>3.2</v>
      </c>
      <c r="I1065" s="7" t="s">
        <v>5579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5332</v>
      </c>
      <c r="B1066" s="21" t="s">
        <v>5333</v>
      </c>
      <c r="C1066" s="1">
        <v>2</v>
      </c>
      <c r="D1066" s="1" t="s">
        <v>5340</v>
      </c>
      <c r="E1066" s="7">
        <v>4712</v>
      </c>
      <c r="F1066" s="7">
        <v>27</v>
      </c>
      <c r="G1066" s="1">
        <v>0.4</v>
      </c>
      <c r="H1066" s="34">
        <f>Tabela1[[#This Row],[PESO UNI]]*Tabela1[[#This Row],[QTE]]</f>
        <v>0.8</v>
      </c>
      <c r="I1066" s="7" t="s">
        <v>5579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5332</v>
      </c>
      <c r="B1067" s="21" t="s">
        <v>5333</v>
      </c>
      <c r="C1067" s="1">
        <v>4</v>
      </c>
      <c r="D1067" s="1" t="s">
        <v>5341</v>
      </c>
      <c r="E1067" s="7">
        <v>4713</v>
      </c>
      <c r="F1067" s="7">
        <v>27</v>
      </c>
      <c r="G1067" s="1">
        <v>0.4</v>
      </c>
      <c r="H1067" s="34">
        <f>Tabela1[[#This Row],[PESO UNI]]*Tabela1[[#This Row],[QTE]]</f>
        <v>1.6</v>
      </c>
      <c r="I1067" s="7" t="s">
        <v>5579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5332</v>
      </c>
      <c r="B1068" s="21" t="s">
        <v>5333</v>
      </c>
      <c r="C1068" s="1">
        <v>2</v>
      </c>
      <c r="D1068" s="1" t="s">
        <v>5342</v>
      </c>
      <c r="E1068" s="7">
        <v>4714</v>
      </c>
      <c r="F1068" s="7">
        <v>27</v>
      </c>
      <c r="G1068" s="1">
        <v>0.6</v>
      </c>
      <c r="H1068" s="34">
        <f>Tabela1[[#This Row],[PESO UNI]]*Tabela1[[#This Row],[QTE]]</f>
        <v>1.2</v>
      </c>
      <c r="I1068" s="7" t="s">
        <v>5579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7" si="221">IFERROR(H1068*((AA1068*0.25)+(AC1068*0.25)+(AD1068*0.225)+(AE1068*0.225)+(AF1068*0.05)),"")</f>
        <v>0</v>
      </c>
      <c r="S1068" s="18">
        <f t="shared" ref="S1068:S1097" si="222">IFERROR(H1068*AG1068,"")</f>
        <v>0</v>
      </c>
      <c r="T1068" s="19">
        <f t="shared" ref="T1068:T1097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7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5332</v>
      </c>
      <c r="B1069" s="21" t="s">
        <v>5333</v>
      </c>
      <c r="C1069" s="1">
        <v>1</v>
      </c>
      <c r="D1069" s="1" t="s">
        <v>5343</v>
      </c>
      <c r="E1069" s="7">
        <v>4715</v>
      </c>
      <c r="F1069" s="7">
        <v>27</v>
      </c>
      <c r="G1069" s="1">
        <v>104</v>
      </c>
      <c r="H1069" s="34">
        <f>Tabela1[[#This Row],[PESO UNI]]*Tabela1[[#This Row],[QTE]]</f>
        <v>104</v>
      </c>
      <c r="I1069" s="7" t="s">
        <v>5579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5344</v>
      </c>
      <c r="B1070" s="21" t="s">
        <v>5345</v>
      </c>
      <c r="C1070" s="1">
        <v>1</v>
      </c>
      <c r="D1070" s="1" t="s">
        <v>5346</v>
      </c>
      <c r="E1070" s="7">
        <v>4716</v>
      </c>
      <c r="F1070" s="7">
        <v>28</v>
      </c>
      <c r="G1070" s="1">
        <v>254.3</v>
      </c>
      <c r="H1070" s="34">
        <f>Tabela1[[#This Row],[PESO UNI]]*Tabela1[[#This Row],[QTE]]</f>
        <v>254.3</v>
      </c>
      <c r="I1070" s="7" t="s">
        <v>5579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241.58500000000001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5344</v>
      </c>
      <c r="B1071" s="21" t="s">
        <v>5345</v>
      </c>
      <c r="C1071" s="1">
        <v>1</v>
      </c>
      <c r="D1071" s="1" t="s">
        <v>5347</v>
      </c>
      <c r="E1071" s="7">
        <v>4717</v>
      </c>
      <c r="F1071" s="7">
        <v>28</v>
      </c>
      <c r="G1071" s="1">
        <v>155.5</v>
      </c>
      <c r="H1071" s="34">
        <f>Tabela1[[#This Row],[PESO UNI]]*Tabela1[[#This Row],[QTE]]</f>
        <v>155.5</v>
      </c>
      <c r="I1071" s="7" t="s">
        <v>5579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147.72499999999999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5348</v>
      </c>
      <c r="B1072" s="21" t="s">
        <v>5349</v>
      </c>
      <c r="C1072" s="1">
        <v>1</v>
      </c>
      <c r="D1072" s="1" t="s">
        <v>5350</v>
      </c>
      <c r="E1072" s="7">
        <v>4718</v>
      </c>
      <c r="F1072" s="7">
        <v>29</v>
      </c>
      <c r="G1072" s="1">
        <v>27.4</v>
      </c>
      <c r="H1072" s="34">
        <f>Tabela1[[#This Row],[PESO UNI]]*Tabela1[[#This Row],[QTE]]</f>
        <v>27.4</v>
      </c>
      <c r="I1072" s="7" t="s">
        <v>5579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19.864999999999998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>
        <v>1</v>
      </c>
      <c r="AB1072" s="33"/>
      <c r="AC1072" s="33">
        <v>1</v>
      </c>
      <c r="AD1072" s="33">
        <v>1</v>
      </c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5348</v>
      </c>
      <c r="B1073" s="21" t="s">
        <v>5349</v>
      </c>
      <c r="C1073" s="1">
        <v>1</v>
      </c>
      <c r="D1073" s="1" t="s">
        <v>5351</v>
      </c>
      <c r="E1073" s="7">
        <v>4719</v>
      </c>
      <c r="F1073" s="7">
        <v>29</v>
      </c>
      <c r="G1073" s="1">
        <v>13.2</v>
      </c>
      <c r="H1073" s="34">
        <f>Tabela1[[#This Row],[PESO UNI]]*Tabela1[[#This Row],[QTE]]</f>
        <v>13.2</v>
      </c>
      <c r="I1073" s="7" t="s">
        <v>5579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9.5699999999999985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5348</v>
      </c>
      <c r="B1074" s="21" t="s">
        <v>5349</v>
      </c>
      <c r="C1074" s="1">
        <v>1</v>
      </c>
      <c r="D1074" s="1" t="s">
        <v>5352</v>
      </c>
      <c r="E1074" s="7">
        <v>4720</v>
      </c>
      <c r="F1074" s="7">
        <v>29</v>
      </c>
      <c r="G1074" s="1">
        <v>9.6</v>
      </c>
      <c r="H1074" s="34">
        <f>Tabela1[[#This Row],[PESO UNI]]*Tabela1[[#This Row],[QTE]]</f>
        <v>9.6</v>
      </c>
      <c r="I1074" s="7" t="s">
        <v>5579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6.96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5348</v>
      </c>
      <c r="B1075" s="21" t="s">
        <v>5349</v>
      </c>
      <c r="C1075" s="1">
        <v>1</v>
      </c>
      <c r="D1075" s="1" t="s">
        <v>5353</v>
      </c>
      <c r="E1075" s="7">
        <v>4721</v>
      </c>
      <c r="F1075" s="7">
        <v>29</v>
      </c>
      <c r="G1075" s="1">
        <v>20.2</v>
      </c>
      <c r="H1075" s="34">
        <f>Tabela1[[#This Row],[PESO UNI]]*Tabela1[[#This Row],[QTE]]</f>
        <v>20.2</v>
      </c>
      <c r="I1075" s="7" t="s">
        <v>5579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14.645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5348</v>
      </c>
      <c r="B1076" s="21" t="s">
        <v>5349</v>
      </c>
      <c r="C1076" s="1">
        <v>1</v>
      </c>
      <c r="D1076" s="1" t="s">
        <v>5354</v>
      </c>
      <c r="E1076" s="7">
        <v>4722</v>
      </c>
      <c r="F1076" s="7">
        <v>29</v>
      </c>
      <c r="G1076" s="1">
        <v>11</v>
      </c>
      <c r="H1076" s="34">
        <f>Tabela1[[#This Row],[PESO UNI]]*Tabela1[[#This Row],[QTE]]</f>
        <v>11</v>
      </c>
      <c r="I1076" s="7" t="s">
        <v>5579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7.9749999999999996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5348</v>
      </c>
      <c r="B1077" s="21" t="s">
        <v>5349</v>
      </c>
      <c r="C1077" s="1">
        <v>1</v>
      </c>
      <c r="D1077" s="1" t="s">
        <v>5355</v>
      </c>
      <c r="E1077" s="7">
        <v>4723</v>
      </c>
      <c r="F1077" s="7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5579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26.245000000000001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5348</v>
      </c>
      <c r="B1078" s="21" t="s">
        <v>5349</v>
      </c>
      <c r="C1078" s="1">
        <v>1</v>
      </c>
      <c r="D1078" s="1" t="s">
        <v>5356</v>
      </c>
      <c r="E1078" s="7">
        <v>4724</v>
      </c>
      <c r="F1078" s="7">
        <v>29</v>
      </c>
      <c r="G1078" s="1">
        <v>0.4</v>
      </c>
      <c r="H1078" s="34">
        <f>Tabela1[[#This Row],[PESO UNI]]*Tabela1[[#This Row],[QTE]]</f>
        <v>0.4</v>
      </c>
      <c r="I1078" s="7" t="s">
        <v>5579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0.28999999999999998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5357</v>
      </c>
      <c r="B1079" s="21" t="s">
        <v>5358</v>
      </c>
      <c r="C1079" s="1">
        <v>1</v>
      </c>
      <c r="D1079" s="1" t="s">
        <v>5359</v>
      </c>
      <c r="E1079" s="7">
        <v>4725</v>
      </c>
      <c r="F1079" s="7">
        <v>30</v>
      </c>
      <c r="G1079" s="1">
        <v>91</v>
      </c>
      <c r="H1079" s="34">
        <f>Tabela1[[#This Row],[PESO UNI]]*Tabela1[[#This Row],[QTE]]</f>
        <v>91</v>
      </c>
      <c r="I1079" s="7" t="s">
        <v>5579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91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5357</v>
      </c>
      <c r="B1080" s="21" t="s">
        <v>5358</v>
      </c>
      <c r="C1080" s="1">
        <v>2</v>
      </c>
      <c r="D1080" s="1" t="s">
        <v>5360</v>
      </c>
      <c r="E1080" s="7">
        <v>4726</v>
      </c>
      <c r="F1080" s="7">
        <v>30</v>
      </c>
      <c r="G1080" s="1">
        <v>13.25</v>
      </c>
      <c r="H1080" s="34">
        <f>Tabela1[[#This Row],[PESO UNI]]*Tabela1[[#This Row],[QTE]]</f>
        <v>26.5</v>
      </c>
      <c r="I1080" s="7" t="s">
        <v>5579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21.200000000000003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>
        <v>0.8</v>
      </c>
      <c r="AE1080" s="33">
        <v>0.8</v>
      </c>
      <c r="AF1080" s="33">
        <v>0.8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5357</v>
      </c>
      <c r="B1081" s="21" t="s">
        <v>5358</v>
      </c>
      <c r="C1081" s="1">
        <v>18</v>
      </c>
      <c r="D1081" s="1" t="s">
        <v>5361</v>
      </c>
      <c r="E1081" s="7">
        <v>4727</v>
      </c>
      <c r="F1081" s="7">
        <v>30</v>
      </c>
      <c r="G1081" s="1">
        <v>1.2</v>
      </c>
      <c r="H1081" s="34">
        <f>Tabela1[[#This Row],[PESO UNI]]*Tabela1[[#This Row],[QTE]]</f>
        <v>21.599999999999998</v>
      </c>
      <c r="I1081" s="7" t="s">
        <v>5579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17.28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5357</v>
      </c>
      <c r="B1082" s="21" t="s">
        <v>5358</v>
      </c>
      <c r="C1082" s="1">
        <v>2</v>
      </c>
      <c r="D1082" s="1" t="s">
        <v>5748</v>
      </c>
      <c r="E1082" s="7">
        <v>4913</v>
      </c>
      <c r="F1082" s="7">
        <v>30</v>
      </c>
      <c r="G1082" s="1">
        <v>19.5</v>
      </c>
      <c r="H1082" s="34">
        <f>Tabela1[[#This Row],[PESO UNI]]*Tabela1[[#This Row],[QTE]]</f>
        <v>39</v>
      </c>
      <c r="I1082" s="7" t="s">
        <v>5579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>IFERROR(H1082*((AA1082*0.25)+(AC1082*0.25)+(AD1082*0.225)+(AE1082*0.225)+(AF1082*0.05)),"")</f>
        <v>31.200000000000006</v>
      </c>
      <c r="S1082" s="18">
        <f>IFERROR(H1082*AG1082,"")</f>
        <v>0</v>
      </c>
      <c r="T1082" s="19">
        <f>IFERROR(S1082-H1082,"")</f>
        <v>-39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>U1082-C1082</f>
        <v>-2</v>
      </c>
      <c r="Z1082" s="20">
        <f>Tabela1[[#This Row],[PESO TOTAL]]-Tabela1[[#This Row],[Peso Expedido]]</f>
        <v>39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5357</v>
      </c>
      <c r="B1083" s="21" t="s">
        <v>5358</v>
      </c>
      <c r="C1083" s="1">
        <v>2</v>
      </c>
      <c r="D1083" s="1" t="s">
        <v>5749</v>
      </c>
      <c r="E1083" s="7">
        <v>4914</v>
      </c>
      <c r="F1083" s="7">
        <v>30</v>
      </c>
      <c r="G1083" s="1">
        <v>1.9</v>
      </c>
      <c r="H1083" s="34">
        <f>Tabela1[[#This Row],[PESO UNI]]*Tabela1[[#This Row],[QTE]]</f>
        <v>3.8</v>
      </c>
      <c r="I1083" s="7" t="s">
        <v>5579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3.0400000000000005</v>
      </c>
      <c r="S1083" s="18">
        <f>IFERROR(H1083*AG1083,"")</f>
        <v>0</v>
      </c>
      <c r="T1083" s="19">
        <f>IFERROR(S1083-H1083,"")</f>
        <v>-3.8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3.8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5362</v>
      </c>
      <c r="B1084" s="21" t="s">
        <v>5363</v>
      </c>
      <c r="C1084" s="1">
        <v>2</v>
      </c>
      <c r="D1084" s="1" t="s">
        <v>5364</v>
      </c>
      <c r="E1084" s="7">
        <v>4728</v>
      </c>
      <c r="F1084" s="7">
        <v>31</v>
      </c>
      <c r="G1084" s="1">
        <v>93.6</v>
      </c>
      <c r="H1084" s="34">
        <f>Tabela1[[#This Row],[PESO UNI]]*Tabela1[[#This Row],[QTE]]</f>
        <v>187.2</v>
      </c>
      <c r="I1084" s="7" t="s">
        <v>5579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 t="shared" si="221"/>
        <v>135.72</v>
      </c>
      <c r="S1084" s="18">
        <f t="shared" si="222"/>
        <v>0</v>
      </c>
      <c r="T1084" s="19">
        <f t="shared" si="223"/>
        <v>-187.2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-2</v>
      </c>
      <c r="Z1084" s="20">
        <f>Tabela1[[#This Row],[PESO TOTAL]]-Tabela1[[#This Row],[Peso Expedido]]</f>
        <v>187.2</v>
      </c>
      <c r="AA1084" s="17">
        <v>1</v>
      </c>
      <c r="AB1084" s="33"/>
      <c r="AC1084" s="33">
        <v>1</v>
      </c>
      <c r="AD1084" s="33">
        <v>1</v>
      </c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5362</v>
      </c>
      <c r="B1085" s="21" t="s">
        <v>5363</v>
      </c>
      <c r="C1085" s="1">
        <v>18</v>
      </c>
      <c r="D1085" s="1" t="s">
        <v>5365</v>
      </c>
      <c r="E1085" s="7">
        <v>4729</v>
      </c>
      <c r="F1085" s="7">
        <v>31</v>
      </c>
      <c r="G1085" s="1">
        <v>36.200000000000003</v>
      </c>
      <c r="H1085" s="34">
        <f>Tabela1[[#This Row],[PESO UNI]]*Tabela1[[#This Row],[QTE]]</f>
        <v>651.6</v>
      </c>
      <c r="I1085" s="7" t="s">
        <v>5579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-18</v>
      </c>
      <c r="R1085" s="18">
        <f t="shared" si="221"/>
        <v>472.41</v>
      </c>
      <c r="S1085" s="18">
        <f t="shared" si="222"/>
        <v>0</v>
      </c>
      <c r="T1085" s="19">
        <f t="shared" si="223"/>
        <v>-651.6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-18</v>
      </c>
      <c r="Z1085" s="20">
        <f>Tabela1[[#This Row],[PESO TOTAL]]-Tabela1[[#This Row],[Peso Expedido]]</f>
        <v>651.6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5366</v>
      </c>
      <c r="B1086" s="21" t="s">
        <v>5367</v>
      </c>
      <c r="C1086" s="1">
        <v>1</v>
      </c>
      <c r="D1086" s="1" t="s">
        <v>5368</v>
      </c>
      <c r="E1086" s="7">
        <v>4730</v>
      </c>
      <c r="F1086" s="7">
        <v>31</v>
      </c>
      <c r="G1086" s="1">
        <v>36</v>
      </c>
      <c r="H1086" s="34">
        <f>Tabela1[[#This Row],[PESO UNI]]*Tabela1[[#This Row],[QTE]]</f>
        <v>36</v>
      </c>
      <c r="I1086" s="7" t="s">
        <v>5579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</v>
      </c>
      <c r="R1086" s="18">
        <f t="shared" si="221"/>
        <v>36</v>
      </c>
      <c r="S1086" s="18">
        <f t="shared" si="222"/>
        <v>36</v>
      </c>
      <c r="T1086" s="19">
        <f t="shared" si="223"/>
        <v>0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</v>
      </c>
      <c r="Z1086" s="20">
        <f>Tabela1[[#This Row],[PESO TOTAL]]-Tabela1[[#This Row],[Peso Expedido]]</f>
        <v>36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5366</v>
      </c>
      <c r="B1087" s="21" t="s">
        <v>5367</v>
      </c>
      <c r="C1087" s="1">
        <v>2</v>
      </c>
      <c r="D1087" s="1" t="s">
        <v>5369</v>
      </c>
      <c r="E1087" s="7">
        <v>4731</v>
      </c>
      <c r="F1087" s="7">
        <v>31</v>
      </c>
      <c r="G1087" s="1">
        <v>79.900000000000006</v>
      </c>
      <c r="H1087" s="34">
        <f>Tabela1[[#This Row],[PESO UNI]]*Tabela1[[#This Row],[QTE]]</f>
        <v>159.80000000000001</v>
      </c>
      <c r="I1087" s="7" t="s">
        <v>5579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159.80000000000001</v>
      </c>
      <c r="S1087" s="18">
        <f t="shared" si="222"/>
        <v>159.80000000000001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159.80000000000001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5366</v>
      </c>
      <c r="B1088" s="21" t="s">
        <v>5367</v>
      </c>
      <c r="C1088" s="1">
        <v>4</v>
      </c>
      <c r="D1088" s="1" t="s">
        <v>5370</v>
      </c>
      <c r="E1088" s="7">
        <v>4732</v>
      </c>
      <c r="F1088" s="7">
        <v>31</v>
      </c>
      <c r="G1088" s="1">
        <v>240.9</v>
      </c>
      <c r="H1088" s="34">
        <f>Tabela1[[#This Row],[PESO UNI]]*Tabela1[[#This Row],[QTE]]</f>
        <v>963.6</v>
      </c>
      <c r="I1088" s="7" t="s">
        <v>5579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963.6</v>
      </c>
      <c r="S1088" s="18">
        <f t="shared" si="222"/>
        <v>963.6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963.6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5366</v>
      </c>
      <c r="B1089" s="21" t="s">
        <v>5367</v>
      </c>
      <c r="C1089" s="1">
        <v>2</v>
      </c>
      <c r="D1089" s="1" t="s">
        <v>5371</v>
      </c>
      <c r="E1089" s="7">
        <v>4733</v>
      </c>
      <c r="F1089" s="7">
        <v>31</v>
      </c>
      <c r="G1089" s="1">
        <v>90.5</v>
      </c>
      <c r="H1089" s="34">
        <f>Tabela1[[#This Row],[PESO UNI]]*Tabela1[[#This Row],[QTE]]</f>
        <v>181</v>
      </c>
      <c r="I1089" s="7" t="s">
        <v>5579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181</v>
      </c>
      <c r="S1089" s="18">
        <f t="shared" si="222"/>
        <v>181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181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5372</v>
      </c>
      <c r="B1090" s="21" t="s">
        <v>5373</v>
      </c>
      <c r="C1090" s="1">
        <v>4</v>
      </c>
      <c r="D1090" s="1" t="s">
        <v>5374</v>
      </c>
      <c r="E1090" s="7">
        <v>4734</v>
      </c>
      <c r="F1090" s="7">
        <v>31</v>
      </c>
      <c r="G1090" s="1">
        <v>102.4</v>
      </c>
      <c r="H1090" s="34">
        <f>Tabela1[[#This Row],[PESO UNI]]*Tabela1[[#This Row],[QTE]]</f>
        <v>409.6</v>
      </c>
      <c r="I1090" s="7" t="s">
        <v>5579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-4</v>
      </c>
      <c r="R1090" s="18">
        <f t="shared" si="221"/>
        <v>296.95999999999998</v>
      </c>
      <c r="S1090" s="18">
        <f t="shared" si="222"/>
        <v>0</v>
      </c>
      <c r="T1090" s="19">
        <f t="shared" si="223"/>
        <v>-409.6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-4</v>
      </c>
      <c r="Z1090" s="20">
        <f>Tabela1[[#This Row],[PESO TOTAL]]-Tabela1[[#This Row],[Peso Expedido]]</f>
        <v>409.6</v>
      </c>
      <c r="AA1090" s="17">
        <v>1</v>
      </c>
      <c r="AB1090" s="33"/>
      <c r="AC1090" s="33">
        <v>1</v>
      </c>
      <c r="AD1090" s="33">
        <v>1</v>
      </c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5372</v>
      </c>
      <c r="B1091" s="21" t="s">
        <v>5373</v>
      </c>
      <c r="C1091" s="1">
        <v>2</v>
      </c>
      <c r="D1091" s="1" t="s">
        <v>5375</v>
      </c>
      <c r="E1091" s="7">
        <v>4735</v>
      </c>
      <c r="F1091" s="7">
        <v>31</v>
      </c>
      <c r="G1091" s="1">
        <v>92.4</v>
      </c>
      <c r="H1091" s="34">
        <f>Tabela1[[#This Row],[PESO UNI]]*Tabela1[[#This Row],[QTE]]</f>
        <v>184.8</v>
      </c>
      <c r="I1091" s="7" t="s">
        <v>5579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-2</v>
      </c>
      <c r="R1091" s="18">
        <f t="shared" si="221"/>
        <v>0</v>
      </c>
      <c r="S1091" s="18">
        <f t="shared" si="222"/>
        <v>0</v>
      </c>
      <c r="T1091" s="19">
        <f t="shared" si="223"/>
        <v>-184.8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-2</v>
      </c>
      <c r="Z1091" s="20">
        <f>Tabela1[[#This Row],[PESO TOTAL]]-Tabela1[[#This Row],[Peso Expedido]]</f>
        <v>184.8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5372</v>
      </c>
      <c r="B1092" s="21" t="s">
        <v>5373</v>
      </c>
      <c r="C1092" s="1">
        <v>2</v>
      </c>
      <c r="D1092" s="1" t="s">
        <v>5376</v>
      </c>
      <c r="E1092" s="7">
        <v>4736</v>
      </c>
      <c r="F1092" s="7">
        <v>31</v>
      </c>
      <c r="G1092" s="1">
        <v>49.4</v>
      </c>
      <c r="H1092" s="34">
        <f>Tabela1[[#This Row],[PESO UNI]]*Tabela1[[#This Row],[QTE]]</f>
        <v>98.8</v>
      </c>
      <c r="I1092" s="7" t="s">
        <v>5579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-98.8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98.8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5372</v>
      </c>
      <c r="B1093" s="21" t="s">
        <v>5373</v>
      </c>
      <c r="C1093" s="1">
        <v>1</v>
      </c>
      <c r="D1093" s="1" t="s">
        <v>5377</v>
      </c>
      <c r="E1093" s="7">
        <v>4737</v>
      </c>
      <c r="F1093" s="7">
        <v>31</v>
      </c>
      <c r="G1093" s="1">
        <v>57.6</v>
      </c>
      <c r="H1093" s="34">
        <f>Tabela1[[#This Row],[PESO UNI]]*Tabela1[[#This Row],[QTE]]</f>
        <v>57.6</v>
      </c>
      <c r="I1093" s="7" t="s">
        <v>5579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-57.6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57.6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5372</v>
      </c>
      <c r="B1094" s="21" t="s">
        <v>5373</v>
      </c>
      <c r="C1094" s="1">
        <v>1</v>
      </c>
      <c r="D1094" s="1" t="s">
        <v>5378</v>
      </c>
      <c r="E1094" s="7">
        <v>4738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5579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5372</v>
      </c>
      <c r="B1095" s="21" t="s">
        <v>5373</v>
      </c>
      <c r="C1095" s="1">
        <v>1</v>
      </c>
      <c r="D1095" s="1" t="s">
        <v>5379</v>
      </c>
      <c r="E1095" s="7">
        <v>4739</v>
      </c>
      <c r="F1095" s="7">
        <v>31</v>
      </c>
      <c r="G1095" s="1">
        <v>79.5</v>
      </c>
      <c r="H1095" s="34">
        <f>Tabela1[[#This Row],[PESO UNI]]*Tabela1[[#This Row],[QTE]]</f>
        <v>79.5</v>
      </c>
      <c r="I1095" s="7" t="s">
        <v>5579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-79.5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79.5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5372</v>
      </c>
      <c r="B1096" s="21" t="s">
        <v>5373</v>
      </c>
      <c r="C1096" s="1">
        <v>2</v>
      </c>
      <c r="D1096" s="1" t="s">
        <v>5380</v>
      </c>
      <c r="E1096" s="7">
        <v>4740</v>
      </c>
      <c r="F1096" s="7">
        <v>31</v>
      </c>
      <c r="G1096" s="1">
        <v>68.400000000000006</v>
      </c>
      <c r="H1096" s="34">
        <f>Tabela1[[#This Row],[PESO UNI]]*Tabela1[[#This Row],[QTE]]</f>
        <v>136.80000000000001</v>
      </c>
      <c r="I1096" s="7" t="s">
        <v>5579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-2</v>
      </c>
      <c r="R1096" s="18">
        <f t="shared" si="221"/>
        <v>0</v>
      </c>
      <c r="S1096" s="18">
        <f t="shared" si="222"/>
        <v>0</v>
      </c>
      <c r="T1096" s="19">
        <f t="shared" si="223"/>
        <v>-136.80000000000001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-2</v>
      </c>
      <c r="Z1096" s="20">
        <f>Tabela1[[#This Row],[PESO TOTAL]]-Tabela1[[#This Row],[Peso Expedido]]</f>
        <v>136.80000000000001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5372</v>
      </c>
      <c r="B1097" s="21" t="s">
        <v>5373</v>
      </c>
      <c r="C1097" s="1">
        <v>2</v>
      </c>
      <c r="D1097" s="1" t="s">
        <v>5381</v>
      </c>
      <c r="E1097" s="7">
        <v>4741</v>
      </c>
      <c r="F1097" s="7">
        <v>31</v>
      </c>
      <c r="G1097" s="1">
        <v>52.7</v>
      </c>
      <c r="H1097" s="34">
        <f>Tabela1[[#This Row],[PESO UNI]]*Tabela1[[#This Row],[QTE]]</f>
        <v>105.4</v>
      </c>
      <c r="I1097" s="7" t="s">
        <v>5579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-105.4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105.4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137</v>
      </c>
      <c r="B1098" s="21"/>
      <c r="C1098" s="1">
        <v>30</v>
      </c>
      <c r="D1098" s="1" t="s">
        <v>5383</v>
      </c>
      <c r="E1098" s="7">
        <v>4742</v>
      </c>
      <c r="F1098" s="7">
        <v>1</v>
      </c>
      <c r="G1098" s="1">
        <v>4.0999999999999996</v>
      </c>
      <c r="H1098" s="34">
        <f>Tabela1[[#This Row],[PESO UNI]]*Tabela1[[#This Row],[QTE]]</f>
        <v>122.99999999999999</v>
      </c>
      <c r="I1098" s="7">
        <v>0</v>
      </c>
      <c r="J1098" s="8" t="s">
        <v>5384</v>
      </c>
      <c r="K1098" s="8" t="s">
        <v>23</v>
      </c>
      <c r="L1098" s="9" t="s">
        <v>5385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-30</v>
      </c>
      <c r="R1098" s="18">
        <f>IFERROR(H1098*((AA1098*0.25)+(AC1098*0.25)+(AD1098*0.225)+(AE1098*0.225)+(AF1098*0.05)),"")</f>
        <v>0</v>
      </c>
      <c r="S1098" s="18">
        <f>IFERROR(H1098*AG1098,"")</f>
        <v>0</v>
      </c>
      <c r="T1098" s="19">
        <f>IFERROR(S1098-H1098,"")</f>
        <v>-122.99999999999999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>U1098-C1098</f>
        <v>-30</v>
      </c>
      <c r="Z1098" s="20">
        <f>Tabela1[[#This Row],[PESO TOTAL]]-Tabela1[[#This Row],[Peso Expedido]]</f>
        <v>122.99999999999999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308" t="s">
        <v>5402</v>
      </c>
      <c r="B1099" s="309" t="s">
        <v>5403</v>
      </c>
      <c r="C1099" s="308">
        <v>1</v>
      </c>
      <c r="D1099" s="308" t="s">
        <v>5404</v>
      </c>
      <c r="E1099" s="307">
        <v>4743</v>
      </c>
      <c r="F1099" s="307">
        <v>64</v>
      </c>
      <c r="G1099" s="308">
        <v>35.1</v>
      </c>
      <c r="H1099" s="310">
        <f>Tabela1[[#This Row],[PESO UNI]]*Tabela1[[#This Row],[QTE]]</f>
        <v>35.1</v>
      </c>
      <c r="I1099" s="307" t="s">
        <v>5640</v>
      </c>
      <c r="J1099" s="311" t="s">
        <v>3093</v>
      </c>
      <c r="K1099" s="311" t="s">
        <v>4320</v>
      </c>
      <c r="L1099" s="312" t="s">
        <v>2984</v>
      </c>
      <c r="M1099" s="313">
        <v>46260</v>
      </c>
      <c r="N1099" s="311" t="s">
        <v>5105</v>
      </c>
      <c r="O1099" s="314"/>
      <c r="P1099" s="315"/>
      <c r="Q1099" s="14">
        <f>Tabela1[[#This Row],[QTDE/ Fabricação]]-Tabela1[[#This Row],[QTE]]</f>
        <v>-1</v>
      </c>
      <c r="R1099" s="317">
        <f t="shared" ref="R1099" si="225">IFERROR(H1099*((AA1099*0.25)+(AC1099*0.25)+(AD1099*0.225)+(AE1099*0.225)+(AF1099*0.05)),"")</f>
        <v>35.1</v>
      </c>
      <c r="S1099" s="317">
        <f t="shared" ref="S1099" si="226">IFERROR(H1099*AG1099,"")</f>
        <v>35.1</v>
      </c>
      <c r="T1099" s="318">
        <f t="shared" ref="T1099" si="227">IFERROR(S1099-H1099,"")</f>
        <v>0</v>
      </c>
      <c r="U1099" s="319">
        <f>IFERROR(SUMIF('LISTA DE EMBARQUE'!B:B,MICRO!E:E,'LISTA DE EMBARQUE'!G:G),"")</f>
        <v>1</v>
      </c>
      <c r="V1099" s="314">
        <f>IFERROR(VLOOKUP(Tabela1[[#This Row],[COD.MDE]],'LISTA DE EMBARQUE'!B:L,11,0),"")</f>
        <v>9</v>
      </c>
      <c r="W1099" s="315">
        <f>IFERROR(VLOOKUP(Tabela1[[#This Row],[COD.MDE]],'LISTA DE EMBARQUE'!B:M,12,0),"")</f>
        <v>46284</v>
      </c>
      <c r="X1099" s="316">
        <f>IFERROR(Tabela1[[#This Row],[QIANTIDADE EXPEDIDA]]*Tabela1[[#This Row],[PESO UNI]],"")</f>
        <v>35.1</v>
      </c>
      <c r="Y1099" s="316">
        <f t="shared" ref="Y1099" si="228">U1099-C1099</f>
        <v>0</v>
      </c>
      <c r="Z1099" s="320">
        <f>Tabela1[[#This Row],[PESO TOTAL]]-Tabela1[[#This Row],[Peso Expedido]]</f>
        <v>0</v>
      </c>
      <c r="AA1099" s="321">
        <v>1</v>
      </c>
      <c r="AB1099" s="322"/>
      <c r="AC1099" s="322">
        <v>1</v>
      </c>
      <c r="AD1099" s="322">
        <v>1</v>
      </c>
      <c r="AE1099" s="322">
        <v>1</v>
      </c>
      <c r="AF1099" s="322">
        <v>1</v>
      </c>
      <c r="AG1099" s="322">
        <v>1</v>
      </c>
      <c r="AH1099" s="322">
        <v>1</v>
      </c>
      <c r="AI1099" s="322" t="s">
        <v>4509</v>
      </c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308" t="s">
        <v>5402</v>
      </c>
      <c r="B1100" s="309" t="s">
        <v>5403</v>
      </c>
      <c r="C1100" s="308">
        <v>1</v>
      </c>
      <c r="D1100" s="308" t="s">
        <v>5405</v>
      </c>
      <c r="E1100" s="307">
        <v>4744</v>
      </c>
      <c r="F1100" s="307">
        <v>64</v>
      </c>
      <c r="G1100" s="308">
        <v>36.6</v>
      </c>
      <c r="H1100" s="310">
        <f>Tabela1[[#This Row],[PESO UNI]]*Tabela1[[#This Row],[QTE]]</f>
        <v>36.6</v>
      </c>
      <c r="I1100" s="307" t="s">
        <v>5640</v>
      </c>
      <c r="J1100" s="311" t="s">
        <v>3093</v>
      </c>
      <c r="K1100" s="311" t="s">
        <v>4320</v>
      </c>
      <c r="L1100" s="312" t="s">
        <v>2984</v>
      </c>
      <c r="M1100" s="313">
        <v>46260</v>
      </c>
      <c r="N1100" s="311" t="s">
        <v>5105</v>
      </c>
      <c r="O1100" s="314"/>
      <c r="P1100" s="315"/>
      <c r="Q1100" s="14">
        <f>Tabela1[[#This Row],[QTDE/ Fabricação]]-Tabela1[[#This Row],[QTE]]</f>
        <v>-1</v>
      </c>
      <c r="R1100" s="317">
        <f t="shared" ref="R1100" si="229">IFERROR(H1100*((AA1100*0.25)+(AC1100*0.25)+(AD1100*0.225)+(AE1100*0.225)+(AF1100*0.05)),"")</f>
        <v>36.6</v>
      </c>
      <c r="S1100" s="317">
        <f t="shared" ref="S1100" si="230">IFERROR(H1100*AG1100,"")</f>
        <v>36.6</v>
      </c>
      <c r="T1100" s="318">
        <f t="shared" ref="T1100" si="231">IFERROR(S1100-H1100,"")</f>
        <v>0</v>
      </c>
      <c r="U1100" s="319">
        <f>IFERROR(SUMIF('LISTA DE EMBARQUE'!B:B,MICRO!E:E,'LISTA DE EMBARQUE'!G:G),"")</f>
        <v>1</v>
      </c>
      <c r="V1100" s="314">
        <f>IFERROR(VLOOKUP(Tabela1[[#This Row],[COD.MDE]],'LISTA DE EMBARQUE'!B:L,11,0),"")</f>
        <v>9</v>
      </c>
      <c r="W1100" s="315">
        <f>IFERROR(VLOOKUP(Tabela1[[#This Row],[COD.MDE]],'LISTA DE EMBARQUE'!B:M,12,0),"")</f>
        <v>46284</v>
      </c>
      <c r="X1100" s="316">
        <f>IFERROR(Tabela1[[#This Row],[QIANTIDADE EXPEDIDA]]*Tabela1[[#This Row],[PESO UNI]],"")</f>
        <v>36.6</v>
      </c>
      <c r="Y1100" s="316">
        <f t="shared" ref="Y1100" si="232">U1100-C1100</f>
        <v>0</v>
      </c>
      <c r="Z1100" s="320">
        <f>Tabela1[[#This Row],[PESO TOTAL]]-Tabela1[[#This Row],[Peso Expedido]]</f>
        <v>0</v>
      </c>
      <c r="AA1100" s="321">
        <v>1</v>
      </c>
      <c r="AB1100" s="322"/>
      <c r="AC1100" s="322">
        <v>1</v>
      </c>
      <c r="AD1100" s="322">
        <v>1</v>
      </c>
      <c r="AE1100" s="322">
        <v>1</v>
      </c>
      <c r="AF1100" s="322">
        <v>1</v>
      </c>
      <c r="AG1100" s="322">
        <v>1</v>
      </c>
      <c r="AH1100" s="322">
        <v>1</v>
      </c>
      <c r="AI1100" s="32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308" t="s">
        <v>5402</v>
      </c>
      <c r="B1101" s="309" t="s">
        <v>5403</v>
      </c>
      <c r="C1101" s="308">
        <v>1</v>
      </c>
      <c r="D1101" s="308" t="s">
        <v>5406</v>
      </c>
      <c r="E1101" s="307">
        <v>4745</v>
      </c>
      <c r="F1101" s="307">
        <v>64</v>
      </c>
      <c r="G1101" s="308">
        <v>54.3</v>
      </c>
      <c r="H1101" s="310">
        <f>Tabela1[[#This Row],[PESO UNI]]*Tabela1[[#This Row],[QTE]]</f>
        <v>54.3</v>
      </c>
      <c r="I1101" s="307" t="s">
        <v>5640</v>
      </c>
      <c r="J1101" s="311" t="s">
        <v>3093</v>
      </c>
      <c r="K1101" s="311" t="s">
        <v>4320</v>
      </c>
      <c r="L1101" s="312" t="s">
        <v>2984</v>
      </c>
      <c r="M1101" s="313">
        <v>46260</v>
      </c>
      <c r="N1101" s="311" t="s">
        <v>5105</v>
      </c>
      <c r="O1101" s="314"/>
      <c r="P1101" s="315"/>
      <c r="Q1101" s="14">
        <f>Tabela1[[#This Row],[QTDE/ Fabricação]]-Tabela1[[#This Row],[QTE]]</f>
        <v>-1</v>
      </c>
      <c r="R1101" s="317">
        <f t="shared" ref="R1101" si="233">IFERROR(H1101*((AA1101*0.25)+(AC1101*0.25)+(AD1101*0.225)+(AE1101*0.225)+(AF1101*0.05)),"")</f>
        <v>54.3</v>
      </c>
      <c r="S1101" s="317">
        <f t="shared" ref="S1101" si="234">IFERROR(H1101*AG1101,"")</f>
        <v>54.3</v>
      </c>
      <c r="T1101" s="318">
        <f t="shared" ref="T1101" si="235">IFERROR(S1101-H1101,"")</f>
        <v>0</v>
      </c>
      <c r="U1101" s="319">
        <f>IFERROR(SUMIF('LISTA DE EMBARQUE'!B:B,MICRO!E:E,'LISTA DE EMBARQUE'!G:G),"")</f>
        <v>1</v>
      </c>
      <c r="V1101" s="314">
        <f>IFERROR(VLOOKUP(Tabela1[[#This Row],[COD.MDE]],'LISTA DE EMBARQUE'!B:L,11,0),"")</f>
        <v>9</v>
      </c>
      <c r="W1101" s="315">
        <f>IFERROR(VLOOKUP(Tabela1[[#This Row],[COD.MDE]],'LISTA DE EMBARQUE'!B:M,12,0),"")</f>
        <v>46284</v>
      </c>
      <c r="X1101" s="316">
        <f>IFERROR(Tabela1[[#This Row],[QIANTIDADE EXPEDIDA]]*Tabela1[[#This Row],[PESO UNI]],"")</f>
        <v>54.3</v>
      </c>
      <c r="Y1101" s="316">
        <f t="shared" ref="Y1101" si="236">U1101-C1101</f>
        <v>0</v>
      </c>
      <c r="Z1101" s="320">
        <f>Tabela1[[#This Row],[PESO TOTAL]]-Tabela1[[#This Row],[Peso Expedido]]</f>
        <v>0</v>
      </c>
      <c r="AA1101" s="321">
        <v>1</v>
      </c>
      <c r="AB1101" s="322"/>
      <c r="AC1101" s="322">
        <v>1</v>
      </c>
      <c r="AD1101" s="322">
        <v>1</v>
      </c>
      <c r="AE1101" s="322">
        <v>1</v>
      </c>
      <c r="AF1101" s="322">
        <v>1</v>
      </c>
      <c r="AG1101" s="322">
        <v>1</v>
      </c>
      <c r="AH1101" s="322">
        <v>1</v>
      </c>
      <c r="AI1101" s="32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308" t="s">
        <v>5402</v>
      </c>
      <c r="B1102" s="309" t="s">
        <v>5403</v>
      </c>
      <c r="C1102" s="308">
        <v>1</v>
      </c>
      <c r="D1102" s="308" t="s">
        <v>5407</v>
      </c>
      <c r="E1102" s="307">
        <v>4746</v>
      </c>
      <c r="F1102" s="307">
        <v>64</v>
      </c>
      <c r="G1102" s="308">
        <v>36.6</v>
      </c>
      <c r="H1102" s="310">
        <f>Tabela1[[#This Row],[PESO UNI]]*Tabela1[[#This Row],[QTE]]</f>
        <v>36.6</v>
      </c>
      <c r="I1102" s="307" t="s">
        <v>5640</v>
      </c>
      <c r="J1102" s="311" t="s">
        <v>3093</v>
      </c>
      <c r="K1102" s="311" t="s">
        <v>4320</v>
      </c>
      <c r="L1102" s="312" t="s">
        <v>2984</v>
      </c>
      <c r="M1102" s="313">
        <v>46260</v>
      </c>
      <c r="N1102" s="311" t="s">
        <v>5105</v>
      </c>
      <c r="O1102" s="314"/>
      <c r="P1102" s="315"/>
      <c r="Q1102" s="14">
        <f>Tabela1[[#This Row],[QTDE/ Fabricação]]-Tabela1[[#This Row],[QTE]]</f>
        <v>-1</v>
      </c>
      <c r="R1102" s="317">
        <f t="shared" ref="R1102" si="237">IFERROR(H1102*((AA1102*0.25)+(AC1102*0.25)+(AD1102*0.225)+(AE1102*0.225)+(AF1102*0.05)),"")</f>
        <v>36.6</v>
      </c>
      <c r="S1102" s="317">
        <f t="shared" ref="S1102" si="238">IFERROR(H1102*AG1102,"")</f>
        <v>36.6</v>
      </c>
      <c r="T1102" s="318">
        <f t="shared" ref="T1102" si="239">IFERROR(S1102-H1102,"")</f>
        <v>0</v>
      </c>
      <c r="U1102" s="319">
        <f>IFERROR(SUMIF('LISTA DE EMBARQUE'!B:B,MICRO!E:E,'LISTA DE EMBARQUE'!G:G),"")</f>
        <v>1</v>
      </c>
      <c r="V1102" s="314">
        <f>IFERROR(VLOOKUP(Tabela1[[#This Row],[COD.MDE]],'LISTA DE EMBARQUE'!B:L,11,0),"")</f>
        <v>9</v>
      </c>
      <c r="W1102" s="315">
        <f>IFERROR(VLOOKUP(Tabela1[[#This Row],[COD.MDE]],'LISTA DE EMBARQUE'!B:M,12,0),"")</f>
        <v>46284</v>
      </c>
      <c r="X1102" s="316">
        <f>IFERROR(Tabela1[[#This Row],[QIANTIDADE EXPEDIDA]]*Tabela1[[#This Row],[PESO UNI]],"")</f>
        <v>36.6</v>
      </c>
      <c r="Y1102" s="316">
        <f t="shared" ref="Y1102" si="240">U1102-C1102</f>
        <v>0</v>
      </c>
      <c r="Z1102" s="320">
        <f>Tabela1[[#This Row],[PESO TOTAL]]-Tabela1[[#This Row],[Peso Expedido]]</f>
        <v>0</v>
      </c>
      <c r="AA1102" s="321">
        <v>1</v>
      </c>
      <c r="AB1102" s="322"/>
      <c r="AC1102" s="322">
        <v>1</v>
      </c>
      <c r="AD1102" s="322">
        <v>1</v>
      </c>
      <c r="AE1102" s="322">
        <v>1</v>
      </c>
      <c r="AF1102" s="322">
        <v>1</v>
      </c>
      <c r="AG1102" s="322">
        <v>1</v>
      </c>
      <c r="AH1102" s="322">
        <v>1</v>
      </c>
      <c r="AI1102" s="32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308" t="s">
        <v>5402</v>
      </c>
      <c r="B1103" s="309" t="s">
        <v>5403</v>
      </c>
      <c r="C1103" s="308">
        <v>1</v>
      </c>
      <c r="D1103" s="308" t="s">
        <v>5408</v>
      </c>
      <c r="E1103" s="307">
        <v>4747</v>
      </c>
      <c r="F1103" s="307">
        <v>64</v>
      </c>
      <c r="G1103" s="308">
        <v>54.3</v>
      </c>
      <c r="H1103" s="310">
        <f>Tabela1[[#This Row],[PESO UNI]]*Tabela1[[#This Row],[QTE]]</f>
        <v>54.3</v>
      </c>
      <c r="I1103" s="307" t="s">
        <v>5640</v>
      </c>
      <c r="J1103" s="311" t="s">
        <v>3093</v>
      </c>
      <c r="K1103" s="311" t="s">
        <v>4320</v>
      </c>
      <c r="L1103" s="312" t="s">
        <v>2984</v>
      </c>
      <c r="M1103" s="313">
        <v>46260</v>
      </c>
      <c r="N1103" s="311" t="s">
        <v>5105</v>
      </c>
      <c r="O1103" s="314"/>
      <c r="P1103" s="315"/>
      <c r="Q1103" s="14">
        <f>Tabela1[[#This Row],[QTDE/ Fabricação]]-Tabela1[[#This Row],[QTE]]</f>
        <v>-1</v>
      </c>
      <c r="R1103" s="317">
        <f t="shared" ref="R1103" si="241">IFERROR(H1103*((AA1103*0.25)+(AC1103*0.25)+(AD1103*0.225)+(AE1103*0.225)+(AF1103*0.05)),"")</f>
        <v>54.3</v>
      </c>
      <c r="S1103" s="317">
        <f t="shared" ref="S1103" si="242">IFERROR(H1103*AG1103,"")</f>
        <v>54.3</v>
      </c>
      <c r="T1103" s="318">
        <f t="shared" ref="T1103" si="243">IFERROR(S1103-H1103,"")</f>
        <v>0</v>
      </c>
      <c r="U1103" s="319">
        <f>IFERROR(SUMIF('LISTA DE EMBARQUE'!B:B,MICRO!E:E,'LISTA DE EMBARQUE'!G:G),"")</f>
        <v>1</v>
      </c>
      <c r="V1103" s="314">
        <f>IFERROR(VLOOKUP(Tabela1[[#This Row],[COD.MDE]],'LISTA DE EMBARQUE'!B:L,11,0),"")</f>
        <v>9</v>
      </c>
      <c r="W1103" s="315">
        <f>IFERROR(VLOOKUP(Tabela1[[#This Row],[COD.MDE]],'LISTA DE EMBARQUE'!B:M,12,0),"")</f>
        <v>46284</v>
      </c>
      <c r="X1103" s="316">
        <f>IFERROR(Tabela1[[#This Row],[QIANTIDADE EXPEDIDA]]*Tabela1[[#This Row],[PESO UNI]],"")</f>
        <v>54.3</v>
      </c>
      <c r="Y1103" s="316">
        <f t="shared" ref="Y1103" si="244">U1103-C1103</f>
        <v>0</v>
      </c>
      <c r="Z1103" s="320">
        <f>Tabela1[[#This Row],[PESO TOTAL]]-Tabela1[[#This Row],[Peso Expedido]]</f>
        <v>0</v>
      </c>
      <c r="AA1103" s="321">
        <v>1</v>
      </c>
      <c r="AB1103" s="322"/>
      <c r="AC1103" s="322">
        <v>1</v>
      </c>
      <c r="AD1103" s="322">
        <v>1</v>
      </c>
      <c r="AE1103" s="322">
        <v>1</v>
      </c>
      <c r="AF1103" s="322">
        <v>1</v>
      </c>
      <c r="AG1103" s="322">
        <v>1</v>
      </c>
      <c r="AH1103" s="322">
        <v>1</v>
      </c>
      <c r="AI1103" s="32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308" t="s">
        <v>5402</v>
      </c>
      <c r="B1104" s="309" t="s">
        <v>5403</v>
      </c>
      <c r="C1104" s="308">
        <v>1</v>
      </c>
      <c r="D1104" s="308" t="s">
        <v>5613</v>
      </c>
      <c r="E1104" s="307">
        <v>4826</v>
      </c>
      <c r="F1104" s="307">
        <v>64</v>
      </c>
      <c r="G1104" s="308">
        <v>36.6</v>
      </c>
      <c r="H1104" s="310">
        <f>Tabela1[[#This Row],[PESO UNI]]*Tabela1[[#This Row],[QTE]]</f>
        <v>36.6</v>
      </c>
      <c r="I1104" s="307" t="s">
        <v>5640</v>
      </c>
      <c r="J1104" s="311" t="s">
        <v>3093</v>
      </c>
      <c r="K1104" s="311" t="s">
        <v>4320</v>
      </c>
      <c r="L1104" s="312" t="s">
        <v>2984</v>
      </c>
      <c r="M1104" s="313">
        <v>46260</v>
      </c>
      <c r="N1104" s="311" t="s">
        <v>5105</v>
      </c>
      <c r="O1104" s="314"/>
      <c r="P1104" s="315"/>
      <c r="Q1104" s="14">
        <f>Tabela1[[#This Row],[QTDE/ Fabricação]]-Tabela1[[#This Row],[QTE]]</f>
        <v>-1</v>
      </c>
      <c r="R1104" s="317">
        <f t="shared" ref="R1104:R1111" si="245">IFERROR(H1104*((AA1104*0.25)+(AC1104*0.25)+(AD1104*0.225)+(AE1104*0.225)+(AF1104*0.05)),"")</f>
        <v>36.6</v>
      </c>
      <c r="S1104" s="317">
        <f t="shared" ref="S1104:S1111" si="246">IFERROR(H1104*AG1104,"")</f>
        <v>36.6</v>
      </c>
      <c r="T1104" s="318">
        <f t="shared" ref="T1104:T1111" si="247">IFERROR(S1104-H1104,"")</f>
        <v>0</v>
      </c>
      <c r="U1104" s="319">
        <f>IFERROR(SUMIF('LISTA DE EMBARQUE'!B:B,MICRO!E:E,'LISTA DE EMBARQUE'!G:G),"")</f>
        <v>1</v>
      </c>
      <c r="V1104" s="314">
        <f>IFERROR(VLOOKUP(Tabela1[[#This Row],[COD.MDE]],'LISTA DE EMBARQUE'!B:L,11,0),"")</f>
        <v>9</v>
      </c>
      <c r="W1104" s="315">
        <f>IFERROR(VLOOKUP(Tabela1[[#This Row],[COD.MDE]],'LISTA DE EMBARQUE'!B:M,12,0),"")</f>
        <v>46284</v>
      </c>
      <c r="X1104" s="316">
        <f>IFERROR(Tabela1[[#This Row],[QIANTIDADE EXPEDIDA]]*Tabela1[[#This Row],[PESO UNI]],"")</f>
        <v>36.6</v>
      </c>
      <c r="Y1104" s="316">
        <f t="shared" ref="Y1104:Y1111" si="248">U1104-C1104</f>
        <v>0</v>
      </c>
      <c r="Z1104" s="320">
        <f>Tabela1[[#This Row],[PESO TOTAL]]-Tabela1[[#This Row],[Peso Expedido]]</f>
        <v>0</v>
      </c>
      <c r="AA1104" s="321">
        <v>1</v>
      </c>
      <c r="AB1104" s="322"/>
      <c r="AC1104" s="322">
        <v>1</v>
      </c>
      <c r="AD1104" s="322">
        <v>1</v>
      </c>
      <c r="AE1104" s="322">
        <v>1</v>
      </c>
      <c r="AF1104" s="322">
        <v>1</v>
      </c>
      <c r="AG1104" s="322">
        <v>1</v>
      </c>
      <c r="AH1104" s="322">
        <v>1</v>
      </c>
      <c r="AI1104" s="32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1" t="s">
        <v>5402</v>
      </c>
      <c r="B1105" s="21" t="s">
        <v>5403</v>
      </c>
      <c r="C1105" s="1">
        <v>1</v>
      </c>
      <c r="D1105" s="1" t="s">
        <v>5614</v>
      </c>
      <c r="E1105" s="7">
        <v>4827</v>
      </c>
      <c r="F1105" s="7">
        <v>64</v>
      </c>
      <c r="G1105" s="1">
        <v>54.3</v>
      </c>
      <c r="H1105" s="34">
        <f>Tabela1[[#This Row],[PESO UNI]]*Tabela1[[#This Row],[QTE]]</f>
        <v>54.3</v>
      </c>
      <c r="I1105" s="7" t="s">
        <v>5640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45"/>
        <v>45.340499999999999</v>
      </c>
      <c r="S1105" s="18">
        <f t="shared" si="246"/>
        <v>19.004999999999999</v>
      </c>
      <c r="T1105" s="19">
        <f t="shared" si="247"/>
        <v>-35.295000000000002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48"/>
        <v>-1</v>
      </c>
      <c r="Z1105" s="20">
        <f>Tabela1[[#This Row],[PESO TOTAL]]-Tabela1[[#This Row],[Peso Expedido]]</f>
        <v>54.3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308" t="s">
        <v>5402</v>
      </c>
      <c r="B1106" s="309" t="s">
        <v>5403</v>
      </c>
      <c r="C1106" s="308">
        <v>1</v>
      </c>
      <c r="D1106" s="308" t="s">
        <v>5615</v>
      </c>
      <c r="E1106" s="307">
        <v>4828</v>
      </c>
      <c r="F1106" s="307">
        <v>64</v>
      </c>
      <c r="G1106" s="308">
        <v>54.3</v>
      </c>
      <c r="H1106" s="310">
        <f>Tabela1[[#This Row],[PESO UNI]]*Tabela1[[#This Row],[QTE]]</f>
        <v>54.3</v>
      </c>
      <c r="I1106" s="307" t="s">
        <v>5640</v>
      </c>
      <c r="J1106" s="311" t="s">
        <v>3093</v>
      </c>
      <c r="K1106" s="311" t="s">
        <v>4320</v>
      </c>
      <c r="L1106" s="312" t="s">
        <v>2984</v>
      </c>
      <c r="M1106" s="313">
        <v>46260</v>
      </c>
      <c r="N1106" s="311" t="s">
        <v>5105</v>
      </c>
      <c r="O1106" s="314"/>
      <c r="P1106" s="315"/>
      <c r="Q1106" s="14">
        <f>Tabela1[[#This Row],[QTDE/ Fabricação]]-Tabela1[[#This Row],[QTE]]</f>
        <v>-1</v>
      </c>
      <c r="R1106" s="317">
        <f t="shared" si="245"/>
        <v>54.3</v>
      </c>
      <c r="S1106" s="317">
        <f t="shared" si="246"/>
        <v>54.3</v>
      </c>
      <c r="T1106" s="318">
        <f t="shared" si="247"/>
        <v>0</v>
      </c>
      <c r="U1106" s="319">
        <f>IFERROR(SUMIF('LISTA DE EMBARQUE'!B:B,MICRO!E:E,'LISTA DE EMBARQUE'!G:G),"")</f>
        <v>1</v>
      </c>
      <c r="V1106" s="314">
        <f>IFERROR(VLOOKUP(Tabela1[[#This Row],[COD.MDE]],'LISTA DE EMBARQUE'!B:L,11,0),"")</f>
        <v>9</v>
      </c>
      <c r="W1106" s="315">
        <f>IFERROR(VLOOKUP(Tabela1[[#This Row],[COD.MDE]],'LISTA DE EMBARQUE'!B:M,12,0),"")</f>
        <v>46284</v>
      </c>
      <c r="X1106" s="316">
        <f>IFERROR(Tabela1[[#This Row],[QIANTIDADE EXPEDIDA]]*Tabela1[[#This Row],[PESO UNI]],"")</f>
        <v>54.3</v>
      </c>
      <c r="Y1106" s="316">
        <f t="shared" si="248"/>
        <v>0</v>
      </c>
      <c r="Z1106" s="320">
        <f>Tabela1[[#This Row],[PESO TOTAL]]-Tabela1[[#This Row],[Peso Expedido]]</f>
        <v>0</v>
      </c>
      <c r="AA1106" s="321">
        <v>1</v>
      </c>
      <c r="AB1106" s="322"/>
      <c r="AC1106" s="322">
        <v>1</v>
      </c>
      <c r="AD1106" s="322">
        <v>1</v>
      </c>
      <c r="AE1106" s="322">
        <v>1</v>
      </c>
      <c r="AF1106" s="322">
        <v>1</v>
      </c>
      <c r="AG1106" s="322">
        <v>1</v>
      </c>
      <c r="AH1106" s="322">
        <v>1</v>
      </c>
      <c r="AI1106" s="322" t="s">
        <v>4509</v>
      </c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1" t="s">
        <v>5402</v>
      </c>
      <c r="B1107" s="21" t="s">
        <v>5403</v>
      </c>
      <c r="C1107" s="1">
        <v>1</v>
      </c>
      <c r="D1107" s="1" t="s">
        <v>5616</v>
      </c>
      <c r="E1107" s="7">
        <v>4839</v>
      </c>
      <c r="F1107" s="7">
        <v>64</v>
      </c>
      <c r="G1107" s="1">
        <v>53.6</v>
      </c>
      <c r="H1107" s="34">
        <f>Tabela1[[#This Row],[PESO UNI]]*Tabela1[[#This Row],[QTE]]</f>
        <v>53.6</v>
      </c>
      <c r="I1107" s="7" t="s">
        <v>5640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45"/>
        <v>44.756</v>
      </c>
      <c r="S1107" s="18">
        <f t="shared" si="246"/>
        <v>18.759999999999998</v>
      </c>
      <c r="T1107" s="19">
        <f t="shared" si="247"/>
        <v>-34.840000000000003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48"/>
        <v>-1</v>
      </c>
      <c r="Z1107" s="20">
        <f>Tabela1[[#This Row],[PESO TOTAL]]-Tabela1[[#This Row],[Peso Expedido]]</f>
        <v>53.6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308" t="s">
        <v>5402</v>
      </c>
      <c r="B1108" s="309" t="s">
        <v>5403</v>
      </c>
      <c r="C1108" s="308">
        <v>1</v>
      </c>
      <c r="D1108" s="308" t="s">
        <v>5617</v>
      </c>
      <c r="E1108" s="307">
        <v>4840</v>
      </c>
      <c r="F1108" s="307">
        <v>64</v>
      </c>
      <c r="G1108" s="308">
        <v>43.9</v>
      </c>
      <c r="H1108" s="310">
        <f>Tabela1[[#This Row],[PESO UNI]]*Tabela1[[#This Row],[QTE]]</f>
        <v>43.9</v>
      </c>
      <c r="I1108" s="307" t="s">
        <v>5640</v>
      </c>
      <c r="J1108" s="311" t="s">
        <v>3093</v>
      </c>
      <c r="K1108" s="311" t="s">
        <v>4320</v>
      </c>
      <c r="L1108" s="312" t="s">
        <v>2984</v>
      </c>
      <c r="M1108" s="313">
        <v>46260</v>
      </c>
      <c r="N1108" s="311" t="s">
        <v>5105</v>
      </c>
      <c r="O1108" s="314"/>
      <c r="P1108" s="315"/>
      <c r="Q1108" s="14">
        <f>Tabela1[[#This Row],[QTDE/ Fabricação]]-Tabela1[[#This Row],[QTE]]</f>
        <v>-1</v>
      </c>
      <c r="R1108" s="317">
        <f t="shared" si="245"/>
        <v>43.9</v>
      </c>
      <c r="S1108" s="317">
        <f t="shared" si="246"/>
        <v>43.9</v>
      </c>
      <c r="T1108" s="318">
        <f t="shared" si="247"/>
        <v>0</v>
      </c>
      <c r="U1108" s="319">
        <f>IFERROR(SUMIF('LISTA DE EMBARQUE'!B:B,MICRO!E:E,'LISTA DE EMBARQUE'!G:G),"")</f>
        <v>1</v>
      </c>
      <c r="V1108" s="314">
        <f>IFERROR(VLOOKUP(Tabela1[[#This Row],[COD.MDE]],'LISTA DE EMBARQUE'!B:L,11,0),"")</f>
        <v>9</v>
      </c>
      <c r="W1108" s="315">
        <f>IFERROR(VLOOKUP(Tabela1[[#This Row],[COD.MDE]],'LISTA DE EMBARQUE'!B:M,12,0),"")</f>
        <v>46284</v>
      </c>
      <c r="X1108" s="316">
        <f>IFERROR(Tabela1[[#This Row],[QIANTIDADE EXPEDIDA]]*Tabela1[[#This Row],[PESO UNI]],"")</f>
        <v>43.9</v>
      </c>
      <c r="Y1108" s="316">
        <f t="shared" si="248"/>
        <v>0</v>
      </c>
      <c r="Z1108" s="320">
        <f>Tabela1[[#This Row],[PESO TOTAL]]-Tabela1[[#This Row],[Peso Expedido]]</f>
        <v>0</v>
      </c>
      <c r="AA1108" s="321">
        <v>1</v>
      </c>
      <c r="AB1108" s="322"/>
      <c r="AC1108" s="322">
        <v>1</v>
      </c>
      <c r="AD1108" s="322">
        <v>1</v>
      </c>
      <c r="AE1108" s="322">
        <v>1</v>
      </c>
      <c r="AF1108" s="322">
        <v>1</v>
      </c>
      <c r="AG1108" s="322">
        <v>1</v>
      </c>
      <c r="AH1108" s="322">
        <v>1</v>
      </c>
      <c r="AI1108" s="322" t="s">
        <v>4509</v>
      </c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308" t="s">
        <v>5402</v>
      </c>
      <c r="B1109" s="309" t="s">
        <v>5403</v>
      </c>
      <c r="C1109" s="308">
        <v>1</v>
      </c>
      <c r="D1109" s="308" t="s">
        <v>5618</v>
      </c>
      <c r="E1109" s="307">
        <v>4841</v>
      </c>
      <c r="F1109" s="307">
        <v>64</v>
      </c>
      <c r="G1109" s="308">
        <v>43.4</v>
      </c>
      <c r="H1109" s="310">
        <f>Tabela1[[#This Row],[PESO UNI]]*Tabela1[[#This Row],[QTE]]</f>
        <v>43.4</v>
      </c>
      <c r="I1109" s="307" t="s">
        <v>5640</v>
      </c>
      <c r="J1109" s="311" t="s">
        <v>3093</v>
      </c>
      <c r="K1109" s="311" t="s">
        <v>4320</v>
      </c>
      <c r="L1109" s="312" t="s">
        <v>2984</v>
      </c>
      <c r="M1109" s="313">
        <v>46260</v>
      </c>
      <c r="N1109" s="311" t="s">
        <v>5105</v>
      </c>
      <c r="O1109" s="314"/>
      <c r="P1109" s="315"/>
      <c r="Q1109" s="14">
        <f>Tabela1[[#This Row],[QTDE/ Fabricação]]-Tabela1[[#This Row],[QTE]]</f>
        <v>-1</v>
      </c>
      <c r="R1109" s="317">
        <f t="shared" si="245"/>
        <v>43.4</v>
      </c>
      <c r="S1109" s="317">
        <f t="shared" si="246"/>
        <v>43.4</v>
      </c>
      <c r="T1109" s="318">
        <f t="shared" si="247"/>
        <v>0</v>
      </c>
      <c r="U1109" s="319">
        <f>IFERROR(SUMIF('LISTA DE EMBARQUE'!B:B,MICRO!E:E,'LISTA DE EMBARQUE'!G:G),"")</f>
        <v>1</v>
      </c>
      <c r="V1109" s="314">
        <f>IFERROR(VLOOKUP(Tabela1[[#This Row],[COD.MDE]],'LISTA DE EMBARQUE'!B:L,11,0),"")</f>
        <v>9</v>
      </c>
      <c r="W1109" s="315">
        <f>IFERROR(VLOOKUP(Tabela1[[#This Row],[COD.MDE]],'LISTA DE EMBARQUE'!B:M,12,0),"")</f>
        <v>46284</v>
      </c>
      <c r="X1109" s="316">
        <f>IFERROR(Tabela1[[#This Row],[QIANTIDADE EXPEDIDA]]*Tabela1[[#This Row],[PESO UNI]],"")</f>
        <v>43.4</v>
      </c>
      <c r="Y1109" s="316">
        <f t="shared" si="248"/>
        <v>0</v>
      </c>
      <c r="Z1109" s="320">
        <f>Tabela1[[#This Row],[PESO TOTAL]]-Tabela1[[#This Row],[Peso Expedido]]</f>
        <v>0</v>
      </c>
      <c r="AA1109" s="321">
        <v>1</v>
      </c>
      <c r="AB1109" s="322"/>
      <c r="AC1109" s="322">
        <v>1</v>
      </c>
      <c r="AD1109" s="322">
        <v>1</v>
      </c>
      <c r="AE1109" s="322">
        <v>1</v>
      </c>
      <c r="AF1109" s="322">
        <v>1</v>
      </c>
      <c r="AG1109" s="322">
        <v>1</v>
      </c>
      <c r="AH1109" s="322">
        <v>1</v>
      </c>
      <c r="AI1109" s="32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308" t="s">
        <v>5402</v>
      </c>
      <c r="B1110" s="309" t="s">
        <v>5403</v>
      </c>
      <c r="C1110" s="308">
        <v>1</v>
      </c>
      <c r="D1110" s="308" t="s">
        <v>5619</v>
      </c>
      <c r="E1110" s="307">
        <v>4842</v>
      </c>
      <c r="F1110" s="307">
        <v>64</v>
      </c>
      <c r="G1110" s="308">
        <v>43.4</v>
      </c>
      <c r="H1110" s="310">
        <f>Tabela1[[#This Row],[PESO UNI]]*Tabela1[[#This Row],[QTE]]</f>
        <v>43.4</v>
      </c>
      <c r="I1110" s="307" t="s">
        <v>5640</v>
      </c>
      <c r="J1110" s="311" t="s">
        <v>3093</v>
      </c>
      <c r="K1110" s="311" t="s">
        <v>4320</v>
      </c>
      <c r="L1110" s="312" t="s">
        <v>2984</v>
      </c>
      <c r="M1110" s="313">
        <v>46260</v>
      </c>
      <c r="N1110" s="311" t="s">
        <v>5105</v>
      </c>
      <c r="O1110" s="314"/>
      <c r="P1110" s="315"/>
      <c r="Q1110" s="14">
        <f>Tabela1[[#This Row],[QTDE/ Fabricação]]-Tabela1[[#This Row],[QTE]]</f>
        <v>-1</v>
      </c>
      <c r="R1110" s="317">
        <f t="shared" si="245"/>
        <v>43.4</v>
      </c>
      <c r="S1110" s="317">
        <f t="shared" si="246"/>
        <v>43.4</v>
      </c>
      <c r="T1110" s="318">
        <f t="shared" si="247"/>
        <v>0</v>
      </c>
      <c r="U1110" s="319">
        <f>IFERROR(SUMIF('LISTA DE EMBARQUE'!B:B,MICRO!E:E,'LISTA DE EMBARQUE'!G:G),"")</f>
        <v>1</v>
      </c>
      <c r="V1110" s="314">
        <f>IFERROR(VLOOKUP(Tabela1[[#This Row],[COD.MDE]],'LISTA DE EMBARQUE'!B:L,11,0),"")</f>
        <v>9</v>
      </c>
      <c r="W1110" s="315">
        <f>IFERROR(VLOOKUP(Tabela1[[#This Row],[COD.MDE]],'LISTA DE EMBARQUE'!B:M,12,0),"")</f>
        <v>46284</v>
      </c>
      <c r="X1110" s="316">
        <f>IFERROR(Tabela1[[#This Row],[QIANTIDADE EXPEDIDA]]*Tabela1[[#This Row],[PESO UNI]],"")</f>
        <v>43.4</v>
      </c>
      <c r="Y1110" s="316">
        <f t="shared" si="248"/>
        <v>0</v>
      </c>
      <c r="Z1110" s="320">
        <f>Tabela1[[#This Row],[PESO TOTAL]]-Tabela1[[#This Row],[Peso Expedido]]</f>
        <v>0</v>
      </c>
      <c r="AA1110" s="321">
        <v>1</v>
      </c>
      <c r="AB1110" s="322"/>
      <c r="AC1110" s="322">
        <v>1</v>
      </c>
      <c r="AD1110" s="322">
        <v>1</v>
      </c>
      <c r="AE1110" s="322">
        <v>1</v>
      </c>
      <c r="AF1110" s="322">
        <v>1</v>
      </c>
      <c r="AG1110" s="322">
        <v>1</v>
      </c>
      <c r="AH1110" s="322">
        <v>1</v>
      </c>
      <c r="AI1110" s="32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308" t="s">
        <v>5402</v>
      </c>
      <c r="B1111" s="309" t="s">
        <v>5403</v>
      </c>
      <c r="C1111" s="308">
        <v>1</v>
      </c>
      <c r="D1111" s="308" t="s">
        <v>5620</v>
      </c>
      <c r="E1111" s="307">
        <v>4843</v>
      </c>
      <c r="F1111" s="307">
        <v>64</v>
      </c>
      <c r="G1111" s="308">
        <v>44.1</v>
      </c>
      <c r="H1111" s="310">
        <f>Tabela1[[#This Row],[PESO UNI]]*Tabela1[[#This Row],[QTE]]</f>
        <v>44.1</v>
      </c>
      <c r="I1111" s="307" t="s">
        <v>5640</v>
      </c>
      <c r="J1111" s="311" t="s">
        <v>3093</v>
      </c>
      <c r="K1111" s="311" t="s">
        <v>4320</v>
      </c>
      <c r="L1111" s="312" t="s">
        <v>2984</v>
      </c>
      <c r="M1111" s="313">
        <v>46260</v>
      </c>
      <c r="N1111" s="311" t="s">
        <v>5105</v>
      </c>
      <c r="O1111" s="314"/>
      <c r="P1111" s="315"/>
      <c r="Q1111" s="14">
        <f>Tabela1[[#This Row],[QTDE/ Fabricação]]-Tabela1[[#This Row],[QTE]]</f>
        <v>-1</v>
      </c>
      <c r="R1111" s="317">
        <f t="shared" si="245"/>
        <v>44.1</v>
      </c>
      <c r="S1111" s="317">
        <f t="shared" si="246"/>
        <v>44.1</v>
      </c>
      <c r="T1111" s="318">
        <f t="shared" si="247"/>
        <v>0</v>
      </c>
      <c r="U1111" s="319">
        <f>IFERROR(SUMIF('LISTA DE EMBARQUE'!B:B,MICRO!E:E,'LISTA DE EMBARQUE'!G:G),"")</f>
        <v>1</v>
      </c>
      <c r="V1111" s="314">
        <f>IFERROR(VLOOKUP(Tabela1[[#This Row],[COD.MDE]],'LISTA DE EMBARQUE'!B:L,11,0),"")</f>
        <v>9</v>
      </c>
      <c r="W1111" s="315">
        <f>IFERROR(VLOOKUP(Tabela1[[#This Row],[COD.MDE]],'LISTA DE EMBARQUE'!B:M,12,0),"")</f>
        <v>46284</v>
      </c>
      <c r="X1111" s="316">
        <f>IFERROR(Tabela1[[#This Row],[QIANTIDADE EXPEDIDA]]*Tabela1[[#This Row],[PESO UNI]],"")</f>
        <v>44.1</v>
      </c>
      <c r="Y1111" s="316">
        <f t="shared" si="248"/>
        <v>0</v>
      </c>
      <c r="Z1111" s="320">
        <f>Tabela1[[#This Row],[PESO TOTAL]]-Tabela1[[#This Row],[Peso Expedido]]</f>
        <v>0</v>
      </c>
      <c r="AA1111" s="321">
        <v>1</v>
      </c>
      <c r="AB1111" s="322"/>
      <c r="AC1111" s="322">
        <v>1</v>
      </c>
      <c r="AD1111" s="322">
        <v>1</v>
      </c>
      <c r="AE1111" s="322">
        <v>1</v>
      </c>
      <c r="AF1111" s="322">
        <v>1</v>
      </c>
      <c r="AG1111" s="322">
        <v>1</v>
      </c>
      <c r="AH1111" s="322">
        <v>1</v>
      </c>
      <c r="AI1111" s="32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1" t="s">
        <v>5493</v>
      </c>
      <c r="B1112" s="21" t="s">
        <v>5494</v>
      </c>
      <c r="C1112" s="1">
        <v>2</v>
      </c>
      <c r="D1112" s="1" t="s">
        <v>5495</v>
      </c>
      <c r="E1112" s="7">
        <v>4751</v>
      </c>
      <c r="F1112" s="7">
        <v>65</v>
      </c>
      <c r="G1112" s="1">
        <v>257.5</v>
      </c>
      <c r="H1112" s="34">
        <f>Tabela1[[#This Row],[PESO UNI]]*Tabela1[[#This Row],[QTE]]</f>
        <v>515</v>
      </c>
      <c r="I1112" s="7" t="s">
        <v>5581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-2</v>
      </c>
      <c r="R1112" s="18">
        <f t="shared" ref="R1112:R1144" si="249">IFERROR(H1112*((AA1112*0.25)+(AC1112*0.25)+(AD1112*0.225)+(AE1112*0.225)+(AF1112*0.05)),"")</f>
        <v>430.02499999999998</v>
      </c>
      <c r="S1112" s="18">
        <f t="shared" ref="S1112:S1144" si="250">IFERROR(H1112*AG1112,"")</f>
        <v>180.25</v>
      </c>
      <c r="T1112" s="19">
        <f t="shared" ref="T1112:T1144" si="251">IFERROR(S1112-H1112,"")</f>
        <v>-334.75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ref="Y1112:Y1144" si="252">U1112-C1112</f>
        <v>-2</v>
      </c>
      <c r="Z1112" s="20">
        <f>Tabela1[[#This Row],[PESO TOTAL]]-Tabela1[[#This Row],[Peso Expedido]]</f>
        <v>515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5493</v>
      </c>
      <c r="B1113" s="21" t="s">
        <v>5494</v>
      </c>
      <c r="C1113" s="1">
        <v>1</v>
      </c>
      <c r="D1113" s="1" t="s">
        <v>5582</v>
      </c>
      <c r="E1113" s="7">
        <v>4799</v>
      </c>
      <c r="F1113" s="7">
        <v>65</v>
      </c>
      <c r="G1113" s="1">
        <v>1167.4000000000001</v>
      </c>
      <c r="H1113" s="34">
        <f>Tabela1[[#This Row],[PESO UNI]]*Tabela1[[#This Row],[QTE]]</f>
        <v>1167.4000000000001</v>
      </c>
      <c r="I1113" s="7" t="s">
        <v>5581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>IFERROR(H1113*((AA1113*0.25)+(AC1113*0.25)+(AD1113*0.225)+(AE1113*0.225)+(AF1113*0.05)),"")</f>
        <v>974.779</v>
      </c>
      <c r="S1113" s="18">
        <f>IFERROR(H1113*AG1113,"")</f>
        <v>408.59000000000003</v>
      </c>
      <c r="T1113" s="19">
        <f>IFERROR(S1113-H1113,"")</f>
        <v>-758.81000000000006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>U1113-C1113</f>
        <v>-1</v>
      </c>
      <c r="Z1113" s="20">
        <f>Tabela1[[#This Row],[PESO TOTAL]]-Tabela1[[#This Row],[Peso Expedido]]</f>
        <v>1167.4000000000001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5496</v>
      </c>
      <c r="B1114" s="21" t="s">
        <v>5497</v>
      </c>
      <c r="C1114" s="1">
        <v>1</v>
      </c>
      <c r="D1114" s="1" t="s">
        <v>5500</v>
      </c>
      <c r="E1114" s="7">
        <v>4752</v>
      </c>
      <c r="F1114" s="7">
        <v>65</v>
      </c>
      <c r="G1114" s="1">
        <v>681.8</v>
      </c>
      <c r="H1114" s="34">
        <f>Tabela1[[#This Row],[PESO UNI]]*Tabela1[[#This Row],[QTE]]</f>
        <v>681.8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49"/>
        <v>569.30299999999988</v>
      </c>
      <c r="S1114" s="18">
        <f t="shared" si="250"/>
        <v>238.62999999999997</v>
      </c>
      <c r="T1114" s="19">
        <f t="shared" si="251"/>
        <v>-443.16999999999996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52"/>
        <v>-1</v>
      </c>
      <c r="Z1114" s="20">
        <f>Tabela1[[#This Row],[PESO TOTAL]]-Tabela1[[#This Row],[Peso Expedido]]</f>
        <v>681.8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5498</v>
      </c>
      <c r="B1115" s="21" t="s">
        <v>5499</v>
      </c>
      <c r="C1115" s="1">
        <v>1</v>
      </c>
      <c r="D1115" s="1" t="s">
        <v>5501</v>
      </c>
      <c r="E1115" s="7">
        <v>4753</v>
      </c>
      <c r="F1115" s="7">
        <v>65</v>
      </c>
      <c r="G1115" s="1">
        <v>254.6</v>
      </c>
      <c r="H1115" s="34">
        <f>Tabela1[[#This Row],[PESO UNI]]*Tabela1[[#This Row],[QTE]]</f>
        <v>254.6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212.59099999999998</v>
      </c>
      <c r="S1115" s="18">
        <f t="shared" si="250"/>
        <v>89.11</v>
      </c>
      <c r="T1115" s="19">
        <f t="shared" si="251"/>
        <v>-165.49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254.6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5498</v>
      </c>
      <c r="B1116" s="21" t="s">
        <v>5499</v>
      </c>
      <c r="C1116" s="1">
        <v>1</v>
      </c>
      <c r="D1116" s="1" t="s">
        <v>5502</v>
      </c>
      <c r="E1116" s="7">
        <v>4754</v>
      </c>
      <c r="F1116" s="7">
        <v>65</v>
      </c>
      <c r="G1116" s="1">
        <v>223</v>
      </c>
      <c r="H1116" s="34">
        <f>Tabela1[[#This Row],[PESO UNI]]*Tabela1[[#This Row],[QTE]]</f>
        <v>223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186.20499999999998</v>
      </c>
      <c r="S1116" s="18">
        <f t="shared" si="250"/>
        <v>78.05</v>
      </c>
      <c r="T1116" s="19">
        <f t="shared" si="251"/>
        <v>-144.94999999999999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223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5508</v>
      </c>
      <c r="B1117" s="21" t="s">
        <v>5503</v>
      </c>
      <c r="C1117" s="1">
        <v>1</v>
      </c>
      <c r="D1117" s="1" t="s">
        <v>5507</v>
      </c>
      <c r="E1117" s="7">
        <v>4755</v>
      </c>
      <c r="F1117" s="7">
        <v>65</v>
      </c>
      <c r="G1117" s="1">
        <v>208.4</v>
      </c>
      <c r="H1117" s="34">
        <f>Tabela1[[#This Row],[PESO UNI]]*Tabela1[[#This Row],[QTE]]</f>
        <v>208.4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174.01400000000001</v>
      </c>
      <c r="S1117" s="18">
        <f t="shared" si="250"/>
        <v>72.94</v>
      </c>
      <c r="T1117" s="19">
        <f t="shared" si="251"/>
        <v>-135.46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208.4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5505</v>
      </c>
      <c r="B1118" s="21" t="s">
        <v>5504</v>
      </c>
      <c r="C1118" s="1">
        <v>1</v>
      </c>
      <c r="D1118" s="1" t="s">
        <v>5506</v>
      </c>
      <c r="E1118" s="7">
        <v>4756</v>
      </c>
      <c r="F1118" s="7">
        <v>65</v>
      </c>
      <c r="G1118" s="1">
        <v>208.9</v>
      </c>
      <c r="H1118" s="34">
        <f>Tabela1[[#This Row],[PESO UNI]]*Tabela1[[#This Row],[QTE]]</f>
        <v>208.9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174.4315</v>
      </c>
      <c r="S1118" s="18">
        <f t="shared" si="250"/>
        <v>73.114999999999995</v>
      </c>
      <c r="T1118" s="19">
        <f t="shared" si="251"/>
        <v>-135.78500000000003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208.9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5509</v>
      </c>
      <c r="B1119" s="21" t="s">
        <v>5510</v>
      </c>
      <c r="C1119" s="1">
        <v>1</v>
      </c>
      <c r="D1119" s="1" t="s">
        <v>5519</v>
      </c>
      <c r="E1119" s="7">
        <v>4757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114.22800000000001</v>
      </c>
      <c r="S1119" s="18">
        <f t="shared" si="250"/>
        <v>47.88</v>
      </c>
      <c r="T1119" s="19">
        <f t="shared" si="251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5509</v>
      </c>
      <c r="B1120" s="21" t="s">
        <v>5510</v>
      </c>
      <c r="C1120" s="1">
        <v>1</v>
      </c>
      <c r="D1120" s="1" t="s">
        <v>5518</v>
      </c>
      <c r="E1120" s="7">
        <v>4758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89.177999999999997</v>
      </c>
      <c r="S1120" s="18">
        <f t="shared" si="250"/>
        <v>37.379999999999995</v>
      </c>
      <c r="T1120" s="19">
        <f t="shared" si="251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5511</v>
      </c>
      <c r="B1121" s="21" t="s">
        <v>5512</v>
      </c>
      <c r="C1121" s="1">
        <v>1</v>
      </c>
      <c r="D1121" s="1" t="s">
        <v>5517</v>
      </c>
      <c r="E1121" s="7">
        <v>4759</v>
      </c>
      <c r="F1121" s="7">
        <v>65</v>
      </c>
      <c r="G1121" s="1">
        <v>136.80000000000001</v>
      </c>
      <c r="H1121" s="34">
        <f>Tabela1[[#This Row],[PESO UNI]]*Tabela1[[#This Row],[QTE]]</f>
        <v>136.80000000000001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114.22800000000001</v>
      </c>
      <c r="S1121" s="18">
        <f t="shared" si="250"/>
        <v>47.88</v>
      </c>
      <c r="T1121" s="19">
        <f t="shared" si="251"/>
        <v>-88.920000000000016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136.80000000000001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5511</v>
      </c>
      <c r="B1122" s="21" t="s">
        <v>5512</v>
      </c>
      <c r="C1122" s="1">
        <v>1</v>
      </c>
      <c r="D1122" s="1" t="s">
        <v>5516</v>
      </c>
      <c r="E1122" s="7">
        <v>4760</v>
      </c>
      <c r="F1122" s="7">
        <v>65</v>
      </c>
      <c r="G1122" s="1">
        <v>106.8</v>
      </c>
      <c r="H1122" s="34">
        <f>Tabela1[[#This Row],[PESO UNI]]*Tabela1[[#This Row],[QTE]]</f>
        <v>106.8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89.177999999999997</v>
      </c>
      <c r="S1122" s="18">
        <f t="shared" si="250"/>
        <v>37.379999999999995</v>
      </c>
      <c r="T1122" s="19">
        <f t="shared" si="251"/>
        <v>-69.42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106.8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5513</v>
      </c>
      <c r="B1123" s="21" t="s">
        <v>5514</v>
      </c>
      <c r="C1123" s="1">
        <v>3</v>
      </c>
      <c r="D1123" s="1" t="s">
        <v>5515</v>
      </c>
      <c r="E1123" s="7">
        <v>4761</v>
      </c>
      <c r="F1123" s="7">
        <v>65</v>
      </c>
      <c r="G1123" s="1">
        <v>64.099999999999994</v>
      </c>
      <c r="H1123" s="34">
        <f>Tabela1[[#This Row],[PESO UNI]]*Tabela1[[#This Row],[QTE]]</f>
        <v>192.29999999999998</v>
      </c>
      <c r="I1123" s="7" t="s">
        <v>5581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-3</v>
      </c>
      <c r="R1123" s="18">
        <f t="shared" si="249"/>
        <v>160.57049999999998</v>
      </c>
      <c r="S1123" s="18">
        <f t="shared" si="250"/>
        <v>67.304999999999993</v>
      </c>
      <c r="T1123" s="19">
        <f t="shared" si="251"/>
        <v>-124.99499999999999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-3</v>
      </c>
      <c r="Z1123" s="20">
        <f>Tabela1[[#This Row],[PESO TOTAL]]-Tabela1[[#This Row],[Peso Expedido]]</f>
        <v>192.29999999999998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5513</v>
      </c>
      <c r="B1124" s="21" t="s">
        <v>5514</v>
      </c>
      <c r="C1124" s="1">
        <v>1</v>
      </c>
      <c r="D1124" s="1" t="s">
        <v>5520</v>
      </c>
      <c r="E1124" s="7">
        <v>4762</v>
      </c>
      <c r="F1124" s="7">
        <v>65</v>
      </c>
      <c r="G1124" s="1">
        <v>83.4</v>
      </c>
      <c r="H1124" s="34">
        <f>Tabela1[[#This Row],[PESO UNI]]*Tabela1[[#This Row],[QTE]]</f>
        <v>83.4</v>
      </c>
      <c r="I1124" s="7" t="s">
        <v>5581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49"/>
        <v>69.638999999999996</v>
      </c>
      <c r="S1124" s="18">
        <f t="shared" si="250"/>
        <v>29.19</v>
      </c>
      <c r="T1124" s="19">
        <f t="shared" si="251"/>
        <v>-54.210000000000008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-1</v>
      </c>
      <c r="Z1124" s="20">
        <f>Tabela1[[#This Row],[PESO TOTAL]]-Tabela1[[#This Row],[Peso Expedido]]</f>
        <v>83.4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5513</v>
      </c>
      <c r="B1125" s="21" t="s">
        <v>5514</v>
      </c>
      <c r="C1125" s="1">
        <v>1</v>
      </c>
      <c r="D1125" s="1" t="s">
        <v>5521</v>
      </c>
      <c r="E1125" s="7">
        <v>4763</v>
      </c>
      <c r="F1125" s="7">
        <v>65</v>
      </c>
      <c r="G1125" s="1">
        <v>61.1</v>
      </c>
      <c r="H1125" s="34">
        <f>Tabela1[[#This Row],[PESO UNI]]*Tabela1[[#This Row],[QTE]]</f>
        <v>61.1</v>
      </c>
      <c r="I1125" s="7" t="s">
        <v>5581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51.018499999999996</v>
      </c>
      <c r="S1125" s="18">
        <f t="shared" si="250"/>
        <v>21.384999999999998</v>
      </c>
      <c r="T1125" s="19">
        <f t="shared" si="251"/>
        <v>-39.715000000000003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61.1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5513</v>
      </c>
      <c r="B1126" s="21" t="s">
        <v>5514</v>
      </c>
      <c r="C1126" s="1">
        <v>1</v>
      </c>
      <c r="D1126" s="1" t="s">
        <v>5522</v>
      </c>
      <c r="E1126" s="7">
        <v>4764</v>
      </c>
      <c r="F1126" s="7">
        <v>65</v>
      </c>
      <c r="G1126" s="1">
        <v>87.1</v>
      </c>
      <c r="H1126" s="34">
        <f>Tabela1[[#This Row],[PESO UNI]]*Tabela1[[#This Row],[QTE]]</f>
        <v>87.1</v>
      </c>
      <c r="I1126" s="7" t="s">
        <v>5581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72.728499999999997</v>
      </c>
      <c r="S1126" s="18">
        <f t="shared" si="250"/>
        <v>30.484999999999996</v>
      </c>
      <c r="T1126" s="19">
        <f t="shared" si="251"/>
        <v>-56.614999999999995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87.1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5513</v>
      </c>
      <c r="B1127" s="21" t="s">
        <v>5514</v>
      </c>
      <c r="C1127" s="1">
        <v>1</v>
      </c>
      <c r="D1127" s="1" t="s">
        <v>5523</v>
      </c>
      <c r="E1127" s="7">
        <v>4765</v>
      </c>
      <c r="F1127" s="7">
        <v>65</v>
      </c>
      <c r="G1127" s="1">
        <v>79.2</v>
      </c>
      <c r="H1127" s="34">
        <f>Tabela1[[#This Row],[PESO UNI]]*Tabela1[[#This Row],[QTE]]</f>
        <v>79.2</v>
      </c>
      <c r="I1127" s="7" t="s">
        <v>5581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66.132000000000005</v>
      </c>
      <c r="S1127" s="18">
        <f t="shared" si="250"/>
        <v>27.72</v>
      </c>
      <c r="T1127" s="19">
        <f t="shared" si="251"/>
        <v>-51.480000000000004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79.2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0.4</v>
      </c>
      <c r="AG1127" s="33">
        <v>0.35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5513</v>
      </c>
      <c r="B1128" s="21" t="s">
        <v>5514</v>
      </c>
      <c r="C1128" s="1">
        <v>1</v>
      </c>
      <c r="D1128" s="1" t="s">
        <v>5524</v>
      </c>
      <c r="E1128" s="7">
        <v>4766</v>
      </c>
      <c r="F1128" s="7">
        <v>65</v>
      </c>
      <c r="G1128" s="1">
        <v>54.3</v>
      </c>
      <c r="H1128" s="34">
        <f>Tabela1[[#This Row],[PESO UNI]]*Tabela1[[#This Row],[QTE]]</f>
        <v>54.3</v>
      </c>
      <c r="I1128" s="7" t="s">
        <v>5581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45.340499999999999</v>
      </c>
      <c r="S1128" s="18">
        <f t="shared" si="250"/>
        <v>19.004999999999999</v>
      </c>
      <c r="T1128" s="19">
        <f t="shared" si="251"/>
        <v>-35.295000000000002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54.3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0.4</v>
      </c>
      <c r="AG1128" s="33">
        <v>0.35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5525</v>
      </c>
      <c r="B1129" s="21"/>
      <c r="C1129" s="1">
        <v>1</v>
      </c>
      <c r="D1129" s="1" t="s">
        <v>5526</v>
      </c>
      <c r="E1129" s="7">
        <v>4767</v>
      </c>
      <c r="F1129" s="7">
        <v>2</v>
      </c>
      <c r="G1129" s="1">
        <v>101.4</v>
      </c>
      <c r="H1129" s="34">
        <f>Tabela1[[#This Row],[PESO UNI]]*Tabela1[[#This Row],[QTE]]</f>
        <v>101.4</v>
      </c>
      <c r="I1129" s="7">
        <v>0</v>
      </c>
      <c r="J1129" s="8" t="s">
        <v>5527</v>
      </c>
      <c r="K1129" s="8" t="s">
        <v>4320</v>
      </c>
      <c r="L1129" s="9" t="s">
        <v>5528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25.35</v>
      </c>
      <c r="S1129" s="18">
        <f t="shared" si="250"/>
        <v>0</v>
      </c>
      <c r="T1129" s="19">
        <f t="shared" si="251"/>
        <v>-101.4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101.4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5525</v>
      </c>
      <c r="B1130" s="21"/>
      <c r="C1130" s="1">
        <v>1</v>
      </c>
      <c r="D1130" s="1" t="s">
        <v>5529</v>
      </c>
      <c r="E1130" s="7">
        <v>4768</v>
      </c>
      <c r="F1130" s="7">
        <v>2</v>
      </c>
      <c r="G1130" s="1">
        <v>110</v>
      </c>
      <c r="H1130" s="34">
        <f>Tabela1[[#This Row],[PESO UNI]]*Tabela1[[#This Row],[QTE]]</f>
        <v>110</v>
      </c>
      <c r="I1130" s="7">
        <v>0</v>
      </c>
      <c r="J1130" s="8" t="s">
        <v>5527</v>
      </c>
      <c r="K1130" s="8" t="s">
        <v>4320</v>
      </c>
      <c r="L1130" s="9" t="s">
        <v>5528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27.5</v>
      </c>
      <c r="S1130" s="18">
        <f t="shared" si="250"/>
        <v>0</v>
      </c>
      <c r="T1130" s="19">
        <f t="shared" si="251"/>
        <v>-110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110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5525</v>
      </c>
      <c r="B1131" s="21"/>
      <c r="C1131" s="1">
        <v>1</v>
      </c>
      <c r="D1131" s="1" t="s">
        <v>5530</v>
      </c>
      <c r="E1131" s="7">
        <v>4769</v>
      </c>
      <c r="F1131" s="7">
        <v>2</v>
      </c>
      <c r="G1131" s="1">
        <v>2.4</v>
      </c>
      <c r="H1131" s="34">
        <f>Tabela1[[#This Row],[PESO UNI]]*Tabela1[[#This Row],[QTE]]</f>
        <v>2.4</v>
      </c>
      <c r="I1131" s="7">
        <v>0</v>
      </c>
      <c r="J1131" s="8" t="s">
        <v>5527</v>
      </c>
      <c r="K1131" s="8" t="s">
        <v>4320</v>
      </c>
      <c r="L1131" s="9" t="s">
        <v>5528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0.6</v>
      </c>
      <c r="S1131" s="18">
        <f t="shared" si="250"/>
        <v>0</v>
      </c>
      <c r="T1131" s="19">
        <f t="shared" si="251"/>
        <v>-2.4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2.4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5525</v>
      </c>
      <c r="B1132" s="21"/>
      <c r="C1132" s="1">
        <v>1</v>
      </c>
      <c r="D1132" s="1" t="s">
        <v>5531</v>
      </c>
      <c r="E1132" s="7">
        <v>4770</v>
      </c>
      <c r="F1132" s="7">
        <v>2</v>
      </c>
      <c r="G1132" s="1">
        <v>2.2000000000000002</v>
      </c>
      <c r="H1132" s="34">
        <f>Tabela1[[#This Row],[PESO UNI]]*Tabela1[[#This Row],[QTE]]</f>
        <v>2.2000000000000002</v>
      </c>
      <c r="I1132" s="7">
        <v>0</v>
      </c>
      <c r="J1132" s="8" t="s">
        <v>5527</v>
      </c>
      <c r="K1132" s="8" t="s">
        <v>4320</v>
      </c>
      <c r="L1132" s="9" t="s">
        <v>5528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0.55000000000000004</v>
      </c>
      <c r="S1132" s="18">
        <f t="shared" si="250"/>
        <v>0</v>
      </c>
      <c r="T1132" s="19">
        <f t="shared" si="251"/>
        <v>-2.2000000000000002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2.2000000000000002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5525</v>
      </c>
      <c r="B1133" s="21"/>
      <c r="C1133" s="1">
        <v>1</v>
      </c>
      <c r="D1133" s="1" t="s">
        <v>5532</v>
      </c>
      <c r="E1133" s="7">
        <v>4771</v>
      </c>
      <c r="F1133" s="7">
        <v>2</v>
      </c>
      <c r="G1133" s="1">
        <v>3.4</v>
      </c>
      <c r="H1133" s="34">
        <f>Tabela1[[#This Row],[PESO UNI]]*Tabela1[[#This Row],[QTE]]</f>
        <v>3.4</v>
      </c>
      <c r="I1133" s="7">
        <v>0</v>
      </c>
      <c r="J1133" s="8" t="s">
        <v>5527</v>
      </c>
      <c r="K1133" s="8" t="s">
        <v>4320</v>
      </c>
      <c r="L1133" s="9" t="s">
        <v>5528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0.85</v>
      </c>
      <c r="S1133" s="18">
        <f t="shared" si="250"/>
        <v>0</v>
      </c>
      <c r="T1133" s="19">
        <f t="shared" si="251"/>
        <v>-3.4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3.4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5533</v>
      </c>
      <c r="B1134" s="21"/>
      <c r="C1134" s="1">
        <v>1</v>
      </c>
      <c r="D1134" s="1" t="s">
        <v>5534</v>
      </c>
      <c r="E1134" s="7">
        <v>4772</v>
      </c>
      <c r="F1134" s="7">
        <v>2</v>
      </c>
      <c r="G1134" s="1">
        <v>112</v>
      </c>
      <c r="H1134" s="34">
        <f>Tabela1[[#This Row],[PESO UNI]]*Tabela1[[#This Row],[QTE]]</f>
        <v>112</v>
      </c>
      <c r="I1134" s="7">
        <v>0</v>
      </c>
      <c r="J1134" s="8" t="s">
        <v>5527</v>
      </c>
      <c r="K1134" s="8" t="s">
        <v>4320</v>
      </c>
      <c r="L1134" s="9" t="s">
        <v>5528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28</v>
      </c>
      <c r="S1134" s="18">
        <f t="shared" si="250"/>
        <v>0</v>
      </c>
      <c r="T1134" s="19">
        <f t="shared" si="251"/>
        <v>-112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112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5535</v>
      </c>
      <c r="B1135" s="21"/>
      <c r="C1135" s="1">
        <v>1</v>
      </c>
      <c r="D1135" s="1" t="s">
        <v>5536</v>
      </c>
      <c r="E1135" s="7">
        <v>4773</v>
      </c>
      <c r="F1135" s="7">
        <v>2</v>
      </c>
      <c r="G1135" s="1">
        <v>191.6</v>
      </c>
      <c r="H1135" s="34">
        <f>Tabela1[[#This Row],[PESO UNI]]*Tabela1[[#This Row],[QTE]]</f>
        <v>191.6</v>
      </c>
      <c r="I1135" s="7">
        <v>0</v>
      </c>
      <c r="J1135" s="8" t="s">
        <v>5527</v>
      </c>
      <c r="K1135" s="8" t="s">
        <v>4320</v>
      </c>
      <c r="L1135" s="9" t="s">
        <v>5528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47.9</v>
      </c>
      <c r="S1135" s="18">
        <f t="shared" si="250"/>
        <v>0</v>
      </c>
      <c r="T1135" s="19">
        <f t="shared" si="251"/>
        <v>-191.6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191.6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5535</v>
      </c>
      <c r="B1136" s="21"/>
      <c r="C1136" s="1">
        <v>1</v>
      </c>
      <c r="D1136" s="1" t="s">
        <v>5537</v>
      </c>
      <c r="E1136" s="7">
        <v>4774</v>
      </c>
      <c r="F1136" s="7">
        <v>2</v>
      </c>
      <c r="G1136" s="1">
        <v>14.8</v>
      </c>
      <c r="H1136" s="34">
        <f>Tabela1[[#This Row],[PESO UNI]]*Tabela1[[#This Row],[QTE]]</f>
        <v>14.8</v>
      </c>
      <c r="I1136" s="7">
        <v>0</v>
      </c>
      <c r="J1136" s="8" t="s">
        <v>5527</v>
      </c>
      <c r="K1136" s="8" t="s">
        <v>4320</v>
      </c>
      <c r="L1136" s="9" t="s">
        <v>5528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3.7</v>
      </c>
      <c r="S1136" s="18">
        <f t="shared" si="250"/>
        <v>0</v>
      </c>
      <c r="T1136" s="19">
        <f t="shared" si="251"/>
        <v>-14.8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14.8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5535</v>
      </c>
      <c r="B1137" s="21"/>
      <c r="C1137" s="1">
        <v>1</v>
      </c>
      <c r="D1137" s="1" t="s">
        <v>5538</v>
      </c>
      <c r="E1137" s="7">
        <v>4775</v>
      </c>
      <c r="F1137" s="7">
        <v>2</v>
      </c>
      <c r="G1137" s="1">
        <v>15.3</v>
      </c>
      <c r="H1137" s="34">
        <f>Tabela1[[#This Row],[PESO UNI]]*Tabela1[[#This Row],[QTE]]</f>
        <v>15.3</v>
      </c>
      <c r="I1137" s="7">
        <v>0</v>
      </c>
      <c r="J1137" s="8" t="s">
        <v>5527</v>
      </c>
      <c r="K1137" s="8" t="s">
        <v>4320</v>
      </c>
      <c r="L1137" s="9" t="s">
        <v>5528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3.8250000000000002</v>
      </c>
      <c r="S1137" s="18">
        <f t="shared" si="250"/>
        <v>0</v>
      </c>
      <c r="T1137" s="19">
        <f t="shared" si="251"/>
        <v>-15.3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15.3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5540</v>
      </c>
      <c r="B1138" s="21"/>
      <c r="C1138" s="1">
        <v>1</v>
      </c>
      <c r="D1138" s="1" t="s">
        <v>5541</v>
      </c>
      <c r="E1138" s="7">
        <v>4776</v>
      </c>
      <c r="F1138" s="7">
        <v>2</v>
      </c>
      <c r="G1138" s="1">
        <v>54.2</v>
      </c>
      <c r="H1138" s="34">
        <f>Tabela1[[#This Row],[PESO UNI]]*Tabela1[[#This Row],[QTE]]</f>
        <v>54.2</v>
      </c>
      <c r="I1138" s="7">
        <v>0</v>
      </c>
      <c r="J1138" s="8" t="s">
        <v>5527</v>
      </c>
      <c r="K1138" s="8" t="s">
        <v>4320</v>
      </c>
      <c r="L1138" s="9" t="s">
        <v>5528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13.55</v>
      </c>
      <c r="S1138" s="18">
        <f t="shared" si="250"/>
        <v>0</v>
      </c>
      <c r="T1138" s="19">
        <f t="shared" si="251"/>
        <v>-54.2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54.2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5540</v>
      </c>
      <c r="B1139" s="21"/>
      <c r="C1139" s="1">
        <v>1</v>
      </c>
      <c r="D1139" s="1" t="s">
        <v>5542</v>
      </c>
      <c r="E1139" s="7">
        <v>4777</v>
      </c>
      <c r="F1139" s="7">
        <v>2</v>
      </c>
      <c r="G1139" s="1">
        <v>101.9</v>
      </c>
      <c r="H1139" s="34">
        <f>Tabela1[[#This Row],[PESO UNI]]*Tabela1[[#This Row],[QTE]]</f>
        <v>101.9</v>
      </c>
      <c r="I1139" s="7">
        <v>0</v>
      </c>
      <c r="J1139" s="8" t="s">
        <v>5527</v>
      </c>
      <c r="K1139" s="8" t="s">
        <v>4320</v>
      </c>
      <c r="L1139" s="9" t="s">
        <v>5528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25.475000000000001</v>
      </c>
      <c r="S1139" s="18">
        <f t="shared" si="250"/>
        <v>0</v>
      </c>
      <c r="T1139" s="19">
        <f t="shared" si="251"/>
        <v>-101.9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101.9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5543</v>
      </c>
      <c r="B1140" s="21"/>
      <c r="C1140" s="1">
        <v>1</v>
      </c>
      <c r="D1140" s="1" t="s">
        <v>5544</v>
      </c>
      <c r="E1140" s="7">
        <v>4778</v>
      </c>
      <c r="F1140" s="7">
        <v>2</v>
      </c>
      <c r="G1140" s="1">
        <v>367.7</v>
      </c>
      <c r="H1140" s="34">
        <f>Tabela1[[#This Row],[PESO UNI]]*Tabela1[[#This Row],[QTE]]</f>
        <v>367.7</v>
      </c>
      <c r="I1140" s="7">
        <v>0</v>
      </c>
      <c r="J1140" s="8" t="s">
        <v>5527</v>
      </c>
      <c r="K1140" s="8" t="s">
        <v>4320</v>
      </c>
      <c r="L1140" s="9" t="s">
        <v>5528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91.924999999999997</v>
      </c>
      <c r="S1140" s="18">
        <f t="shared" si="250"/>
        <v>0</v>
      </c>
      <c r="T1140" s="19">
        <f t="shared" si="251"/>
        <v>-367.7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367.7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5539</v>
      </c>
      <c r="B1141" s="21"/>
      <c r="C1141" s="1">
        <v>1</v>
      </c>
      <c r="D1141" s="1" t="s">
        <v>5545</v>
      </c>
      <c r="E1141" s="7">
        <v>4779</v>
      </c>
      <c r="F1141" s="7">
        <v>2</v>
      </c>
      <c r="G1141" s="1">
        <v>217.8</v>
      </c>
      <c r="H1141" s="34">
        <f>Tabela1[[#This Row],[PESO UNI]]*Tabela1[[#This Row],[QTE]]</f>
        <v>217.8</v>
      </c>
      <c r="I1141" s="7">
        <v>0</v>
      </c>
      <c r="J1141" s="8" t="s">
        <v>5527</v>
      </c>
      <c r="K1141" s="8" t="s">
        <v>4320</v>
      </c>
      <c r="L1141" s="9" t="s">
        <v>5528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54.45</v>
      </c>
      <c r="S1141" s="18">
        <f t="shared" si="250"/>
        <v>0</v>
      </c>
      <c r="T1141" s="19">
        <f t="shared" si="251"/>
        <v>-217.8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217.8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5546</v>
      </c>
      <c r="B1142" s="21"/>
      <c r="C1142" s="1">
        <v>5</v>
      </c>
      <c r="D1142" s="1" t="s">
        <v>5547</v>
      </c>
      <c r="E1142" s="7">
        <v>4780</v>
      </c>
      <c r="F1142" s="7">
        <v>2</v>
      </c>
      <c r="G1142" s="1">
        <v>316.7</v>
      </c>
      <c r="H1142" s="34">
        <f>Tabela1[[#This Row],[PESO UNI]]*Tabela1[[#This Row],[QTE]]</f>
        <v>1583.5</v>
      </c>
      <c r="I1142" s="7">
        <v>0</v>
      </c>
      <c r="J1142" s="8" t="s">
        <v>5527</v>
      </c>
      <c r="K1142" s="8" t="s">
        <v>4320</v>
      </c>
      <c r="L1142" s="9" t="s">
        <v>5528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-5</v>
      </c>
      <c r="R1142" s="18">
        <f t="shared" si="249"/>
        <v>395.875</v>
      </c>
      <c r="S1142" s="18">
        <f t="shared" si="250"/>
        <v>0</v>
      </c>
      <c r="T1142" s="19">
        <f t="shared" si="251"/>
        <v>-1583.5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-5</v>
      </c>
      <c r="Z1142" s="20">
        <f>Tabela1[[#This Row],[PESO TOTAL]]-Tabela1[[#This Row],[Peso Expedido]]</f>
        <v>1583.5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5548</v>
      </c>
      <c r="B1143" s="21"/>
      <c r="C1143" s="1">
        <v>1</v>
      </c>
      <c r="D1143" s="1" t="s">
        <v>5549</v>
      </c>
      <c r="E1143" s="7">
        <v>4781</v>
      </c>
      <c r="F1143" s="7">
        <v>2</v>
      </c>
      <c r="G1143" s="1">
        <v>251.8</v>
      </c>
      <c r="H1143" s="34">
        <f>Tabela1[[#This Row],[PESO UNI]]*Tabela1[[#This Row],[QTE]]</f>
        <v>251.8</v>
      </c>
      <c r="I1143" s="7">
        <v>0</v>
      </c>
      <c r="J1143" s="8" t="s">
        <v>5527</v>
      </c>
      <c r="K1143" s="8" t="s">
        <v>4320</v>
      </c>
      <c r="L1143" s="9" t="s">
        <v>5528</v>
      </c>
      <c r="M1143" s="10">
        <v>46265</v>
      </c>
      <c r="N1143" s="8" t="s">
        <v>5105</v>
      </c>
      <c r="O1143" s="12"/>
      <c r="P1143" s="13"/>
      <c r="Q1143" s="14">
        <f>Tabela1[[#This Row],[QTDE/ Fabricação]]-Tabela1[[#This Row],[QTE]]</f>
        <v>-1</v>
      </c>
      <c r="R1143" s="18">
        <f t="shared" si="249"/>
        <v>62.95</v>
      </c>
      <c r="S1143" s="18">
        <f t="shared" si="250"/>
        <v>0</v>
      </c>
      <c r="T1143" s="19">
        <f t="shared" si="251"/>
        <v>-251.8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-1</v>
      </c>
      <c r="Z1143" s="20">
        <f>Tabela1[[#This Row],[PESO TOTAL]]-Tabela1[[#This Row],[Peso Expedido]]</f>
        <v>251.8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5550</v>
      </c>
      <c r="B1144" s="21"/>
      <c r="C1144" s="1">
        <v>1</v>
      </c>
      <c r="D1144" s="1" t="s">
        <v>5551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5527</v>
      </c>
      <c r="K1144" s="8" t="s">
        <v>4320</v>
      </c>
      <c r="L1144" s="9" t="s">
        <v>5528</v>
      </c>
      <c r="M1144" s="10">
        <v>46265</v>
      </c>
      <c r="N1144" s="8" t="s">
        <v>5105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5554</v>
      </c>
      <c r="B1145" s="21" t="s">
        <v>5555</v>
      </c>
      <c r="C1145" s="1">
        <v>1</v>
      </c>
      <c r="D1145" s="1" t="s">
        <v>5556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5579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299.92924999999997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0.9</v>
      </c>
      <c r="AD1145" s="33">
        <v>0.9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5554</v>
      </c>
      <c r="B1146" s="21" t="s">
        <v>5555</v>
      </c>
      <c r="C1146" s="1">
        <v>4</v>
      </c>
      <c r="D1146" s="1" t="s">
        <v>5557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5579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8.4009999999999998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5558</v>
      </c>
      <c r="B1147" s="21" t="s">
        <v>5559</v>
      </c>
      <c r="C1147" s="1">
        <v>1</v>
      </c>
      <c r="D1147" s="1" t="s">
        <v>5560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5711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5561</v>
      </c>
      <c r="B1148" s="21"/>
      <c r="C1148" s="1">
        <v>8</v>
      </c>
      <c r="D1148" s="1" t="s">
        <v>5562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5527</v>
      </c>
      <c r="K1148" s="8" t="s">
        <v>4320</v>
      </c>
      <c r="L1148" s="9" t="s">
        <v>5528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5561</v>
      </c>
      <c r="B1149" s="21"/>
      <c r="C1149" s="1">
        <v>1</v>
      </c>
      <c r="D1149" s="1" t="s">
        <v>5563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5527</v>
      </c>
      <c r="K1149" s="8" t="s">
        <v>4320</v>
      </c>
      <c r="L1149" s="9" t="s">
        <v>5528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5561</v>
      </c>
      <c r="B1150" s="21"/>
      <c r="C1150" s="1">
        <v>1</v>
      </c>
      <c r="D1150" s="1" t="s">
        <v>5564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5527</v>
      </c>
      <c r="K1150" s="8" t="s">
        <v>4320</v>
      </c>
      <c r="L1150" s="9" t="s">
        <v>5528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5565</v>
      </c>
      <c r="B1151" s="21"/>
      <c r="C1151" s="1">
        <v>1</v>
      </c>
      <c r="D1151" s="1" t="s">
        <v>5566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5527</v>
      </c>
      <c r="K1151" s="8" t="s">
        <v>4320</v>
      </c>
      <c r="L1151" s="9" t="s">
        <v>5528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5565</v>
      </c>
      <c r="B1152" s="21"/>
      <c r="C1152" s="1">
        <v>1</v>
      </c>
      <c r="D1152" s="1" t="s">
        <v>5567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5527</v>
      </c>
      <c r="K1152" s="8" t="s">
        <v>4320</v>
      </c>
      <c r="L1152" s="9" t="s">
        <v>5528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5565</v>
      </c>
      <c r="B1153" s="21"/>
      <c r="C1153" s="1">
        <v>1</v>
      </c>
      <c r="D1153" s="1" t="s">
        <v>5568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5527</v>
      </c>
      <c r="K1153" s="8" t="s">
        <v>4320</v>
      </c>
      <c r="L1153" s="9" t="s">
        <v>5528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5565</v>
      </c>
      <c r="B1154" s="21"/>
      <c r="C1154" s="1">
        <v>1</v>
      </c>
      <c r="D1154" s="1" t="s">
        <v>5569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5527</v>
      </c>
      <c r="K1154" s="8" t="s">
        <v>4320</v>
      </c>
      <c r="L1154" s="9" t="s">
        <v>5528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5565</v>
      </c>
      <c r="B1155" s="21"/>
      <c r="C1155" s="1">
        <v>1</v>
      </c>
      <c r="D1155" s="1" t="s">
        <v>5570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5527</v>
      </c>
      <c r="K1155" s="8" t="s">
        <v>4320</v>
      </c>
      <c r="L1155" s="9" t="s">
        <v>5528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5565</v>
      </c>
      <c r="B1156" s="21"/>
      <c r="C1156" s="1">
        <v>1</v>
      </c>
      <c r="D1156" s="1" t="s">
        <v>5571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5527</v>
      </c>
      <c r="K1156" s="8" t="s">
        <v>4320</v>
      </c>
      <c r="L1156" s="9" t="s">
        <v>5528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5565</v>
      </c>
      <c r="B1157" s="21"/>
      <c r="C1157" s="1">
        <v>1</v>
      </c>
      <c r="D1157" s="1" t="s">
        <v>5572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5527</v>
      </c>
      <c r="K1157" s="8" t="s">
        <v>4320</v>
      </c>
      <c r="L1157" s="9" t="s">
        <v>5528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5565</v>
      </c>
      <c r="B1158" s="21"/>
      <c r="C1158" s="1">
        <v>1</v>
      </c>
      <c r="D1158" s="1" t="s">
        <v>5573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5527</v>
      </c>
      <c r="K1158" s="8" t="s">
        <v>4320</v>
      </c>
      <c r="L1158" s="9" t="s">
        <v>5528</v>
      </c>
      <c r="M1158" s="10">
        <v>46267</v>
      </c>
      <c r="N1158" s="8" t="s">
        <v>5105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5565</v>
      </c>
      <c r="B1159" s="21"/>
      <c r="C1159" s="1">
        <v>1</v>
      </c>
      <c r="D1159" s="1" t="s">
        <v>5574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5527</v>
      </c>
      <c r="K1159" s="8" t="s">
        <v>4320</v>
      </c>
      <c r="L1159" s="9" t="s">
        <v>5528</v>
      </c>
      <c r="M1159" s="10">
        <v>46267</v>
      </c>
      <c r="N1159" s="8" t="s">
        <v>5105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5575</v>
      </c>
      <c r="B1160" s="21"/>
      <c r="C1160" s="1">
        <v>1</v>
      </c>
      <c r="D1160" s="1" t="s">
        <v>5576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5575</v>
      </c>
      <c r="B1161" s="21"/>
      <c r="C1161" s="1">
        <v>1</v>
      </c>
      <c r="D1161" s="1" t="s">
        <v>5577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5255</v>
      </c>
      <c r="K1161" s="8" t="s">
        <v>4320</v>
      </c>
      <c r="L1161" s="9" t="s">
        <v>5256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5575</v>
      </c>
      <c r="B1162" s="21"/>
      <c r="C1162" s="1">
        <v>1</v>
      </c>
      <c r="D1162" s="1" t="s">
        <v>5578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5255</v>
      </c>
      <c r="K1162" s="8" t="s">
        <v>4320</v>
      </c>
      <c r="L1162" s="9" t="s">
        <v>5256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5622</v>
      </c>
      <c r="E1163" s="7">
        <v>4844</v>
      </c>
      <c r="F1163" s="7">
        <v>1</v>
      </c>
      <c r="G1163" s="1"/>
      <c r="H1163" s="34"/>
      <c r="I1163" s="7"/>
      <c r="J1163" s="8" t="s">
        <v>5623</v>
      </c>
      <c r="K1163" s="8" t="s">
        <v>5624</v>
      </c>
      <c r="L1163" s="9" t="s">
        <v>5625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5629</v>
      </c>
      <c r="B1164" s="21" t="s">
        <v>5630</v>
      </c>
      <c r="C1164" s="1">
        <v>1</v>
      </c>
      <c r="D1164" s="1" t="s">
        <v>5631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5629</v>
      </c>
      <c r="B1165" s="21" t="s">
        <v>5630</v>
      </c>
      <c r="C1165" s="1">
        <v>1</v>
      </c>
      <c r="D1165" s="1" t="s">
        <v>5632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5629</v>
      </c>
      <c r="B1166" s="21" t="s">
        <v>5630</v>
      </c>
      <c r="C1166" s="1">
        <v>1</v>
      </c>
      <c r="D1166" s="1" t="s">
        <v>5633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5629</v>
      </c>
      <c r="B1167" s="21" t="s">
        <v>5630</v>
      </c>
      <c r="C1167" s="1">
        <v>1</v>
      </c>
      <c r="D1167" s="1" t="s">
        <v>5634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308" t="s">
        <v>5635</v>
      </c>
      <c r="B1168" s="309" t="s">
        <v>5636</v>
      </c>
      <c r="C1168" s="308">
        <v>1</v>
      </c>
      <c r="D1168" s="308" t="s">
        <v>5637</v>
      </c>
      <c r="E1168" s="307">
        <v>4849</v>
      </c>
      <c r="F1168" s="307">
        <v>67</v>
      </c>
      <c r="G1168" s="308">
        <v>106.3</v>
      </c>
      <c r="H1168" s="310">
        <f>Tabela1[[#This Row],[PESO UNI]]*Tabela1[[#This Row],[QTE]]</f>
        <v>106.3</v>
      </c>
      <c r="I1168" s="307">
        <v>0</v>
      </c>
      <c r="J1168" s="311" t="s">
        <v>3140</v>
      </c>
      <c r="K1168" s="311" t="s">
        <v>4320</v>
      </c>
      <c r="L1168" s="312" t="s">
        <v>2984</v>
      </c>
      <c r="M1168" s="313">
        <v>46274</v>
      </c>
      <c r="N1168" s="311" t="s">
        <v>5105</v>
      </c>
      <c r="O1168" s="314"/>
      <c r="P1168" s="315"/>
      <c r="Q1168" s="14">
        <f>Tabela1[[#This Row],[QTDE/ Fabricação]]-Tabela1[[#This Row],[QTE]]</f>
        <v>-1</v>
      </c>
      <c r="R1168" s="317">
        <f t="shared" si="257"/>
        <v>106.3</v>
      </c>
      <c r="S1168" s="317">
        <f t="shared" si="258"/>
        <v>106.3</v>
      </c>
      <c r="T1168" s="318">
        <f t="shared" si="259"/>
        <v>0</v>
      </c>
      <c r="U1168" s="319">
        <f>IFERROR(SUMIF('LISTA DE EMBARQUE'!B:B,MICRO!E:E,'LISTA DE EMBARQUE'!G:G),"")</f>
        <v>1</v>
      </c>
      <c r="V1168" s="314">
        <f>IFERROR(VLOOKUP(Tabela1[[#This Row],[COD.MDE]],'LISTA DE EMBARQUE'!B:L,11,0),"")</f>
        <v>9</v>
      </c>
      <c r="W1168" s="315">
        <f>IFERROR(VLOOKUP(Tabela1[[#This Row],[COD.MDE]],'LISTA DE EMBARQUE'!B:M,12,0),"")</f>
        <v>46284</v>
      </c>
      <c r="X1168" s="316">
        <f>IFERROR(Tabela1[[#This Row],[QIANTIDADE EXPEDIDA]]*Tabela1[[#This Row],[PESO UNI]],"")</f>
        <v>106.3</v>
      </c>
      <c r="Y1168" s="316">
        <f t="shared" si="260"/>
        <v>0</v>
      </c>
      <c r="Z1168" s="320">
        <f>Tabela1[[#This Row],[PESO TOTAL]]-Tabela1[[#This Row],[Peso Expedido]]</f>
        <v>0</v>
      </c>
      <c r="AA1168" s="321">
        <v>1</v>
      </c>
      <c r="AB1168" s="322"/>
      <c r="AC1168" s="322">
        <v>1</v>
      </c>
      <c r="AD1168" s="322">
        <v>1</v>
      </c>
      <c r="AE1168" s="322">
        <v>1</v>
      </c>
      <c r="AF1168" s="322">
        <v>1</v>
      </c>
      <c r="AG1168" s="322">
        <v>1</v>
      </c>
      <c r="AH1168" s="322">
        <v>1</v>
      </c>
      <c r="AI1168" s="32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5635</v>
      </c>
      <c r="B1169" s="21" t="s">
        <v>5636</v>
      </c>
      <c r="C1169" s="1">
        <v>1</v>
      </c>
      <c r="D1169" s="1" t="s">
        <v>5638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5105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26.375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/>
      <c r="AD1169" s="33"/>
      <c r="AE1169" s="33"/>
      <c r="AF1169" s="33"/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5641</v>
      </c>
      <c r="B1170" s="21" t="s">
        <v>5642</v>
      </c>
      <c r="C1170" s="1">
        <v>6</v>
      </c>
      <c r="D1170" s="1" t="s">
        <v>5643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1.6500000000000001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5641</v>
      </c>
      <c r="B1171" s="21" t="s">
        <v>5642</v>
      </c>
      <c r="C1171" s="1">
        <v>6</v>
      </c>
      <c r="D1171" s="1" t="s">
        <v>5644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12.299999999999999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5641</v>
      </c>
      <c r="B1172" s="21" t="s">
        <v>5642</v>
      </c>
      <c r="C1172" s="1">
        <v>4</v>
      </c>
      <c r="D1172" s="1" t="s">
        <v>5645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50.9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5641</v>
      </c>
      <c r="B1173" s="21" t="s">
        <v>5642</v>
      </c>
      <c r="C1173" s="1">
        <v>4</v>
      </c>
      <c r="D1173" s="1" t="s">
        <v>5646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4.2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5641</v>
      </c>
      <c r="B1174" s="21" t="s">
        <v>5642</v>
      </c>
      <c r="C1174" s="1">
        <v>4</v>
      </c>
      <c r="D1174" s="1" t="s">
        <v>5647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3.8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5641</v>
      </c>
      <c r="B1175" s="21" t="s">
        <v>5642</v>
      </c>
      <c r="C1175" s="1">
        <v>22</v>
      </c>
      <c r="D1175" s="1" t="s">
        <v>5648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42.35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5641</v>
      </c>
      <c r="B1176" s="21" t="s">
        <v>5642</v>
      </c>
      <c r="C1176" s="1">
        <v>1</v>
      </c>
      <c r="D1176" s="1" t="s">
        <v>5649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3.7749999999999999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5641</v>
      </c>
      <c r="B1177" s="21" t="s">
        <v>5642</v>
      </c>
      <c r="C1177" s="1">
        <v>1</v>
      </c>
      <c r="D1177" s="1" t="s">
        <v>5650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0.55000000000000004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5641</v>
      </c>
      <c r="B1178" s="21" t="s">
        <v>5642</v>
      </c>
      <c r="C1178" s="1">
        <v>1</v>
      </c>
      <c r="D1178" s="1" t="s">
        <v>5651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2.7749999999999999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5641</v>
      </c>
      <c r="B1179" s="21" t="s">
        <v>5642</v>
      </c>
      <c r="C1179" s="1">
        <v>2</v>
      </c>
      <c r="D1179" s="1" t="s">
        <v>5652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5105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4.0999999999999996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5641</v>
      </c>
      <c r="B1180" s="21" t="s">
        <v>5642</v>
      </c>
      <c r="C1180" s="1">
        <v>2</v>
      </c>
      <c r="D1180" s="1" t="s">
        <v>5653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5105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0.95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/>
      <c r="D1181" s="1" t="s">
        <v>5654</v>
      </c>
      <c r="E1181" s="7">
        <v>4862</v>
      </c>
      <c r="F1181" s="7">
        <v>1</v>
      </c>
      <c r="G1181" s="1"/>
      <c r="H1181" s="34"/>
      <c r="I1181" s="7"/>
      <c r="J1181" s="8" t="s">
        <v>5655</v>
      </c>
      <c r="K1181" s="8" t="s">
        <v>45</v>
      </c>
      <c r="L1181" s="9" t="s">
        <v>5656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5667</v>
      </c>
      <c r="B1182" s="21" t="s">
        <v>5668</v>
      </c>
      <c r="C1182" s="1">
        <v>1</v>
      </c>
      <c r="D1182" s="1" t="s">
        <v>5669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5527</v>
      </c>
      <c r="K1182" s="8" t="s">
        <v>4320</v>
      </c>
      <c r="L1182" s="9" t="s">
        <v>5528</v>
      </c>
      <c r="M1182" s="10">
        <v>46275</v>
      </c>
      <c r="N1182" s="8" t="s">
        <v>5105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5667</v>
      </c>
      <c r="B1183" s="21" t="s">
        <v>5668</v>
      </c>
      <c r="C1183" s="1">
        <v>1</v>
      </c>
      <c r="D1183" s="1" t="s">
        <v>5670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5527</v>
      </c>
      <c r="K1183" s="8" t="s">
        <v>4320</v>
      </c>
      <c r="L1183" s="9" t="s">
        <v>5528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5667</v>
      </c>
      <c r="B1184" s="21" t="s">
        <v>5668</v>
      </c>
      <c r="C1184" s="1">
        <v>2</v>
      </c>
      <c r="D1184" s="1" t="s">
        <v>5671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5527</v>
      </c>
      <c r="K1184" s="8" t="s">
        <v>4320</v>
      </c>
      <c r="L1184" s="9" t="s">
        <v>5528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5667</v>
      </c>
      <c r="B1185" s="21" t="s">
        <v>5668</v>
      </c>
      <c r="C1185" s="1">
        <v>1</v>
      </c>
      <c r="D1185" s="1" t="s">
        <v>5672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5527</v>
      </c>
      <c r="K1185" s="8" t="s">
        <v>4320</v>
      </c>
      <c r="L1185" s="9" t="s">
        <v>5528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5667</v>
      </c>
      <c r="B1186" s="21" t="s">
        <v>5668</v>
      </c>
      <c r="C1186" s="1">
        <v>1</v>
      </c>
      <c r="D1186" s="1" t="s">
        <v>5673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5527</v>
      </c>
      <c r="K1186" s="8" t="s">
        <v>4320</v>
      </c>
      <c r="L1186" s="9" t="s">
        <v>5528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5667</v>
      </c>
      <c r="B1187" s="21" t="s">
        <v>5668</v>
      </c>
      <c r="C1187" s="1">
        <v>1</v>
      </c>
      <c r="D1187" s="1" t="s">
        <v>5674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5527</v>
      </c>
      <c r="K1187" s="8" t="s">
        <v>4320</v>
      </c>
      <c r="L1187" s="9" t="s">
        <v>5528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5667</v>
      </c>
      <c r="B1188" s="21" t="s">
        <v>5668</v>
      </c>
      <c r="C1188" s="1">
        <v>1</v>
      </c>
      <c r="D1188" s="1" t="s">
        <v>5675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5527</v>
      </c>
      <c r="K1188" s="8" t="s">
        <v>4320</v>
      </c>
      <c r="L1188" s="9" t="s">
        <v>5528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5667</v>
      </c>
      <c r="B1189" s="21" t="s">
        <v>5668</v>
      </c>
      <c r="C1189" s="1">
        <v>1</v>
      </c>
      <c r="D1189" s="1" t="s">
        <v>5676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5527</v>
      </c>
      <c r="K1189" s="8" t="s">
        <v>4320</v>
      </c>
      <c r="L1189" s="9" t="s">
        <v>5528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5667</v>
      </c>
      <c r="B1190" s="21" t="s">
        <v>5668</v>
      </c>
      <c r="C1190" s="1">
        <v>1</v>
      </c>
      <c r="D1190" s="1" t="s">
        <v>5677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5527</v>
      </c>
      <c r="K1190" s="8" t="s">
        <v>4320</v>
      </c>
      <c r="L1190" s="9" t="s">
        <v>5528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5667</v>
      </c>
      <c r="B1191" s="21" t="s">
        <v>5668</v>
      </c>
      <c r="C1191" s="1">
        <v>1</v>
      </c>
      <c r="D1191" s="1" t="s">
        <v>5678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5527</v>
      </c>
      <c r="K1191" s="8" t="s">
        <v>4320</v>
      </c>
      <c r="L1191" s="9" t="s">
        <v>5528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5667</v>
      </c>
      <c r="B1192" s="21" t="s">
        <v>5668</v>
      </c>
      <c r="C1192" s="1">
        <v>1</v>
      </c>
      <c r="D1192" s="1" t="s">
        <v>5679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5527</v>
      </c>
      <c r="K1192" s="8" t="s">
        <v>4320</v>
      </c>
      <c r="L1192" s="9" t="s">
        <v>5528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5667</v>
      </c>
      <c r="B1193" s="21" t="s">
        <v>5668</v>
      </c>
      <c r="C1193" s="1">
        <v>1</v>
      </c>
      <c r="D1193" s="1" t="s">
        <v>5680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5527</v>
      </c>
      <c r="K1193" s="8" t="s">
        <v>4320</v>
      </c>
      <c r="L1193" s="9" t="s">
        <v>5528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5667</v>
      </c>
      <c r="B1194" s="21" t="s">
        <v>5668</v>
      </c>
      <c r="C1194" s="1">
        <v>1</v>
      </c>
      <c r="D1194" s="1" t="s">
        <v>5681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5527</v>
      </c>
      <c r="K1194" s="8" t="s">
        <v>4320</v>
      </c>
      <c r="L1194" s="9" t="s">
        <v>5528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5667</v>
      </c>
      <c r="B1195" s="21" t="s">
        <v>5668</v>
      </c>
      <c r="C1195" s="1">
        <v>2</v>
      </c>
      <c r="D1195" s="1" t="s">
        <v>5682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5527</v>
      </c>
      <c r="K1195" s="8" t="s">
        <v>4320</v>
      </c>
      <c r="L1195" s="9" t="s">
        <v>5528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5667</v>
      </c>
      <c r="B1196" s="21" t="s">
        <v>5668</v>
      </c>
      <c r="C1196" s="1">
        <v>2</v>
      </c>
      <c r="D1196" s="1" t="s">
        <v>5683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5527</v>
      </c>
      <c r="K1196" s="8" t="s">
        <v>4320</v>
      </c>
      <c r="L1196" s="9" t="s">
        <v>5528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5667</v>
      </c>
      <c r="B1197" s="21" t="s">
        <v>5668</v>
      </c>
      <c r="C1197" s="1">
        <v>2</v>
      </c>
      <c r="D1197" s="1" t="s">
        <v>5684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5527</v>
      </c>
      <c r="K1197" s="8" t="s">
        <v>4320</v>
      </c>
      <c r="L1197" s="9" t="s">
        <v>5528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5667</v>
      </c>
      <c r="B1198" s="21" t="s">
        <v>5668</v>
      </c>
      <c r="C1198" s="1">
        <v>1</v>
      </c>
      <c r="D1198" s="1" t="s">
        <v>5685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5527</v>
      </c>
      <c r="K1198" s="8" t="s">
        <v>4320</v>
      </c>
      <c r="L1198" s="9" t="s">
        <v>5528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5686</v>
      </c>
      <c r="B1199" s="21" t="s">
        <v>5668</v>
      </c>
      <c r="C1199" s="1">
        <v>4</v>
      </c>
      <c r="D1199" s="1" t="s">
        <v>5687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5527</v>
      </c>
      <c r="K1199" s="8" t="s">
        <v>4320</v>
      </c>
      <c r="L1199" s="9" t="s">
        <v>5528</v>
      </c>
      <c r="M1199" s="10">
        <v>46275</v>
      </c>
      <c r="N1199" s="8" t="s">
        <v>5105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5686</v>
      </c>
      <c r="B1200" s="21" t="s">
        <v>5668</v>
      </c>
      <c r="C1200" s="1">
        <v>4</v>
      </c>
      <c r="D1200" s="1" t="s">
        <v>5688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5527</v>
      </c>
      <c r="K1200" s="8" t="s">
        <v>4320</v>
      </c>
      <c r="L1200" s="9" t="s">
        <v>5528</v>
      </c>
      <c r="M1200" s="10">
        <v>46275</v>
      </c>
      <c r="N1200" s="8" t="s">
        <v>5105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5689</v>
      </c>
      <c r="B1201" s="21" t="s">
        <v>5689</v>
      </c>
      <c r="C1201" s="1">
        <v>1</v>
      </c>
      <c r="D1201" s="1" t="s">
        <v>5690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5691</v>
      </c>
      <c r="K1201" s="8" t="s">
        <v>22</v>
      </c>
      <c r="L1201" s="9" t="s">
        <v>5931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5694</v>
      </c>
      <c r="B1202" s="21" t="s">
        <v>5694</v>
      </c>
      <c r="C1202" s="1">
        <v>1</v>
      </c>
      <c r="D1202" s="1" t="s">
        <v>5695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5696</v>
      </c>
      <c r="K1202" s="8" t="s">
        <v>22</v>
      </c>
      <c r="L1202" s="9" t="s">
        <v>5697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5698</v>
      </c>
      <c r="B1203" s="21" t="s">
        <v>5698</v>
      </c>
      <c r="C1203" s="1">
        <v>1</v>
      </c>
      <c r="D1203" s="1" t="s">
        <v>5699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5700</v>
      </c>
      <c r="K1203" s="8" t="s">
        <v>22</v>
      </c>
      <c r="L1203" s="9" t="s">
        <v>5701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5702</v>
      </c>
      <c r="B1204" s="21" t="s">
        <v>5702</v>
      </c>
      <c r="C1204" s="1">
        <v>1</v>
      </c>
      <c r="D1204" s="1" t="s">
        <v>5703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5704</v>
      </c>
      <c r="K1204" s="8" t="s">
        <v>22</v>
      </c>
      <c r="L1204" s="9" t="s">
        <v>5705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5706</v>
      </c>
      <c r="B1205" s="21" t="s">
        <v>5706</v>
      </c>
      <c r="C1205" s="1">
        <v>1</v>
      </c>
      <c r="D1205" s="1" t="s">
        <v>5707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5708</v>
      </c>
      <c r="K1205" s="8" t="s">
        <v>22</v>
      </c>
      <c r="L1205" s="9" t="s">
        <v>5709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5715</v>
      </c>
      <c r="B1206" s="21" t="s">
        <v>5716</v>
      </c>
      <c r="C1206" s="1">
        <v>4</v>
      </c>
      <c r="D1206" s="1" t="s">
        <v>5717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5105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283.5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/>
      <c r="AD1206" s="33"/>
      <c r="AE1206" s="33"/>
      <c r="AF1206" s="33"/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5715</v>
      </c>
      <c r="B1207" s="21" t="s">
        <v>5716</v>
      </c>
      <c r="C1207" s="1">
        <v>2</v>
      </c>
      <c r="D1207" s="1" t="s">
        <v>5718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5105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137.35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/>
      <c r="AD1207" s="33"/>
      <c r="AE1207" s="33"/>
      <c r="AF1207" s="33"/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5715</v>
      </c>
      <c r="B1208" s="21" t="s">
        <v>5716</v>
      </c>
      <c r="C1208" s="1">
        <v>2</v>
      </c>
      <c r="D1208" s="1" t="s">
        <v>5719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5105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44.7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/>
      <c r="AD1208" s="33"/>
      <c r="AE1208" s="33"/>
      <c r="AF1208" s="33"/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5715</v>
      </c>
      <c r="B1209" s="21" t="s">
        <v>5716</v>
      </c>
      <c r="C1209" s="1">
        <v>1</v>
      </c>
      <c r="D1209" s="1" t="s">
        <v>5720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5105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18.225000000000001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/>
      <c r="AD1209" s="33"/>
      <c r="AE1209" s="33"/>
      <c r="AF1209" s="33"/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5715</v>
      </c>
      <c r="B1210" s="21" t="s">
        <v>5716</v>
      </c>
      <c r="C1210" s="1">
        <v>1</v>
      </c>
      <c r="D1210" s="1" t="s">
        <v>5721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5105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17.725000000000001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/>
      <c r="AD1210" s="33"/>
      <c r="AE1210" s="33"/>
      <c r="AF1210" s="33"/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5715</v>
      </c>
      <c r="B1211" s="21" t="s">
        <v>5716</v>
      </c>
      <c r="C1211" s="1">
        <v>1</v>
      </c>
      <c r="D1211" s="1" t="s">
        <v>5722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5105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18.024999999999999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/>
      <c r="AD1211" s="33"/>
      <c r="AE1211" s="33"/>
      <c r="AF1211" s="33"/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5715</v>
      </c>
      <c r="B1212" s="21" t="s">
        <v>5716</v>
      </c>
      <c r="C1212" s="1">
        <v>1</v>
      </c>
      <c r="D1212" s="1" t="s">
        <v>5723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5105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18.524999999999999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/>
      <c r="AD1212" s="33"/>
      <c r="AE1212" s="33"/>
      <c r="AF1212" s="33"/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5715</v>
      </c>
      <c r="B1213" s="21" t="s">
        <v>5716</v>
      </c>
      <c r="C1213" s="1">
        <v>4</v>
      </c>
      <c r="D1213" s="1" t="s">
        <v>5724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5105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14.9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/>
      <c r="AD1213" s="33"/>
      <c r="AE1213" s="33"/>
      <c r="AF1213" s="33"/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5715</v>
      </c>
      <c r="B1214" s="21" t="s">
        <v>5716</v>
      </c>
      <c r="C1214" s="1">
        <v>2</v>
      </c>
      <c r="D1214" s="1" t="s">
        <v>5725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5105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6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/>
      <c r="AD1214" s="33"/>
      <c r="AE1214" s="33"/>
      <c r="AF1214" s="33"/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5715</v>
      </c>
      <c r="B1215" s="21" t="s">
        <v>5716</v>
      </c>
      <c r="C1215" s="1">
        <v>2</v>
      </c>
      <c r="D1215" s="1" t="s">
        <v>5726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5105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8.6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/>
      <c r="AD1215" s="33"/>
      <c r="AE1215" s="33"/>
      <c r="AF1215" s="33"/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5715</v>
      </c>
      <c r="B1216" s="21" t="s">
        <v>5716</v>
      </c>
      <c r="C1216" s="1">
        <v>2</v>
      </c>
      <c r="D1216" s="1" t="s">
        <v>5727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5105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224.15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/>
      <c r="AD1216" s="33"/>
      <c r="AE1216" s="33"/>
      <c r="AF1216" s="33"/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5715</v>
      </c>
      <c r="B1217" s="21" t="s">
        <v>5716</v>
      </c>
      <c r="C1217" s="1">
        <v>2</v>
      </c>
      <c r="D1217" s="1" t="s">
        <v>5728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5105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43.5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/>
      <c r="AD1217" s="33"/>
      <c r="AE1217" s="33"/>
      <c r="AF1217" s="33"/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5715</v>
      </c>
      <c r="B1218" s="21" t="s">
        <v>5716</v>
      </c>
      <c r="C1218" s="1">
        <v>2</v>
      </c>
      <c r="D1218" s="1" t="s">
        <v>5729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5105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37.5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/>
      <c r="AD1218" s="33"/>
      <c r="AE1218" s="33"/>
      <c r="AF1218" s="33"/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5715</v>
      </c>
      <c r="B1219" s="21" t="s">
        <v>5716</v>
      </c>
      <c r="C1219" s="1">
        <v>32</v>
      </c>
      <c r="D1219" s="1" t="s">
        <v>5730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5105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28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/>
      <c r="AD1219" s="33"/>
      <c r="AE1219" s="33"/>
      <c r="AF1219" s="33"/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5715</v>
      </c>
      <c r="B1220" s="21" t="s">
        <v>5716</v>
      </c>
      <c r="C1220" s="1">
        <v>64</v>
      </c>
      <c r="D1220" s="1" t="s">
        <v>5731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5105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24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/>
      <c r="AD1220" s="33"/>
      <c r="AE1220" s="33"/>
      <c r="AF1220" s="33"/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5715</v>
      </c>
      <c r="B1221" s="21" t="s">
        <v>5716</v>
      </c>
      <c r="C1221" s="1">
        <v>32</v>
      </c>
      <c r="D1221" s="1" t="s">
        <v>5732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5105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22.4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/>
      <c r="AD1221" s="33"/>
      <c r="AE1221" s="33"/>
      <c r="AF1221" s="33"/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5733</v>
      </c>
      <c r="B1222" s="21" t="s">
        <v>5734</v>
      </c>
      <c r="C1222" s="1">
        <v>2</v>
      </c>
      <c r="D1222" s="1" t="s">
        <v>5735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5105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46.45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/>
      <c r="AD1222" s="33"/>
      <c r="AE1222" s="33"/>
      <c r="AF1222" s="33"/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5736</v>
      </c>
      <c r="B1223" s="21" t="s">
        <v>5737</v>
      </c>
      <c r="C1223" s="1">
        <v>2</v>
      </c>
      <c r="D1223" s="1" t="s">
        <v>5738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5736</v>
      </c>
      <c r="B1224" s="21" t="s">
        <v>5737</v>
      </c>
      <c r="C1224" s="1">
        <v>1</v>
      </c>
      <c r="D1224" s="1" t="s">
        <v>5739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5736</v>
      </c>
      <c r="B1225" s="21" t="s">
        <v>5737</v>
      </c>
      <c r="C1225" s="1">
        <v>1</v>
      </c>
      <c r="D1225" s="1" t="s">
        <v>5740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5736</v>
      </c>
      <c r="B1226" s="21" t="s">
        <v>5737</v>
      </c>
      <c r="C1226" s="1">
        <v>2</v>
      </c>
      <c r="D1226" s="1" t="s">
        <v>5741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5736</v>
      </c>
      <c r="B1227" s="21" t="s">
        <v>5737</v>
      </c>
      <c r="C1227" s="1">
        <v>2</v>
      </c>
      <c r="D1227" s="1" t="s">
        <v>5742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5736</v>
      </c>
      <c r="B1228" s="21" t="s">
        <v>5737</v>
      </c>
      <c r="C1228" s="1">
        <v>2</v>
      </c>
      <c r="D1228" s="1" t="s">
        <v>5743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5736</v>
      </c>
      <c r="B1229" s="21" t="s">
        <v>5737</v>
      </c>
      <c r="C1229" s="1">
        <v>2</v>
      </c>
      <c r="D1229" s="1" t="s">
        <v>5744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5736</v>
      </c>
      <c r="B1230" s="21" t="s">
        <v>5737</v>
      </c>
      <c r="C1230" s="1">
        <v>2</v>
      </c>
      <c r="D1230" s="1" t="s">
        <v>5745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5736</v>
      </c>
      <c r="B1231" s="21" t="s">
        <v>5737</v>
      </c>
      <c r="C1231" s="1">
        <v>4</v>
      </c>
      <c r="D1231" s="1" t="s">
        <v>5746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5736</v>
      </c>
      <c r="B1232" s="21" t="s">
        <v>5737</v>
      </c>
      <c r="C1232" s="1">
        <v>2</v>
      </c>
      <c r="D1232" s="1" t="s">
        <v>5747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>IFERROR(H1232*((AA1232*0.25)+(AC1232*0.25)+(AD1232*0.225)+(AE1232*0.225)+(AF1232*0.05)),"")</f>
        <v>1.1499999999999999</v>
      </c>
      <c r="S1232" s="18">
        <f>IFERROR(H1232*AG1232,"")</f>
        <v>0</v>
      </c>
      <c r="T1232" s="19">
        <f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5934</v>
      </c>
      <c r="B1233" s="21" t="s">
        <v>5935</v>
      </c>
      <c r="C1233" s="1">
        <v>2</v>
      </c>
      <c r="D1233" s="1" t="s">
        <v>5936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>IFERROR(H1233*((AA1233*0.25)+(AC1233*0.25)+(AD1233*0.225)+(AE1233*0.225)+(AF1233*0.05)),"")</f>
        <v>64.099999999999994</v>
      </c>
      <c r="S1233" s="18">
        <f>IFERROR(H1233*AG1233,"")</f>
        <v>0</v>
      </c>
      <c r="T1233" s="19">
        <f>IFERROR(S1233-H1233,"")</f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>U1233-C1233</f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5934</v>
      </c>
      <c r="B1234" s="21" t="s">
        <v>5935</v>
      </c>
      <c r="C1234" s="1">
        <v>1</v>
      </c>
      <c r="D1234" s="1" t="s">
        <v>5937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>IFERROR(H1234*((AA1234*0.25)+(AC1234*0.25)+(AD1234*0.225)+(AE1234*0.225)+(AF1234*0.05)),"")</f>
        <v>51</v>
      </c>
      <c r="S1234" s="18">
        <f>IFERROR(H1234*AG1234,"")</f>
        <v>0</v>
      </c>
      <c r="T1234" s="19">
        <f>IFERROR(S1234-H1234,"")</f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>U1234-C1234</f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5934</v>
      </c>
      <c r="B1235" s="21" t="s">
        <v>5935</v>
      </c>
      <c r="C1235" s="1">
        <v>1</v>
      </c>
      <c r="D1235" s="1" t="s">
        <v>5938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>IFERROR(H1235*((AA1235*0.25)+(AC1235*0.25)+(AD1235*0.225)+(AE1235*0.225)+(AF1235*0.05)),"")</f>
        <v>56.325000000000003</v>
      </c>
      <c r="S1235" s="18">
        <f>IFERROR(H1235*AG1235,"")</f>
        <v>0</v>
      </c>
      <c r="T1235" s="19">
        <f>IFERROR(S1235-H1235,"")</f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>U1235-C1235</f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5934</v>
      </c>
      <c r="B1236" s="21" t="s">
        <v>5935</v>
      </c>
      <c r="C1236" s="1">
        <v>1</v>
      </c>
      <c r="D1236" s="1" t="s">
        <v>5939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>IFERROR(H1236*((AA1236*0.25)+(AC1236*0.25)+(AD1236*0.225)+(AE1236*0.225)+(AF1236*0.05)),"")</f>
        <v>53.45</v>
      </c>
      <c r="S1236" s="18">
        <f>IFERROR(H1236*AG1236,"")</f>
        <v>0</v>
      </c>
      <c r="T1236" s="19">
        <f>IFERROR(S1236-H1236,"")</f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>U1236-C1236</f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5941</v>
      </c>
      <c r="B1237" s="21" t="s">
        <v>5942</v>
      </c>
      <c r="C1237" s="1">
        <v>1</v>
      </c>
      <c r="D1237" s="1" t="s">
        <v>5943</v>
      </c>
      <c r="E1237" s="7">
        <v>4919</v>
      </c>
      <c r="F1237" s="7">
        <v>78</v>
      </c>
      <c r="G1237" s="1">
        <v>1228.4000000000001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-1</v>
      </c>
      <c r="R1237" s="18">
        <f>IFERROR(H1237*((AA1237*0.25)+(AC1237*0.25)+(AD1237*0.225)+(AE1237*0.225)+(AF1237*0.05)),"")</f>
        <v>307.10000000000002</v>
      </c>
      <c r="S1237" s="18">
        <f>IFERROR(H1237*AG1237,"")</f>
        <v>0</v>
      </c>
      <c r="T1237" s="19">
        <f>IFERROR(S1237-H1237,"")</f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>U1237-C1237</f>
        <v>-1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5941</v>
      </c>
      <c r="B1238" s="21" t="s">
        <v>5942</v>
      </c>
      <c r="C1238" s="1">
        <v>74</v>
      </c>
      <c r="D1238" s="1" t="s">
        <v>5944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>IFERROR(H1238*((AA1238*0.25)+(AC1238*0.25)+(AD1238*0.225)+(AE1238*0.225)+(AF1238*0.05)),"")</f>
        <v>16.650000000000002</v>
      </c>
      <c r="S1238" s="18">
        <f>IFERROR(H1238*AG1238,"")</f>
        <v>0</v>
      </c>
      <c r="T1238" s="19">
        <f>IFERROR(S1238-H1238,"")</f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>U1238-C1238</f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5945</v>
      </c>
      <c r="B1239" s="21" t="s">
        <v>5946</v>
      </c>
      <c r="C1239" s="1">
        <v>1</v>
      </c>
      <c r="D1239" s="1" t="s">
        <v>5947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38</v>
      </c>
      <c r="O1239" s="12"/>
      <c r="P1239" s="13"/>
      <c r="Q1239" s="14">
        <f>Tabela1[[#This Row],[QTDE/ Fabricação]]-Tabela1[[#This Row],[QTE]]</f>
        <v>-1</v>
      </c>
      <c r="R1239" s="18">
        <f>IFERROR(H1239*((AA1239*0.25)+(AC1239*0.25)+(AD1239*0.225)+(AE1239*0.225)+(AF1239*0.05)),"")</f>
        <v>303</v>
      </c>
      <c r="S1239" s="18">
        <f>IFERROR(H1239*AG1239,"")</f>
        <v>0</v>
      </c>
      <c r="T1239" s="19">
        <f>IFERROR(S1239-H1239,"")</f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>U1239-C1239</f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5948</v>
      </c>
      <c r="B1240" s="21" t="s">
        <v>5949</v>
      </c>
      <c r="C1240" s="206">
        <v>1</v>
      </c>
      <c r="D1240" s="206" t="s">
        <v>5950</v>
      </c>
      <c r="E1240" s="306">
        <v>4922</v>
      </c>
      <c r="F1240" s="192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>IFERROR(H1240*((AA1240*0.25)+(AC1240*0.25)+(AD1240*0.225)+(AE1240*0.225)+(AF1240*0.05)),"")</f>
        <v>3.2</v>
      </c>
      <c r="S1240" s="18">
        <f>IFERROR(H1240*AG1240,"")</f>
        <v>0</v>
      </c>
      <c r="T1240" s="19">
        <f>IFERROR(S1240-H1240,"")</f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>U1240-C1240</f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5948</v>
      </c>
      <c r="B1241" s="21" t="s">
        <v>5949</v>
      </c>
      <c r="C1241" s="206">
        <v>2</v>
      </c>
      <c r="D1241" s="206" t="s">
        <v>5951</v>
      </c>
      <c r="E1241" s="192">
        <v>4923</v>
      </c>
      <c r="F1241" s="192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>IFERROR(H1241*((AA1241*0.25)+(AC1241*0.25)+(AD1241*0.225)+(AE1241*0.225)+(AF1241*0.05)),"")</f>
        <v>3.2</v>
      </c>
      <c r="S1241" s="18">
        <f>IFERROR(H1241*AG1241,"")</f>
        <v>0</v>
      </c>
      <c r="T1241" s="19">
        <f>IFERROR(S1241-H1241,"")</f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>U1241-C1241</f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208" t="s">
        <v>5953</v>
      </c>
      <c r="B1242" s="305" t="s">
        <v>5954</v>
      </c>
      <c r="C1242" s="206">
        <v>1</v>
      </c>
      <c r="D1242" s="206" t="s">
        <v>5955</v>
      </c>
      <c r="E1242" s="306">
        <v>4924</v>
      </c>
      <c r="F1242" s="192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>IFERROR(H1242*((AA1242*0.25)+(AC1242*0.25)+(AD1242*0.225)+(AE1242*0.225)+(AF1242*0.05)),"")</f>
        <v>2.85</v>
      </c>
      <c r="S1242" s="18">
        <f>IFERROR(H1242*AG1242,"")</f>
        <v>0</v>
      </c>
      <c r="T1242" s="19">
        <f>IFERROR(S1242-H1242,"")</f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>U1242-C1242</f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208" t="s">
        <v>5953</v>
      </c>
      <c r="B1243" s="21" t="s">
        <v>5954</v>
      </c>
      <c r="C1243" s="206">
        <v>1</v>
      </c>
      <c r="D1243" s="206" t="s">
        <v>5956</v>
      </c>
      <c r="E1243" s="192">
        <v>4925</v>
      </c>
      <c r="F1243" s="192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>IFERROR(H1243*((AA1243*0.25)+(AC1243*0.25)+(AD1243*0.225)+(AE1243*0.225)+(AF1243*0.05)),"")</f>
        <v>5.5250000000000004</v>
      </c>
      <c r="S1243" s="18">
        <f>IFERROR(H1243*AG1243,"")</f>
        <v>0</v>
      </c>
      <c r="T1243" s="19">
        <f>IFERROR(S1243-H1243,"")</f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>U1243-C1243</f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208" t="s">
        <v>5957</v>
      </c>
      <c r="B1244" s="305" t="s">
        <v>5958</v>
      </c>
      <c r="C1244" s="206">
        <v>6</v>
      </c>
      <c r="D1244" s="206" t="s">
        <v>5959</v>
      </c>
      <c r="E1244" s="306">
        <v>4926</v>
      </c>
      <c r="F1244" s="192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>IFERROR(H1244*((AA1244*0.25)+(AC1244*0.25)+(AD1244*0.225)+(AE1244*0.225)+(AF1244*0.05)),"")</f>
        <v>5.0999999999999996</v>
      </c>
      <c r="S1244" s="18">
        <f>IFERROR(H1244*AG1244,"")</f>
        <v>0</v>
      </c>
      <c r="T1244" s="19">
        <f>IFERROR(S1244-H1244,"")</f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>U1244-C1244</f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208" t="s">
        <v>5957</v>
      </c>
      <c r="B1245" s="21" t="s">
        <v>5958</v>
      </c>
      <c r="C1245" s="206">
        <v>1</v>
      </c>
      <c r="D1245" s="206" t="s">
        <v>5960</v>
      </c>
      <c r="E1245" s="192">
        <v>4927</v>
      </c>
      <c r="F1245" s="192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>IFERROR(H1245*((AA1245*0.25)+(AC1245*0.25)+(AD1245*0.225)+(AE1245*0.225)+(AF1245*0.05)),"")</f>
        <v>95.724999999999994</v>
      </c>
      <c r="S1245" s="18">
        <f>IFERROR(H1245*AG1245,"")</f>
        <v>0</v>
      </c>
      <c r="T1245" s="19">
        <f>IFERROR(S1245-H1245,"")</f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>U1245-C1245</f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customHeight="1" x14ac:dyDescent="0.25">
      <c r="A1246" s="25" t="s">
        <v>5961</v>
      </c>
      <c r="B1246" s="323" t="s">
        <v>5962</v>
      </c>
      <c r="C1246" s="25">
        <v>1</v>
      </c>
      <c r="D1246" s="26" t="s">
        <v>5963</v>
      </c>
      <c r="E1246" s="25">
        <v>4928</v>
      </c>
      <c r="F1246" s="25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</row>
  </sheetData>
  <phoneticPr fontId="6" type="noConversion"/>
  <conditionalFormatting sqref="A862:X862 E2:E458 AA29:AH120 AI29:AI459 AE121:AH122 AA123:AH140 AD141:AH142 AA143:AH147 AD148:AH149 AA150:AH449 AA452:AD453 AA454:AB458 AD454:AD458 AA486:AH604 E556:E604 L605 AA762:AJ762 AC762:AE763 AA763:AI775 AA776:AB776 AH776:AI776 AA777:AI797 AA798:AH804 AA805:AB805 AH805:AI805 AA806:AI816 AA817:AH817 AB818:AI819 AA820:AI821 AB822:AI833 AA834:AI836 AB837:AI838 AA839:AI839 AB840:AI841 AB858:AI858 AA859:AI873 AB874:AI884 AA885:AI891 AB987:AB988 AH987:AI988 AB989:AI995 AB996:AB997 AH996:AI997 E606:E1245 J605:J1246 AB892:AI986 AA842:AI857 AB998:AI1246">
    <cfRule type="expression" dxfId="4" priority="2053">
      <formula>$AI2="OK"</formula>
    </cfRule>
  </conditionalFormatting>
  <conditionalFormatting sqref="F564:F1245 B606:B1245 H606:I1245 K859:O1245">
    <cfRule type="expression" dxfId="144" priority="1495">
      <formula>#REF!="OK"</formula>
    </cfRule>
  </conditionalFormatting>
  <conditionalFormatting sqref="G452:G458">
    <cfRule type="expression" dxfId="143" priority="404">
      <formula>$AI506="OK"</formula>
    </cfRule>
  </conditionalFormatting>
  <conditionalFormatting sqref="H419">
    <cfRule type="expression" dxfId="142" priority="28846">
      <formula>$AI449="OK"</formula>
    </cfRule>
  </conditionalFormatting>
  <conditionalFormatting sqref="H420:H438">
    <cfRule type="expression" dxfId="141" priority="28836">
      <formula>$AI459="OK"</formula>
    </cfRule>
  </conditionalFormatting>
  <conditionalFormatting sqref="H576">
    <cfRule type="expression" dxfId="140" priority="28813">
      <formula>$AI604="OK"</formula>
    </cfRule>
  </conditionalFormatting>
  <conditionalFormatting sqref="K153:K438 K445:K451 L448:L449 L762:O763">
    <cfRule type="expression" dxfId="139" priority="2062">
      <formula>#REF!="OK"</formula>
    </cfRule>
  </conditionalFormatting>
  <conditionalFormatting sqref="K762:K763">
    <cfRule type="expression" dxfId="138" priority="29062">
      <formula>$AI1264="OK"</formula>
    </cfRule>
  </conditionalFormatting>
  <conditionalFormatting sqref="K764:O817 K818:M819 O818:O819 K820:O821 K822:M833 O822:O833 K834:O836 K837:M838 O837:O838 K839:O839 K840:M841 O840:O841 K842:O857 K858:M858 O858">
    <cfRule type="expression" dxfId="137" priority="1538">
      <formula>#REF!="OK"</formula>
    </cfRule>
  </conditionalFormatting>
  <conditionalFormatting sqref="L2:L27 H415:H417">
    <cfRule type="expression" dxfId="136" priority="28589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35" priority="2059">
      <formula>$AI72="OK"</formula>
    </cfRule>
  </conditionalFormatting>
  <conditionalFormatting sqref="L408">
    <cfRule type="expression" dxfId="134" priority="28838">
      <formula>$AI449="OK"</formula>
    </cfRule>
  </conditionalFormatting>
  <conditionalFormatting sqref="L409:L438">
    <cfRule type="expression" dxfId="133" priority="28691">
      <formula>$AI459="OK"</formula>
    </cfRule>
  </conditionalFormatting>
  <conditionalFormatting sqref="N2:N451">
    <cfRule type="expression" dxfId="132" priority="1943">
      <formula>#REF!="OK"</formula>
    </cfRule>
  </conditionalFormatting>
  <conditionalFormatting sqref="N818:N819">
    <cfRule type="expression" dxfId="131" priority="630">
      <formula>#REF!="OK"</formula>
    </cfRule>
  </conditionalFormatting>
  <conditionalFormatting sqref="N822:N833">
    <cfRule type="expression" dxfId="130" priority="618">
      <formula>#REF!="OK"</formula>
    </cfRule>
  </conditionalFormatting>
  <conditionalFormatting sqref="N837:N838">
    <cfRule type="expression" dxfId="129" priority="616">
      <formula>#REF!="OK"</formula>
    </cfRule>
  </conditionalFormatting>
  <conditionalFormatting sqref="N840:N841">
    <cfRule type="expression" dxfId="128" priority="614">
      <formula>#REF!="OK"</formula>
    </cfRule>
  </conditionalFormatting>
  <conditionalFormatting sqref="N858">
    <cfRule type="expression" dxfId="127" priority="612">
      <formula>#REF!="OK"</formula>
    </cfRule>
  </conditionalFormatting>
  <conditionalFormatting sqref="O450:O458 T2:T1246 Y2:Z1246 Q459:Q1246">
    <cfRule type="cellIs" dxfId="126" priority="2009" operator="greaterThanOrEqual">
      <formula>0</formula>
    </cfRule>
  </conditionalFormatting>
  <conditionalFormatting sqref="O450:P453 H449 R449 M450:M451 A450:D453 F450:F453 H450:J458 K452:N458 P457:P458">
    <cfRule type="expression" dxfId="125" priority="28647">
      <formula>$AI503="OK"</formula>
    </cfRule>
  </conditionalFormatting>
  <conditionalFormatting sqref="O2:Z27 A2:D27 F2:F27 H2:K27 M2:M27 H153:H413 H459:H571">
    <cfRule type="expression" dxfId="124" priority="28622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23" priority="28320">
      <formula>$AI73="OK"</formula>
    </cfRule>
  </conditionalFormatting>
  <conditionalFormatting sqref="O108:Z108 A108:D108 F108 H108:K108 M108 L109">
    <cfRule type="expression" dxfId="122" priority="28955">
      <formula>#REF!="OK"</formula>
    </cfRule>
  </conditionalFormatting>
  <conditionalFormatting sqref="O402:Z402 O406:Z406 A402:D402 F402 I402:J402 M402 L403 A406:D406 F406 I406:J406 M406 L407 H414 H418">
    <cfRule type="expression" dxfId="121" priority="28839">
      <formula>#REF!="OK"</formula>
    </cfRule>
  </conditionalFormatting>
  <conditionalFormatting sqref="O403:Z405 L110:L152 L214:L256 L396:L402 A403:D405 F403:F405 I403:J405 M403:M405">
    <cfRule type="expression" dxfId="120" priority="28526">
      <formula>$AI153="OK"</formula>
    </cfRule>
  </conditionalFormatting>
  <conditionalFormatting sqref="O407:Z407 L404:L406 A407:D407 F407 I407:J407 M407">
    <cfRule type="expression" dxfId="119" priority="28848">
      <formula>$AI446="OK"</formula>
    </cfRule>
  </conditionalFormatting>
  <conditionalFormatting sqref="O446:Z446 S449:Z449 O449:Q449 Q450:Q451 O454:P456 O457:O458 A446:D446 F446 J446 M446 H446:H448 R447:R448 A449:D449 F449 J449 M449 L450:L451 U450:U458 A454:D458 F454:F458">
    <cfRule type="expression" dxfId="118" priority="28661">
      <formula>$AI499="OK"</formula>
    </cfRule>
  </conditionalFormatting>
  <conditionalFormatting sqref="O559:Z562 Z560:Z563 B559:B562 F559:F562 I559:I562 M559:M562 H572:H575">
    <cfRule type="expression" dxfId="117" priority="28776">
      <formula>#REF!="OK"</formula>
    </cfRule>
  </conditionalFormatting>
  <conditionalFormatting sqref="O563:Z563 B563 F563 I563 M563">
    <cfRule type="expression" dxfId="116" priority="28690">
      <formula>$AI604="OK"</formula>
    </cfRule>
  </conditionalFormatting>
  <conditionalFormatting sqref="P762:Z834">
    <cfRule type="expression" dxfId="115" priority="28975">
      <formula>$AI1274="OK"</formula>
    </cfRule>
  </conditionalFormatting>
  <conditionalFormatting sqref="P835:Z845">
    <cfRule type="expression" dxfId="114" priority="29051">
      <formula>$AI1345="OK"</formula>
    </cfRule>
  </conditionalFormatting>
  <conditionalFormatting sqref="P837:Z845">
    <cfRule type="expression" dxfId="113" priority="29052">
      <formula>$AI1346="OK"</formula>
    </cfRule>
  </conditionalFormatting>
  <conditionalFormatting sqref="P845:Z845 P847:Z913 A873:X873">
    <cfRule type="expression" dxfId="112" priority="29044">
      <formula>$AI1353="OK"</formula>
    </cfRule>
  </conditionalFormatting>
  <conditionalFormatting sqref="P846:Z846">
    <cfRule type="expression" dxfId="111" priority="753">
      <formula>$AI1354="OK"</formula>
    </cfRule>
    <cfRule type="expression" dxfId="110" priority="754">
      <formula>$AI1356="OK"</formula>
    </cfRule>
    <cfRule type="expression" dxfId="109" priority="755">
      <formula>$AI1355="OK"</formula>
    </cfRule>
  </conditionalFormatting>
  <conditionalFormatting sqref="P847:Z913 A873:X873">
    <cfRule type="expression" dxfId="108" priority="29068">
      <formula>$AI1354="OK"</formula>
    </cfRule>
  </conditionalFormatting>
  <conditionalFormatting sqref="P914:Z927">
    <cfRule type="expression" dxfId="107" priority="632">
      <formula>$AI1422="OK"</formula>
    </cfRule>
    <cfRule type="expression" dxfId="106" priority="633">
      <formula>$AI1421="OK"</formula>
    </cfRule>
  </conditionalFormatting>
  <conditionalFormatting sqref="P928:Z1015">
    <cfRule type="expression" dxfId="105" priority="29056">
      <formula>$AI1410="OK"</formula>
    </cfRule>
  </conditionalFormatting>
  <conditionalFormatting sqref="Q2:Q451 A873:X873">
    <cfRule type="cellIs" dxfId="104" priority="28289" operator="greaterThanOrEqual">
      <formula>0</formula>
    </cfRule>
  </conditionalFormatting>
  <conditionalFormatting sqref="Q2:Q451 Q459:Q1246">
    <cfRule type="cellIs" dxfId="103" priority="28288" operator="lessThan">
      <formula>0</formula>
    </cfRule>
  </conditionalFormatting>
  <conditionalFormatting sqref="Q452:Q458">
    <cfRule type="expression" dxfId="102" priority="403">
      <formula>$AI506="OK"</formula>
    </cfRule>
  </conditionalFormatting>
  <conditionalFormatting sqref="O450:O458">
    <cfRule type="cellIs" dxfId="101" priority="2008" operator="lessThan">
      <formula>0</formula>
    </cfRule>
  </conditionalFormatting>
  <conditionalFormatting sqref="S211">
    <cfRule type="expression" dxfId="100" priority="2060">
      <formula>#REF!="OK"</formula>
    </cfRule>
  </conditionalFormatting>
  <conditionalFormatting sqref="S393">
    <cfRule type="expression" dxfId="99" priority="2061">
      <formula>#REF!="OK"</formula>
    </cfRule>
  </conditionalFormatting>
  <conditionalFormatting sqref="S447:Z447 O447:Q447 A447:D447 F447 J447 M447">
    <cfRule type="expression" dxfId="98" priority="28646">
      <formula>#REF!="OK"</formula>
    </cfRule>
  </conditionalFormatting>
  <conditionalFormatting sqref="A873:X873 T2:T1246 Y2:Z1246">
    <cfRule type="cellIs" dxfId="97" priority="28290" operator="lessThan">
      <formula>0</formula>
    </cfRule>
  </conditionalFormatting>
  <conditionalFormatting sqref="T212:Z212 O212:R212 A212:D212 F212 I212:J212 M212">
    <cfRule type="expression" dxfId="96" priority="28500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95" priority="28388">
      <formula>$AI257="OK"</formula>
    </cfRule>
  </conditionalFormatting>
  <conditionalFormatting sqref="T394:Z394 O394:R394 A394:D394 F394 I394:J394 M394 L395">
    <cfRule type="expression" dxfId="94" priority="28551">
      <formula>#REF!="OK"</formula>
    </cfRule>
  </conditionalFormatting>
  <conditionalFormatting sqref="T408:Z438 O408:R438 S408:S437 A408:D438 F408:F438 I408:J438 M408:M438 L439:L445">
    <cfRule type="expression" dxfId="93" priority="28932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92" priority="28841">
      <formula>$AI490="OK"</formula>
    </cfRule>
  </conditionalFormatting>
  <conditionalFormatting sqref="T605:Z605 Q605:R605 H605">
    <cfRule type="expression" dxfId="91" priority="28828">
      <formula>$AI669="OK"</formula>
    </cfRule>
  </conditionalFormatting>
  <conditionalFormatting sqref="V450:Y451 R450:T458 V452:Z458">
    <cfRule type="expression" dxfId="90" priority="28746">
      <formula>$AI487="OK"</formula>
    </cfRule>
  </conditionalFormatting>
  <conditionalFormatting sqref="Z450:Z451 O564:Z622 K623:Z761 K556:K622 B564:B603 I564:I603 M564:M603 H577:H603 A604:D605 H604:J605 L604:N622">
    <cfRule type="expression" dxfId="89" priority="28815">
      <formula>#REF!="OK"</formula>
    </cfRule>
  </conditionalFormatting>
  <conditionalFormatting sqref="Z450:Z451">
    <cfRule type="expression" dxfId="88" priority="1992">
      <formula>$AI494="OK"</formula>
    </cfRule>
  </conditionalFormatting>
  <conditionalFormatting sqref="Z564">
    <cfRule type="expression" dxfId="87" priority="28806">
      <formula>$AI604="OK"</formula>
    </cfRule>
  </conditionalFormatting>
  <conditionalFormatting sqref="Z605">
    <cfRule type="expression" dxfId="86" priority="28831">
      <formula>$AI668="OK"</formula>
    </cfRule>
  </conditionalFormatting>
  <conditionalFormatting sqref="AA818:AA819 AA892:AA1246">
    <cfRule type="cellIs" dxfId="85" priority="883" operator="greaterThanOrEqual">
      <formula>1</formula>
    </cfRule>
    <cfRule type="expression" dxfId="84" priority="884">
      <formula>$AI818="OK"</formula>
    </cfRule>
  </conditionalFormatting>
  <conditionalFormatting sqref="AA822:AA833">
    <cfRule type="cellIs" dxfId="83" priority="859" operator="greaterThanOrEqual">
      <formula>1</formula>
    </cfRule>
    <cfRule type="expression" dxfId="82" priority="860">
      <formula>$AI822="OK"</formula>
    </cfRule>
  </conditionalFormatting>
  <conditionalFormatting sqref="AA837:AA838">
    <cfRule type="cellIs" dxfId="81" priority="855" operator="greaterThanOrEqual">
      <formula>1</formula>
    </cfRule>
    <cfRule type="expression" dxfId="80" priority="856">
      <formula>$AI837="OK"</formula>
    </cfRule>
  </conditionalFormatting>
  <conditionalFormatting sqref="AA840:AA841">
    <cfRule type="cellIs" dxfId="79" priority="851" operator="greaterThanOrEqual">
      <formula>1</formula>
    </cfRule>
    <cfRule type="expression" dxfId="78" priority="852">
      <formula>$AI840="OK"</formula>
    </cfRule>
  </conditionalFormatting>
  <conditionalFormatting sqref="AA858">
    <cfRule type="cellIs" dxfId="77" priority="849" operator="greaterThanOrEqual">
      <formula>1</formula>
    </cfRule>
    <cfRule type="expression" dxfId="76" priority="850">
      <formula>$AI858="OK"</formula>
    </cfRule>
  </conditionalFormatting>
  <conditionalFormatting sqref="AA874:AA884">
    <cfRule type="cellIs" dxfId="75" priority="827" operator="greaterThanOrEqual">
      <formula>1</formula>
    </cfRule>
    <cfRule type="expression" dxfId="74" priority="828">
      <formula>$AI874="OK"</formula>
    </cfRule>
  </conditionalFormatting>
  <conditionalFormatting sqref="AA137:AC141">
    <cfRule type="expression" dxfId="73" priority="790">
      <formula>$AI137="OK"</formula>
    </cfRule>
  </conditionalFormatting>
  <conditionalFormatting sqref="AA142:AC142 AC988:AG988">
    <cfRule type="expression" dxfId="72" priority="792">
      <formula>$AI141="OK"</formula>
    </cfRule>
  </conditionalFormatting>
  <conditionalFormatting sqref="AA143:AC148">
    <cfRule type="expression" dxfId="71" priority="782">
      <formula>$AI143="OK"</formula>
    </cfRule>
  </conditionalFormatting>
  <conditionalFormatting sqref="AA149:AC149">
    <cfRule type="expression" dxfId="70" priority="784">
      <formula>$AI148="OK"</formula>
    </cfRule>
  </conditionalFormatting>
  <conditionalFormatting sqref="AA150:AC150">
    <cfRule type="expression" dxfId="69" priority="781">
      <formula>$AI150="OK"</formula>
    </cfRule>
  </conditionalFormatting>
  <conditionalFormatting sqref="AA608:AC609 AA612:AC616 AA619:AC622 AA775:AC797 AA805:AC816 AA820:AC821 AA835:AC836 AA839:AC839 AA855:AC857 AA859:AC861 AA863:AC868">
    <cfRule type="expression" dxfId="68" priority="778">
      <formula>$AI608="OK"</formula>
    </cfRule>
  </conditionalFormatting>
  <conditionalFormatting sqref="AA608:AC609 AA612:AC616 AA619:AC622 AB892:AJ1245">
    <cfRule type="cellIs" dxfId="1" priority="780" operator="greaterThanOrEqual">
      <formula>1</formula>
    </cfRule>
  </conditionalFormatting>
  <conditionalFormatting sqref="AA121:AD127">
    <cfRule type="expression" dxfId="67" priority="887">
      <formula>$AI121="OK"</formula>
    </cfRule>
  </conditionalFormatting>
  <conditionalFormatting sqref="AA604:AH604">
    <cfRule type="cellIs" dxfId="66" priority="895" operator="greaterThanOrEqual">
      <formula>1</formula>
    </cfRule>
  </conditionalFormatting>
  <conditionalFormatting sqref="AA606:AH607">
    <cfRule type="expression" dxfId="65" priority="600">
      <formula>$AI606="OK"</formula>
    </cfRule>
    <cfRule type="cellIs" dxfId="64" priority="601" operator="greaterThanOrEqual">
      <formula>1</formula>
    </cfRule>
  </conditionalFormatting>
  <conditionalFormatting sqref="AA617:AH618">
    <cfRule type="expression" dxfId="63" priority="596">
      <formula>$AI617="OK"</formula>
    </cfRule>
    <cfRule type="cellIs" dxfId="62" priority="597" operator="greaterThanOrEqual">
      <formula>1</formula>
    </cfRule>
  </conditionalFormatting>
  <conditionalFormatting sqref="AA623:AH761">
    <cfRule type="expression" dxfId="61" priority="893">
      <formula>$AI623="OK"</formula>
    </cfRule>
    <cfRule type="cellIs" dxfId="60" priority="894" operator="greaterThanOrEqual">
      <formula>1</formula>
    </cfRule>
  </conditionalFormatting>
  <conditionalFormatting sqref="AA2:AI28 AA450:AE451 AE452:AG453 AF454:AG458 AA459:AH459 A459:G555 I459:N555 AA460:AI603 J556:J603 L556:L603">
    <cfRule type="expression" dxfId="59" priority="28286">
      <formula>$AI2="OK"</formula>
    </cfRule>
  </conditionalFormatting>
  <conditionalFormatting sqref="AA2:AI28 AA29:AH451 AI29:AI459 AJ153:AW153 AA452:AG453 AA454:AB458 AD454:AG458 AA459:AH459 AA762:AJ775 AA776:AB776 AH776:AJ776 AA777:AJ797 AA798:AH804 AJ798:AJ804 AA805:AB805 AH805:AJ805 AA806:AJ816 AA817:AH817 AJ817 AB818:AJ819 AA820:AJ821 AB822:AJ833 AA834:AJ836 AB837:AJ838 AA839:AJ839 AB840:AJ841 AB858:AJ858 AA859:AJ873 AB874:AJ884 AA885:AJ891">
    <cfRule type="cellIs" dxfId="58" priority="28287" operator="greaterThanOrEqual">
      <formula>1</formula>
    </cfRule>
  </conditionalFormatting>
  <conditionalFormatting sqref="AA460:AI605 AI606:AI761 AI798:AI804 AI817">
    <cfRule type="cellIs" dxfId="57" priority="1986" operator="greaterThanOrEqual">
      <formula>1</formula>
    </cfRule>
  </conditionalFormatting>
  <conditionalFormatting sqref="AA605:AI605">
    <cfRule type="expression" dxfId="56" priority="1987">
      <formula>$AI605="OK"</formula>
    </cfRule>
  </conditionalFormatting>
  <conditionalFormatting sqref="AA842:AJ857">
    <cfRule type="cellIs" dxfId="55" priority="752" operator="greaterThanOrEqual">
      <formula>1</formula>
    </cfRule>
  </conditionalFormatting>
  <conditionalFormatting sqref="AC454:AC458">
    <cfRule type="expression" dxfId="54" priority="1926">
      <formula>$AI454="OK"</formula>
    </cfRule>
    <cfRule type="cellIs" dxfId="53" priority="1927" operator="greaterThanOrEqual">
      <formula>1</formula>
    </cfRule>
  </conditionalFormatting>
  <conditionalFormatting sqref="AC776">
    <cfRule type="cellIs" dxfId="52" priority="56" operator="greaterThanOrEqual">
      <formula>1</formula>
    </cfRule>
  </conditionalFormatting>
  <conditionalFormatting sqref="AC805">
    <cfRule type="cellIs" dxfId="51" priority="53" operator="greaterThanOrEqual">
      <formula>1</formula>
    </cfRule>
  </conditionalFormatting>
  <conditionalFormatting sqref="AC892:AG898">
    <cfRule type="cellIs" dxfId="50" priority="589" operator="greaterThanOrEqual">
      <formula>1</formula>
    </cfRule>
  </conditionalFormatting>
  <conditionalFormatting sqref="AC958:AG968 AC981:AG987 AC1105:AG1105 AC1107:AG1107 AC1112:AG1167 AC1169:AG1238 AC989:AG1098">
    <cfRule type="expression" dxfId="0" priority="493">
      <formula>$AI959="OK"</formula>
    </cfRule>
  </conditionalFormatting>
  <conditionalFormatting sqref="AC987:AG988">
    <cfRule type="expression" dxfId="49" priority="494">
      <formula>$AI987="OK"</formula>
    </cfRule>
  </conditionalFormatting>
  <conditionalFormatting sqref="AC996:AG996">
    <cfRule type="expression" dxfId="48" priority="477">
      <formula>$AI998="OK"</formula>
    </cfRule>
  </conditionalFormatting>
  <conditionalFormatting sqref="AC997:AG997">
    <cfRule type="expression" dxfId="47" priority="475">
      <formula>$AI997="OK"</formula>
    </cfRule>
  </conditionalFormatting>
  <conditionalFormatting sqref="AD776:AG776">
    <cfRule type="cellIs" dxfId="46" priority="57" operator="greaterThanOrEqual">
      <formula>1</formula>
    </cfRule>
    <cfRule type="expression" dxfId="45" priority="58">
      <formula>$AI776="OK"</formula>
    </cfRule>
  </conditionalFormatting>
  <conditionalFormatting sqref="AD805:AG805">
    <cfRule type="cellIs" dxfId="44" priority="54" operator="greaterThanOrEqual">
      <formula>1</formula>
    </cfRule>
    <cfRule type="expression" dxfId="43" priority="55">
      <formula>$AI805="OK"</formula>
    </cfRule>
  </conditionalFormatting>
  <conditionalFormatting sqref="AD1000:AG1000">
    <cfRule type="cellIs" dxfId="42" priority="52" operator="greaterThanOrEqual">
      <formula>1</formula>
    </cfRule>
  </conditionalFormatting>
  <conditionalFormatting sqref="AD1002:AG1006">
    <cfRule type="cellIs" dxfId="41" priority="47" operator="greaterThanOrEqual">
      <formula>1</formula>
    </cfRule>
  </conditionalFormatting>
  <conditionalFormatting sqref="AD1013:AG1015">
    <cfRule type="cellIs" dxfId="40" priority="44" operator="greaterThanOrEqual">
      <formula>1</formula>
    </cfRule>
  </conditionalFormatting>
  <conditionalFormatting sqref="AD608:AH609 AA610:AH611 AD612:AH616 AD619:AH622">
    <cfRule type="cellIs" dxfId="39" priority="1976" operator="greaterThanOrEqual">
      <formula>1</formula>
    </cfRule>
    <cfRule type="expression" dxfId="38" priority="1977">
      <formula>$AI608="OK"</formula>
    </cfRule>
  </conditionalFormatting>
  <conditionalFormatting sqref="AE454:AE458">
    <cfRule type="expression" dxfId="37" priority="1925">
      <formula>$AI454="OK"</formula>
    </cfRule>
  </conditionalFormatting>
  <conditionalFormatting sqref="AF454:AF458">
    <cfRule type="expression" dxfId="36" priority="1924">
      <formula>$AI454="OK"</formula>
    </cfRule>
  </conditionalFormatting>
  <conditionalFormatting sqref="AF450:AH451">
    <cfRule type="expression" dxfId="35" priority="1875">
      <formula>$AI450="OK"</formula>
    </cfRule>
  </conditionalFormatting>
  <conditionalFormatting sqref="AG454:AG458">
    <cfRule type="expression" dxfId="34" priority="1923">
      <formula>$AI454="OK"</formula>
    </cfRule>
  </conditionalFormatting>
  <conditionalFormatting sqref="AH452:AH458">
    <cfRule type="expression" dxfId="33" priority="407">
      <formula>$AI452="OK"</formula>
    </cfRule>
    <cfRule type="cellIs" dxfId="32" priority="408" operator="greaterThanOrEqual">
      <formula>1</formula>
    </cfRule>
  </conditionalFormatting>
  <conditionalFormatting sqref="AI486:AI761 N556:N603 AI798:AI804 AI817">
    <cfRule type="expression" dxfId="31" priority="1993">
      <formula>$AI486="OK"</formula>
    </cfRule>
  </conditionalFormatting>
  <conditionalFormatting sqref="AJ153:AW153">
    <cfRule type="expression" dxfId="30" priority="2064">
      <formula>$AI153="OK"</formula>
    </cfRule>
  </conditionalFormatting>
  <conditionalFormatting sqref="P1016:Z1243">
    <cfRule type="expression" dxfId="29" priority="29108">
      <formula>$AI1496="OK"</formula>
    </cfRule>
  </conditionalFormatting>
  <conditionalFormatting sqref="P928:Z1242">
    <cfRule type="expression" dxfId="28" priority="29122">
      <formula>$AI1409="OK"</formula>
    </cfRule>
  </conditionalFormatting>
  <conditionalFormatting sqref="P1241:Z1242">
    <cfRule type="expression" dxfId="27" priority="29124">
      <formula>$AI1721="OK"</formula>
    </cfRule>
    <cfRule type="expression" dxfId="26" priority="29125">
      <formula>$AI1722="OK"</formula>
    </cfRule>
  </conditionalFormatting>
  <conditionalFormatting sqref="AC1239:AG1242">
    <cfRule type="expression" dxfId="25" priority="29128">
      <formula>$AI1247="OK"</formula>
    </cfRule>
  </conditionalFormatting>
  <conditionalFormatting sqref="P1243:Z1243">
    <cfRule type="expression" dxfId="24" priority="17">
      <formula>$AI1724="OK"</formula>
    </cfRule>
  </conditionalFormatting>
  <conditionalFormatting sqref="P1243:Z1243">
    <cfRule type="expression" dxfId="23" priority="18">
      <formula>$AI1723="OK"</formula>
    </cfRule>
    <cfRule type="expression" dxfId="22" priority="19">
      <formula>$AI1724="OK"</formula>
    </cfRule>
  </conditionalFormatting>
  <conditionalFormatting sqref="AC1243:AG1243">
    <cfRule type="expression" dxfId="21" priority="20">
      <formula>$AI1251="OK"</formula>
    </cfRule>
  </conditionalFormatting>
  <conditionalFormatting sqref="P1244:Z1245">
    <cfRule type="expression" dxfId="20" priority="16">
      <formula>$AI1724="OK"</formula>
    </cfRule>
  </conditionalFormatting>
  <conditionalFormatting sqref="P1244:Z1245">
    <cfRule type="expression" dxfId="19" priority="12">
      <formula>$AI1725="OK"</formula>
    </cfRule>
  </conditionalFormatting>
  <conditionalFormatting sqref="P1244:Z1245">
    <cfRule type="expression" dxfId="18" priority="13">
      <formula>$AI1724="OK"</formula>
    </cfRule>
    <cfRule type="expression" dxfId="17" priority="14">
      <formula>$AI1725="OK"</formula>
    </cfRule>
  </conditionalFormatting>
  <conditionalFormatting sqref="AC1244:AG1245">
    <cfRule type="expression" dxfId="16" priority="15">
      <formula>$AI1252="OK"</formula>
    </cfRule>
  </conditionalFormatting>
  <conditionalFormatting sqref="AB1245:AJ1245">
    <cfRule type="cellIs" dxfId="15" priority="11" operator="greaterThanOrEqual">
      <formula>1</formula>
    </cfRule>
  </conditionalFormatting>
  <conditionalFormatting sqref="P1245:Z1245">
    <cfRule type="expression" dxfId="14" priority="10">
      <formula>$AI1725="OK"</formula>
    </cfRule>
  </conditionalFormatting>
  <conditionalFormatting sqref="P1245:Z1245">
    <cfRule type="expression" dxfId="13" priority="6">
      <formula>$AI1726="OK"</formula>
    </cfRule>
  </conditionalFormatting>
  <conditionalFormatting sqref="P1245:Z1245">
    <cfRule type="expression" dxfId="12" priority="7">
      <formula>$AI1725="OK"</formula>
    </cfRule>
    <cfRule type="expression" dxfId="11" priority="8">
      <formula>$AI1726="OK"</formula>
    </cfRule>
  </conditionalFormatting>
  <conditionalFormatting sqref="AC1245:AG1245">
    <cfRule type="expression" dxfId="10" priority="9">
      <formula>$AI1253="OK"</formula>
    </cfRule>
  </conditionalFormatting>
  <conditionalFormatting sqref="H1246:I1246 K1246:O1246">
    <cfRule type="expression" dxfId="9" priority="3">
      <formula>#REF!="OK"</formula>
    </cfRule>
  </conditionalFormatting>
  <conditionalFormatting sqref="AB1246:AJ1246">
    <cfRule type="cellIs" dxfId="8" priority="2" operator="greaterThanOrEqual">
      <formula>1</formula>
    </cfRule>
  </conditionalFormatting>
  <conditionalFormatting sqref="AC1246:AG1246">
    <cfRule type="expression" dxfId="7" priority="1">
      <formula>$AI1247="OK"</formula>
    </cfRule>
  </conditionalFormatting>
  <conditionalFormatting sqref="P1246:Z1246">
    <cfRule type="expression" dxfId="6" priority="4">
      <formula>$AI1726="OK"</formula>
    </cfRule>
  </conditionalFormatting>
  <conditionalFormatting sqref="P1246:Z1246">
    <cfRule type="expression" dxfId="5" priority="5">
      <formula>$AI1727="OK"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5481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5662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5486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5486</v>
      </c>
      <c r="F20" s="219" t="s">
        <v>4442</v>
      </c>
    </row>
    <row r="21" spans="1:6" ht="45" x14ac:dyDescent="0.25">
      <c r="A21" s="220">
        <v>214</v>
      </c>
      <c r="B21" s="216" t="s">
        <v>5031</v>
      </c>
      <c r="C21" s="220">
        <v>46268</v>
      </c>
      <c r="D21" s="220"/>
      <c r="E21" s="220" t="s">
        <v>5486</v>
      </c>
      <c r="F21" s="220" t="s">
        <v>5032</v>
      </c>
    </row>
    <row r="22" spans="1:6" x14ac:dyDescent="0.25">
      <c r="A22" s="232">
        <v>900</v>
      </c>
      <c r="B22" s="219" t="s">
        <v>5485</v>
      </c>
      <c r="C22" s="215">
        <v>46277</v>
      </c>
      <c r="D22" s="215"/>
      <c r="E22" s="220" t="s">
        <v>5486</v>
      </c>
      <c r="F22" s="219" t="s">
        <v>4442</v>
      </c>
    </row>
    <row r="23" spans="1:6" ht="240" x14ac:dyDescent="0.25">
      <c r="A23" s="223">
        <v>206</v>
      </c>
      <c r="B23" s="191" t="s">
        <v>5275</v>
      </c>
      <c r="C23" s="189"/>
      <c r="D23" s="189"/>
      <c r="E23" s="224" t="s">
        <v>4968</v>
      </c>
      <c r="F23" s="225" t="s">
        <v>5276</v>
      </c>
    </row>
    <row r="24" spans="1:6" x14ac:dyDescent="0.25">
      <c r="A24" s="228">
        <v>216</v>
      </c>
      <c r="B24" s="107" t="s">
        <v>5483</v>
      </c>
      <c r="C24" s="185">
        <v>46288</v>
      </c>
      <c r="D24" s="185"/>
      <c r="E24" s="186" t="s">
        <v>5660</v>
      </c>
      <c r="F24" s="188" t="s">
        <v>5409</v>
      </c>
    </row>
    <row r="25" spans="1:6" x14ac:dyDescent="0.25">
      <c r="A25" s="227">
        <v>217</v>
      </c>
      <c r="B25" s="188" t="s">
        <v>5484</v>
      </c>
      <c r="C25" s="189">
        <v>46295</v>
      </c>
      <c r="D25" s="189"/>
      <c r="E25" s="186" t="s">
        <v>5661</v>
      </c>
      <c r="F25" s="188" t="s">
        <v>5409</v>
      </c>
    </row>
    <row r="26" spans="1:6" x14ac:dyDescent="0.25">
      <c r="A26" s="227">
        <v>215</v>
      </c>
      <c r="B26" s="188" t="s">
        <v>5552</v>
      </c>
      <c r="C26" s="189">
        <v>46295</v>
      </c>
      <c r="D26" s="189"/>
      <c r="E26" s="190" t="s">
        <v>5663</v>
      </c>
      <c r="F26" s="188" t="s">
        <v>5553</v>
      </c>
    </row>
    <row r="27" spans="1:6" x14ac:dyDescent="0.25">
      <c r="A27" s="233">
        <v>218</v>
      </c>
      <c r="B27" s="188" t="s">
        <v>5621</v>
      </c>
      <c r="C27" s="189">
        <v>46290</v>
      </c>
      <c r="D27" s="189"/>
      <c r="E27" s="190" t="s">
        <v>5658</v>
      </c>
      <c r="F27" s="188" t="s">
        <v>4307</v>
      </c>
    </row>
    <row r="28" spans="1:6" x14ac:dyDescent="0.25">
      <c r="A28" s="233">
        <v>213</v>
      </c>
      <c r="B28" s="188" t="s">
        <v>5654</v>
      </c>
      <c r="C28" s="189">
        <v>46278</v>
      </c>
      <c r="D28" s="189"/>
      <c r="E28" s="190" t="s">
        <v>5659</v>
      </c>
      <c r="F28" s="188" t="s">
        <v>5657</v>
      </c>
    </row>
    <row r="29" spans="1:6" x14ac:dyDescent="0.25">
      <c r="A29" s="233">
        <v>219</v>
      </c>
      <c r="B29" s="188" t="s">
        <v>5692</v>
      </c>
      <c r="C29" s="189">
        <v>46348</v>
      </c>
      <c r="D29" s="189"/>
      <c r="E29" s="190" t="s">
        <v>5693</v>
      </c>
      <c r="F29" s="188" t="s">
        <v>4323</v>
      </c>
    </row>
    <row r="30" spans="1:6" x14ac:dyDescent="0.25">
      <c r="A30" s="233">
        <v>220</v>
      </c>
      <c r="B30" s="188" t="s">
        <v>5692</v>
      </c>
      <c r="C30" s="189">
        <v>46348</v>
      </c>
      <c r="D30" s="189"/>
      <c r="E30" s="190" t="s">
        <v>5693</v>
      </c>
      <c r="F30" s="188" t="s">
        <v>4323</v>
      </c>
    </row>
    <row r="31" spans="1:6" x14ac:dyDescent="0.25">
      <c r="A31" s="233">
        <v>221</v>
      </c>
      <c r="B31" s="188" t="s">
        <v>5692</v>
      </c>
      <c r="C31" s="189">
        <v>46348</v>
      </c>
      <c r="D31" s="189"/>
      <c r="E31" s="190" t="s">
        <v>5693</v>
      </c>
      <c r="F31" s="188" t="s">
        <v>4323</v>
      </c>
    </row>
    <row r="32" spans="1:6" x14ac:dyDescent="0.25">
      <c r="A32" s="233">
        <v>222</v>
      </c>
      <c r="B32" s="188" t="s">
        <v>5710</v>
      </c>
      <c r="C32" s="189">
        <v>46348</v>
      </c>
      <c r="D32" s="189"/>
      <c r="E32" s="190" t="s">
        <v>5693</v>
      </c>
      <c r="F32" s="188" t="s">
        <v>4323</v>
      </c>
    </row>
    <row r="33" spans="1:6" x14ac:dyDescent="0.25">
      <c r="A33" s="233">
        <v>223</v>
      </c>
      <c r="B33" s="188" t="s">
        <v>5710</v>
      </c>
      <c r="C33" s="189">
        <v>46348</v>
      </c>
      <c r="D33" s="189"/>
      <c r="E33" s="190" t="s">
        <v>5693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4" t="e" vm="1">
        <v>#VALUE!</v>
      </c>
      <c r="D2" s="285"/>
      <c r="E2" s="288" t="s">
        <v>320</v>
      </c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9"/>
      <c r="U2" s="292" t="s">
        <v>246</v>
      </c>
      <c r="V2" s="28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6"/>
      <c r="D3" s="287"/>
      <c r="E3" s="290"/>
      <c r="F3" s="290"/>
      <c r="G3" s="290"/>
      <c r="H3" s="290"/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1"/>
      <c r="U3" s="293"/>
      <c r="V3" s="28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2" t="s">
        <v>2070</v>
      </c>
      <c r="D6" s="255" t="s">
        <v>2069</v>
      </c>
      <c r="E6" s="258" t="s">
        <v>2071</v>
      </c>
      <c r="F6" s="261">
        <v>46183</v>
      </c>
      <c r="G6" s="273">
        <v>46220</v>
      </c>
      <c r="H6" s="276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4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3"/>
      <c r="D7" s="256"/>
      <c r="E7" s="259"/>
      <c r="F7" s="262"/>
      <c r="G7" s="274"/>
      <c r="H7" s="277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5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3"/>
      <c r="D8" s="256"/>
      <c r="E8" s="259"/>
      <c r="F8" s="262"/>
      <c r="G8" s="274"/>
      <c r="H8" s="277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5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3"/>
      <c r="D9" s="256"/>
      <c r="E9" s="259"/>
      <c r="F9" s="262"/>
      <c r="G9" s="274"/>
      <c r="H9" s="277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5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4"/>
      <c r="D10" s="257"/>
      <c r="E10" s="260"/>
      <c r="F10" s="263"/>
      <c r="G10" s="275"/>
      <c r="H10" s="278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5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2" t="s">
        <v>2987</v>
      </c>
      <c r="D12" s="255" t="s">
        <v>2551</v>
      </c>
      <c r="E12" s="258" t="s">
        <v>2986</v>
      </c>
      <c r="F12" s="261">
        <v>46205</v>
      </c>
      <c r="G12" s="273"/>
      <c r="H12" s="27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4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3"/>
      <c r="D13" s="256"/>
      <c r="E13" s="259"/>
      <c r="F13" s="262"/>
      <c r="G13" s="274"/>
      <c r="H13" s="28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5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3"/>
      <c r="D14" s="256"/>
      <c r="E14" s="259"/>
      <c r="F14" s="262"/>
      <c r="G14" s="274"/>
      <c r="H14" s="28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5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3"/>
      <c r="D15" s="256"/>
      <c r="E15" s="259"/>
      <c r="F15" s="262"/>
      <c r="G15" s="274"/>
      <c r="H15" s="28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5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4"/>
      <c r="D16" s="257"/>
      <c r="E16" s="260"/>
      <c r="F16" s="263"/>
      <c r="G16" s="275"/>
      <c r="H16" s="28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5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2" t="s">
        <v>2983</v>
      </c>
      <c r="D18" s="255" t="s">
        <v>2984</v>
      </c>
      <c r="E18" s="258" t="s">
        <v>2985</v>
      </c>
      <c r="F18" s="261">
        <v>46289</v>
      </c>
      <c r="G18" s="273"/>
      <c r="H18" s="26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33.387099999999997</v>
      </c>
      <c r="U18" s="270">
        <f>T21/T18</f>
        <v>0.7892509382366244</v>
      </c>
      <c r="V18" s="24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3"/>
      <c r="D19" s="256"/>
      <c r="E19" s="259"/>
      <c r="F19" s="262"/>
      <c r="G19" s="274"/>
      <c r="H19" s="268"/>
      <c r="I19" s="129" t="s">
        <v>3028</v>
      </c>
      <c r="J19" s="130">
        <f t="shared" ref="J19" si="17">J18-J20</f>
        <v>7.8932999999999982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33.171299999999995</v>
      </c>
      <c r="U19" s="271"/>
      <c r="V19" s="25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3"/>
      <c r="D20" s="256"/>
      <c r="E20" s="259"/>
      <c r="F20" s="262"/>
      <c r="G20" s="274"/>
      <c r="H20" s="268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71"/>
      <c r="V20" s="25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3"/>
      <c r="D21" s="256"/>
      <c r="E21" s="259"/>
      <c r="F21" s="262"/>
      <c r="G21" s="274"/>
      <c r="H21" s="268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71"/>
      <c r="V21" s="25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4"/>
      <c r="D22" s="257"/>
      <c r="E22" s="260"/>
      <c r="F22" s="263"/>
      <c r="G22" s="275"/>
      <c r="H22" s="269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5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2" t="s">
        <v>3292</v>
      </c>
      <c r="D24" s="255" t="s">
        <v>3291</v>
      </c>
      <c r="E24" s="258" t="s">
        <v>3293</v>
      </c>
      <c r="F24" s="261">
        <v>46336</v>
      </c>
      <c r="G24" s="264"/>
      <c r="H24" s="26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4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3"/>
      <c r="D25" s="256"/>
      <c r="E25" s="259"/>
      <c r="F25" s="262"/>
      <c r="G25" s="265"/>
      <c r="H25" s="26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5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3"/>
      <c r="D26" s="256"/>
      <c r="E26" s="259"/>
      <c r="F26" s="262"/>
      <c r="G26" s="265"/>
      <c r="H26" s="26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5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3"/>
      <c r="D27" s="256"/>
      <c r="E27" s="259"/>
      <c r="F27" s="262"/>
      <c r="G27" s="265"/>
      <c r="H27" s="26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5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4"/>
      <c r="D28" s="257"/>
      <c r="E28" s="260"/>
      <c r="F28" s="263"/>
      <c r="G28" s="266"/>
      <c r="H28" s="26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5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2" t="s">
        <v>2993</v>
      </c>
      <c r="D30" s="255" t="s">
        <v>2989</v>
      </c>
      <c r="E30" s="258" t="s">
        <v>2994</v>
      </c>
      <c r="F30" s="261">
        <v>46219</v>
      </c>
      <c r="G30" s="264"/>
      <c r="H30" s="276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4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3"/>
      <c r="D31" s="256"/>
      <c r="E31" s="259"/>
      <c r="F31" s="262"/>
      <c r="G31" s="265"/>
      <c r="H31" s="277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5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3"/>
      <c r="D32" s="256"/>
      <c r="E32" s="259"/>
      <c r="F32" s="262"/>
      <c r="G32" s="265"/>
      <c r="H32" s="277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5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3"/>
      <c r="D33" s="256"/>
      <c r="E33" s="259"/>
      <c r="F33" s="262"/>
      <c r="G33" s="265"/>
      <c r="H33" s="277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5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4"/>
      <c r="D34" s="257"/>
      <c r="E34" s="260"/>
      <c r="F34" s="263"/>
      <c r="G34" s="266"/>
      <c r="H34" s="278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5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2" t="s">
        <v>2995</v>
      </c>
      <c r="D36" s="255" t="s">
        <v>2990</v>
      </c>
      <c r="E36" s="258" t="s">
        <v>2992</v>
      </c>
      <c r="F36" s="261">
        <v>46198</v>
      </c>
      <c r="G36" s="294"/>
      <c r="H36" s="27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4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3"/>
      <c r="D37" s="256"/>
      <c r="E37" s="259"/>
      <c r="F37" s="262"/>
      <c r="G37" s="295"/>
      <c r="H37" s="28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5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3"/>
      <c r="D38" s="256"/>
      <c r="E38" s="259"/>
      <c r="F38" s="262"/>
      <c r="G38" s="295"/>
      <c r="H38" s="28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5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3"/>
      <c r="D39" s="256"/>
      <c r="E39" s="259"/>
      <c r="F39" s="262"/>
      <c r="G39" s="295"/>
      <c r="H39" s="28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5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4"/>
      <c r="D40" s="257"/>
      <c r="E40" s="260"/>
      <c r="F40" s="263"/>
      <c r="G40" s="296"/>
      <c r="H40" s="28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5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2" t="s">
        <v>3006</v>
      </c>
      <c r="D42" s="255" t="s">
        <v>3004</v>
      </c>
      <c r="E42" s="258" t="s">
        <v>3007</v>
      </c>
      <c r="F42" s="261">
        <v>46188</v>
      </c>
      <c r="G42" s="294">
        <v>46220</v>
      </c>
      <c r="H42" s="276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4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3"/>
      <c r="D43" s="256"/>
      <c r="E43" s="259"/>
      <c r="F43" s="262"/>
      <c r="G43" s="295"/>
      <c r="H43" s="277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5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3"/>
      <c r="D44" s="256"/>
      <c r="E44" s="259"/>
      <c r="F44" s="262"/>
      <c r="G44" s="295"/>
      <c r="H44" s="277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5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3"/>
      <c r="D45" s="256"/>
      <c r="E45" s="259"/>
      <c r="F45" s="262"/>
      <c r="G45" s="295"/>
      <c r="H45" s="277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5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4"/>
      <c r="D46" s="257"/>
      <c r="E46" s="260"/>
      <c r="F46" s="263"/>
      <c r="G46" s="296"/>
      <c r="H46" s="278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5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2" t="s">
        <v>3009</v>
      </c>
      <c r="D48" s="255" t="s">
        <v>3005</v>
      </c>
      <c r="E48" s="258" t="s">
        <v>3008</v>
      </c>
      <c r="F48" s="261">
        <v>46202</v>
      </c>
      <c r="G48" s="294">
        <v>46233</v>
      </c>
      <c r="H48" s="276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4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3"/>
      <c r="D49" s="256"/>
      <c r="E49" s="259"/>
      <c r="F49" s="262"/>
      <c r="G49" s="295"/>
      <c r="H49" s="277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5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3"/>
      <c r="D50" s="256"/>
      <c r="E50" s="259"/>
      <c r="F50" s="262"/>
      <c r="G50" s="295"/>
      <c r="H50" s="277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5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3"/>
      <c r="D51" s="256"/>
      <c r="E51" s="259"/>
      <c r="F51" s="262"/>
      <c r="G51" s="295"/>
      <c r="H51" s="277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5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4"/>
      <c r="D52" s="257"/>
      <c r="E52" s="260"/>
      <c r="F52" s="263"/>
      <c r="G52" s="296"/>
      <c r="H52" s="278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5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2" t="s">
        <v>3009</v>
      </c>
      <c r="D54" s="255" t="s">
        <v>3111</v>
      </c>
      <c r="E54" s="258" t="s">
        <v>3164</v>
      </c>
      <c r="F54" s="261">
        <v>46226</v>
      </c>
      <c r="G54" s="264"/>
      <c r="H54" s="276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4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3"/>
      <c r="D55" s="256"/>
      <c r="E55" s="259"/>
      <c r="F55" s="262"/>
      <c r="G55" s="265"/>
      <c r="H55" s="277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5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3"/>
      <c r="D56" s="256"/>
      <c r="E56" s="259"/>
      <c r="F56" s="262"/>
      <c r="G56" s="265"/>
      <c r="H56" s="277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5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3"/>
      <c r="D57" s="256"/>
      <c r="E57" s="259"/>
      <c r="F57" s="262"/>
      <c r="G57" s="265"/>
      <c r="H57" s="277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5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4"/>
      <c r="D58" s="257"/>
      <c r="E58" s="260"/>
      <c r="F58" s="263"/>
      <c r="G58" s="266"/>
      <c r="H58" s="278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5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2" t="s">
        <v>3165</v>
      </c>
      <c r="D60" s="255" t="s">
        <v>3163</v>
      </c>
      <c r="E60" s="258" t="s">
        <v>3166</v>
      </c>
      <c r="F60" s="261">
        <v>46235</v>
      </c>
      <c r="G60" s="264"/>
      <c r="H60" s="26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4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3"/>
      <c r="D61" s="256"/>
      <c r="E61" s="259"/>
      <c r="F61" s="262"/>
      <c r="G61" s="265"/>
      <c r="H61" s="26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5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3"/>
      <c r="D62" s="256"/>
      <c r="E62" s="259"/>
      <c r="F62" s="262"/>
      <c r="G62" s="265"/>
      <c r="H62" s="26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5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3"/>
      <c r="D63" s="256"/>
      <c r="E63" s="259"/>
      <c r="F63" s="262"/>
      <c r="G63" s="265"/>
      <c r="H63" s="26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5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4"/>
      <c r="D64" s="257"/>
      <c r="E64" s="260"/>
      <c r="F64" s="263"/>
      <c r="G64" s="266"/>
      <c r="H64" s="26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5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2" t="s">
        <v>4307</v>
      </c>
      <c r="D66" s="255" t="s">
        <v>4299</v>
      </c>
      <c r="E66" s="258" t="s">
        <v>4308</v>
      </c>
      <c r="F66" s="261">
        <v>46233</v>
      </c>
      <c r="G66" s="264"/>
      <c r="H66" s="26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4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3"/>
      <c r="D67" s="256"/>
      <c r="E67" s="259"/>
      <c r="F67" s="262"/>
      <c r="G67" s="265"/>
      <c r="H67" s="26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5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3"/>
      <c r="D68" s="256"/>
      <c r="E68" s="259"/>
      <c r="F68" s="262"/>
      <c r="G68" s="265"/>
      <c r="H68" s="26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5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3"/>
      <c r="D69" s="256"/>
      <c r="E69" s="259"/>
      <c r="F69" s="262"/>
      <c r="G69" s="265"/>
      <c r="H69" s="26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5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4"/>
      <c r="D70" s="257"/>
      <c r="E70" s="260"/>
      <c r="F70" s="263"/>
      <c r="G70" s="266"/>
      <c r="H70" s="26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5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2" t="s">
        <v>3165</v>
      </c>
      <c r="D72" s="255" t="s">
        <v>4306</v>
      </c>
      <c r="E72" s="258" t="s">
        <v>4309</v>
      </c>
      <c r="F72" s="261">
        <v>46280</v>
      </c>
      <c r="G72" s="264"/>
      <c r="H72" s="26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4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3"/>
      <c r="D73" s="256"/>
      <c r="E73" s="259"/>
      <c r="F73" s="262"/>
      <c r="G73" s="265"/>
      <c r="H73" s="26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5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3"/>
      <c r="D74" s="256"/>
      <c r="E74" s="259"/>
      <c r="F74" s="262"/>
      <c r="G74" s="265"/>
      <c r="H74" s="26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5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3"/>
      <c r="D75" s="256"/>
      <c r="E75" s="259"/>
      <c r="F75" s="262"/>
      <c r="G75" s="265"/>
      <c r="H75" s="26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1"/>
      <c r="V75" s="25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4"/>
      <c r="D76" s="257"/>
      <c r="E76" s="260"/>
      <c r="F76" s="263"/>
      <c r="G76" s="266"/>
      <c r="H76" s="26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2"/>
      <c r="V76" s="25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7" t="s">
        <v>326</v>
      </c>
      <c r="E79" s="299" t="s">
        <v>891</v>
      </c>
      <c r="F79" s="300"/>
      <c r="G79" s="300"/>
      <c r="H79" s="300"/>
      <c r="I79" s="300"/>
      <c r="J79" s="301"/>
      <c r="K79" s="302" t="s">
        <v>331</v>
      </c>
      <c r="L79" s="303"/>
      <c r="M79" s="303"/>
      <c r="N79" s="304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8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97.505799999999994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8.8692999999999955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35.669999999999995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35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5386</v>
      </c>
      <c r="F5141" s="1" t="s">
        <v>5387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5386</v>
      </c>
      <c r="F5142" s="1" t="s">
        <v>5387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5386</v>
      </c>
      <c r="F5150" s="1" t="s">
        <v>5387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5386</v>
      </c>
      <c r="F5151" s="1" t="s">
        <v>5387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5388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5389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5390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5391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5392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5393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5394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5395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5396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5397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5398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5399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5400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5417</v>
      </c>
      <c r="D5175" s="1"/>
      <c r="E5175" s="1"/>
      <c r="F5175" s="1" t="s">
        <v>5418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5417</v>
      </c>
      <c r="D5176" s="1"/>
      <c r="E5176" s="1"/>
      <c r="F5176" s="1" t="s">
        <v>5419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5417</v>
      </c>
      <c r="D5177" s="1"/>
      <c r="E5177" s="1"/>
      <c r="F5177" s="1" t="s">
        <v>5420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5421</v>
      </c>
      <c r="D5178" s="1"/>
      <c r="E5178" s="1"/>
      <c r="F5178" s="1" t="s">
        <v>5422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5421</v>
      </c>
      <c r="D5179" s="1"/>
      <c r="E5179" s="1"/>
      <c r="F5179" s="1" t="s">
        <v>5423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5421</v>
      </c>
      <c r="D5180" s="1"/>
      <c r="E5180" s="1"/>
      <c r="F5180" s="1" t="s">
        <v>5424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5425</v>
      </c>
      <c r="D5181" s="1"/>
      <c r="E5181" s="1"/>
      <c r="F5181" s="1" t="s">
        <v>5426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5425</v>
      </c>
      <c r="D5182" s="1"/>
      <c r="E5182" s="1"/>
      <c r="F5182" s="1" t="s">
        <v>5427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5425</v>
      </c>
      <c r="D5183" s="1"/>
      <c r="E5183" s="1"/>
      <c r="F5183" s="1" t="s">
        <v>5428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5429</v>
      </c>
      <c r="D5184" s="1"/>
      <c r="E5184" s="1"/>
      <c r="F5184" s="1" t="s">
        <v>5430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5429</v>
      </c>
      <c r="D5185" s="1"/>
      <c r="E5185" s="1"/>
      <c r="F5185" s="1" t="s">
        <v>5431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5432</v>
      </c>
      <c r="D5186" s="1"/>
      <c r="E5186" s="1"/>
      <c r="F5186" s="1" t="s">
        <v>5433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5432</v>
      </c>
      <c r="D5187" s="1"/>
      <c r="E5187" s="1"/>
      <c r="F5187" s="1" t="s">
        <v>5434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5432</v>
      </c>
      <c r="D5188" s="1"/>
      <c r="E5188" s="1"/>
      <c r="F5188" s="1" t="s">
        <v>5435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5432</v>
      </c>
      <c r="D5189" s="1"/>
      <c r="E5189" s="1"/>
      <c r="F5189" s="1" t="s">
        <v>5436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5432</v>
      </c>
      <c r="D5190" s="1"/>
      <c r="E5190" s="1"/>
      <c r="F5190" s="1" t="s">
        <v>5437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5432</v>
      </c>
      <c r="D5191" s="1"/>
      <c r="E5191" s="1"/>
      <c r="F5191" s="1" t="s">
        <v>5438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5432</v>
      </c>
      <c r="D5192" s="1"/>
      <c r="E5192" s="1"/>
      <c r="F5192" s="1" t="s">
        <v>5439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5432</v>
      </c>
      <c r="D5193" s="1"/>
      <c r="E5193" s="1"/>
      <c r="F5193" s="1" t="s">
        <v>5440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5432</v>
      </c>
      <c r="D5194" s="1"/>
      <c r="E5194" s="1"/>
      <c r="F5194" s="1" t="s">
        <v>5441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5432</v>
      </c>
      <c r="D5195" s="1"/>
      <c r="E5195" s="1"/>
      <c r="F5195" s="1" t="s">
        <v>5442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5432</v>
      </c>
      <c r="D5196" s="1"/>
      <c r="E5196" s="1"/>
      <c r="F5196" s="1" t="s">
        <v>5443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5444</v>
      </c>
      <c r="D5197" s="1"/>
      <c r="E5197" s="1"/>
      <c r="F5197" s="1" t="s">
        <v>5445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5444</v>
      </c>
      <c r="D5198" s="1"/>
      <c r="E5198" s="1"/>
      <c r="F5198" s="1" t="s">
        <v>5446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5444</v>
      </c>
      <c r="D5199" s="1"/>
      <c r="E5199" s="1"/>
      <c r="F5199" s="1" t="s">
        <v>5447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5448</v>
      </c>
      <c r="D5200" s="1"/>
      <c r="E5200" s="1"/>
      <c r="F5200" s="1" t="s">
        <v>5449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5448</v>
      </c>
      <c r="D5201" s="1"/>
      <c r="E5201" s="1"/>
      <c r="F5201" s="1" t="s">
        <v>5450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5448</v>
      </c>
      <c r="D5202" s="1"/>
      <c r="E5202" s="1"/>
      <c r="F5202" s="1" t="s">
        <v>5451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5452</v>
      </c>
      <c r="E5203" s="1" t="s">
        <v>2</v>
      </c>
      <c r="F5203" s="1" t="s">
        <v>5453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5452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5452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5452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5452</v>
      </c>
      <c r="E5207" s="1" t="s">
        <v>100</v>
      </c>
      <c r="F5207" s="1" t="s">
        <v>5454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5452</v>
      </c>
      <c r="E5208" s="1" t="s">
        <v>173</v>
      </c>
      <c r="F5208" s="1" t="s">
        <v>5455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5452</v>
      </c>
      <c r="E5209" s="1" t="s">
        <v>461</v>
      </c>
      <c r="F5209" s="1" t="s">
        <v>5456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5452</v>
      </c>
      <c r="E5210" s="1" t="s">
        <v>464</v>
      </c>
      <c r="F5210" s="1" t="s">
        <v>5457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5452</v>
      </c>
      <c r="E5211" s="1" t="s">
        <v>1103</v>
      </c>
      <c r="F5211" s="1" t="s">
        <v>5458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5452</v>
      </c>
      <c r="E5212" s="1" t="s">
        <v>2</v>
      </c>
      <c r="F5212" s="1" t="s">
        <v>5453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5452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5452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5452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5452</v>
      </c>
      <c r="E5216" s="1" t="s">
        <v>100</v>
      </c>
      <c r="F5216" s="1" t="s">
        <v>5454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5452</v>
      </c>
      <c r="E5217" s="1" t="s">
        <v>173</v>
      </c>
      <c r="F5217" s="1" t="s">
        <v>5455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5452</v>
      </c>
      <c r="E5218" s="1" t="s">
        <v>461</v>
      </c>
      <c r="F5218" s="1" t="s">
        <v>5456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5452</v>
      </c>
      <c r="E5219" s="1" t="s">
        <v>464</v>
      </c>
      <c r="F5219" s="1" t="s">
        <v>5457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5452</v>
      </c>
      <c r="E5220" s="1" t="s">
        <v>1103</v>
      </c>
      <c r="F5220" s="1" t="s">
        <v>5458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5459</v>
      </c>
      <c r="E5223" s="1"/>
      <c r="F5223" s="1" t="s">
        <v>5460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5461</v>
      </c>
      <c r="E5224" s="1"/>
      <c r="F5224" s="1" t="s">
        <v>5462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5459</v>
      </c>
      <c r="E5225" s="1"/>
      <c r="F5225" s="1" t="s">
        <v>5463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5459</v>
      </c>
      <c r="E5226" s="1"/>
      <c r="F5226" s="1" t="s">
        <v>5464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5465</v>
      </c>
      <c r="D5227" s="1"/>
      <c r="E5227" s="1"/>
      <c r="F5227" s="1" t="s">
        <v>5466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5467</v>
      </c>
      <c r="D5228" s="1"/>
      <c r="E5228" s="1"/>
      <c r="F5228" s="1" t="s">
        <v>5468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5469</v>
      </c>
      <c r="D5229" s="1"/>
      <c r="E5229" s="1" t="s">
        <v>2</v>
      </c>
      <c r="F5229" s="1" t="s">
        <v>5470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5469</v>
      </c>
      <c r="D5230" s="1"/>
      <c r="E5230" s="1" t="s">
        <v>2</v>
      </c>
      <c r="F5230" s="1" t="s">
        <v>5470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5471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5471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5472</v>
      </c>
      <c r="D5237" s="1"/>
      <c r="E5237" s="1" t="s">
        <v>2193</v>
      </c>
      <c r="F5237" s="1" t="s">
        <v>5473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5472</v>
      </c>
      <c r="D5238" s="1"/>
      <c r="E5238" s="1" t="s">
        <v>2193</v>
      </c>
      <c r="F5238" s="1" t="s">
        <v>5473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5474</v>
      </c>
      <c r="D5239" s="1"/>
      <c r="E5239" s="1" t="s">
        <v>5475</v>
      </c>
      <c r="F5239" s="1" t="s">
        <v>5473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5474</v>
      </c>
      <c r="D5240" s="1"/>
      <c r="E5240" s="1" t="s">
        <v>5475</v>
      </c>
      <c r="F5240" s="1" t="s">
        <v>5473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5476</v>
      </c>
      <c r="D5241" s="1"/>
      <c r="E5241" s="1" t="s">
        <v>5475</v>
      </c>
      <c r="F5241" s="1" t="s">
        <v>5473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5476</v>
      </c>
      <c r="D5242" s="1"/>
      <c r="E5242" s="1" t="s">
        <v>5475</v>
      </c>
      <c r="F5242" s="1" t="s">
        <v>5473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5477</v>
      </c>
      <c r="D5243" s="1"/>
      <c r="E5243" s="1" t="s">
        <v>5478</v>
      </c>
      <c r="F5243" s="1" t="s">
        <v>5479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5477</v>
      </c>
      <c r="D5244" s="1"/>
      <c r="E5244" s="1" t="s">
        <v>5478</v>
      </c>
      <c r="F5244" s="1" t="s">
        <v>5479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5480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5626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5626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5626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5626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5626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5626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5626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5627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5628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5664</v>
      </c>
      <c r="E5282" s="1"/>
      <c r="F5282" s="1" t="s">
        <v>4300</v>
      </c>
      <c r="G5282" s="1">
        <v>6</v>
      </c>
      <c r="H5282" s="1" t="s">
        <v>19</v>
      </c>
      <c r="I5282" s="1" t="s">
        <v>5665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5666</v>
      </c>
      <c r="E5283" s="1"/>
      <c r="F5283" s="1" t="s">
        <v>4297</v>
      </c>
      <c r="G5283" s="1">
        <v>6</v>
      </c>
      <c r="H5283" s="1" t="s">
        <v>19</v>
      </c>
      <c r="I5283" s="1" t="s">
        <v>5665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5750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5751</v>
      </c>
      <c r="D5302" s="1"/>
      <c r="E5302" s="1"/>
      <c r="F5302" s="1" t="s">
        <v>5752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5751</v>
      </c>
      <c r="D5303" s="1"/>
      <c r="E5303" s="1"/>
      <c r="F5303" s="1" t="s">
        <v>5753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5754</v>
      </c>
      <c r="D5304" s="1"/>
      <c r="E5304" s="1"/>
      <c r="F5304" s="1" t="s">
        <v>5755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5754</v>
      </c>
      <c r="D5305" s="1"/>
      <c r="E5305" s="1"/>
      <c r="F5305" s="1" t="s">
        <v>5756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5757</v>
      </c>
      <c r="D5306" s="1"/>
      <c r="E5306" s="1"/>
      <c r="F5306" s="1" t="s">
        <v>5758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5757</v>
      </c>
      <c r="D5307" s="1"/>
      <c r="E5307" s="1"/>
      <c r="F5307" s="1" t="s">
        <v>5759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5760</v>
      </c>
      <c r="D5308" s="1"/>
      <c r="E5308" s="1"/>
      <c r="F5308" s="1" t="s">
        <v>5761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5760</v>
      </c>
      <c r="D5309" s="1"/>
      <c r="E5309" s="1"/>
      <c r="F5309" s="1" t="s">
        <v>5762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5763</v>
      </c>
      <c r="D5310" s="1"/>
      <c r="E5310" s="1" t="s">
        <v>5764</v>
      </c>
      <c r="F5310" s="1" t="s">
        <v>5765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5766</v>
      </c>
      <c r="D5311" s="1"/>
      <c r="E5311" s="1" t="s">
        <v>5767</v>
      </c>
      <c r="F5311" s="1" t="s">
        <v>5768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5769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5770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5771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5772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5773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5774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5775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5776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5777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5778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5779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5780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5781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5782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5783</v>
      </c>
      <c r="D5326" s="1"/>
      <c r="E5326" s="1"/>
      <c r="F5326" s="1" t="s">
        <v>5784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5783</v>
      </c>
      <c r="D5327" s="1"/>
      <c r="E5327" s="1"/>
      <c r="F5327" s="1" t="s">
        <v>5785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5783</v>
      </c>
      <c r="D5328" s="1"/>
      <c r="E5328" s="1"/>
      <c r="F5328" s="1" t="s">
        <v>5786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5783</v>
      </c>
      <c r="D5329" s="1"/>
      <c r="E5329" s="1"/>
      <c r="F5329" s="1" t="s">
        <v>5787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5783</v>
      </c>
      <c r="D5330" s="1"/>
      <c r="E5330" s="1"/>
      <c r="F5330" s="1" t="s">
        <v>5788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5783</v>
      </c>
      <c r="D5331" s="1"/>
      <c r="E5331" s="1"/>
      <c r="F5331" s="1" t="s">
        <v>5789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5790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5791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5792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5793</v>
      </c>
      <c r="D5335" s="1"/>
      <c r="E5335" s="1"/>
      <c r="F5335" s="1" t="s">
        <v>5794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5793</v>
      </c>
      <c r="D5336" s="1"/>
      <c r="E5336" s="1"/>
      <c r="F5336" s="1" t="s">
        <v>5795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5793</v>
      </c>
      <c r="D5337" s="1"/>
      <c r="E5337" s="1"/>
      <c r="F5337" s="1" t="s">
        <v>5796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5797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5798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5799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5800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5801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5802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5803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5804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5805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5806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5807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5808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5809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5810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5811</v>
      </c>
      <c r="D5352" s="1"/>
      <c r="E5352" s="1"/>
      <c r="F5352" s="1" t="s">
        <v>5812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5811</v>
      </c>
      <c r="D5353" s="1"/>
      <c r="E5353" s="1"/>
      <c r="F5353" s="1" t="s">
        <v>5813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5814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5815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5816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5817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5818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5819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5820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5821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5822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5823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5824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5825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5826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5827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5828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5829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5830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5831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5832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5833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5834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5835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5836</v>
      </c>
      <c r="D5376" s="1"/>
      <c r="E5376" s="1"/>
      <c r="F5376" s="1" t="s">
        <v>5837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5838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5839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5840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5841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5842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5843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5844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5845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5846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5847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5848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5849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5850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5851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5852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5853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5854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5855</v>
      </c>
      <c r="D5394" s="1"/>
      <c r="E5394" s="1"/>
      <c r="F5394" s="1" t="s">
        <v>5856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5857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5858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5859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5860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5861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5862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5863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5864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5865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5866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5867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5868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5869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5870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5871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5858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5872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5873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5874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5875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5876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5877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5878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5879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5880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5881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5882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5883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5884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5885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5886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5887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5888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5889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5890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5891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5892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5893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5894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5895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5896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5897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5898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5793</v>
      </c>
      <c r="D5438" s="1"/>
      <c r="E5438" s="1"/>
      <c r="F5438" s="1" t="s">
        <v>5899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5793</v>
      </c>
      <c r="D5439" s="1"/>
      <c r="E5439" s="1"/>
      <c r="F5439" s="1" t="s">
        <v>5900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5793</v>
      </c>
      <c r="D5440" s="1"/>
      <c r="E5440" s="1"/>
      <c r="F5440" s="1" t="s">
        <v>5901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5793</v>
      </c>
      <c r="D5441" s="1"/>
      <c r="E5441" s="1"/>
      <c r="F5441" s="1" t="s">
        <v>5902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5793</v>
      </c>
      <c r="D5442" s="1"/>
      <c r="E5442" s="1"/>
      <c r="F5442" s="1" t="s">
        <v>5903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5904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5905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5793</v>
      </c>
      <c r="D5445" s="1"/>
      <c r="E5445" s="1"/>
      <c r="F5445" s="1" t="s">
        <v>5906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5907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5908</v>
      </c>
      <c r="D5447" s="1"/>
      <c r="E5447" s="1"/>
      <c r="F5447" s="1" t="s">
        <v>5909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5908</v>
      </c>
      <c r="D5448" s="1"/>
      <c r="E5448" s="1"/>
      <c r="F5448" s="1" t="s">
        <v>5910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5911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5912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5913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5914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5915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5916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5917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5918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5919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5920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5921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5922</v>
      </c>
      <c r="D5460" s="1"/>
      <c r="E5460" s="1"/>
      <c r="F5460" s="1" t="s">
        <v>5923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5922</v>
      </c>
      <c r="D5461" s="1"/>
      <c r="E5461" s="1"/>
      <c r="F5461" s="1" t="s">
        <v>5924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5922</v>
      </c>
      <c r="D5462" s="1"/>
      <c r="E5462" s="1"/>
      <c r="F5462" s="1" t="s">
        <v>5925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5922</v>
      </c>
      <c r="D5463" s="1"/>
      <c r="E5463" s="1"/>
      <c r="F5463" s="1" t="s">
        <v>5926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5922</v>
      </c>
      <c r="D5464" s="1"/>
      <c r="E5464" s="1"/>
      <c r="F5464" s="1" t="s">
        <v>5927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5922</v>
      </c>
      <c r="D5465" s="1"/>
      <c r="E5465" s="1"/>
      <c r="F5465" s="1" t="s">
        <v>5928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5929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5051</v>
      </c>
      <c r="D5467" s="1" t="s">
        <v>5052</v>
      </c>
      <c r="E5467" s="1" t="s">
        <v>2</v>
      </c>
      <c r="F5467" s="1" t="s">
        <v>5053</v>
      </c>
      <c r="G5467" s="1">
        <v>1</v>
      </c>
      <c r="H5467" s="1" t="s">
        <v>5930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5051</v>
      </c>
      <c r="D5468" s="1" t="s">
        <v>5052</v>
      </c>
      <c r="E5468" s="1" t="s">
        <v>43</v>
      </c>
      <c r="F5468" s="1" t="s">
        <v>5054</v>
      </c>
      <c r="G5468" s="1">
        <v>1</v>
      </c>
      <c r="H5468" s="1" t="s">
        <v>5930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5048</v>
      </c>
      <c r="D5469" s="1" t="s">
        <v>5049</v>
      </c>
      <c r="E5469" s="1" t="s">
        <v>2</v>
      </c>
      <c r="F5469" s="1" t="s">
        <v>5050</v>
      </c>
      <c r="G5469" s="1">
        <v>1</v>
      </c>
      <c r="H5469" s="1" t="s">
        <v>5930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5045</v>
      </c>
      <c r="D5470" s="1" t="s">
        <v>5046</v>
      </c>
      <c r="E5470" s="1" t="s">
        <v>2</v>
      </c>
      <c r="F5470" s="1" t="s">
        <v>5047</v>
      </c>
      <c r="G5470" s="1">
        <v>1</v>
      </c>
      <c r="H5470" s="1" t="s">
        <v>5930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5041</v>
      </c>
      <c r="D5471" s="1" t="s">
        <v>5042</v>
      </c>
      <c r="E5471" s="1" t="s">
        <v>2</v>
      </c>
      <c r="F5471" s="1" t="s">
        <v>5043</v>
      </c>
      <c r="G5471" s="1">
        <v>1</v>
      </c>
      <c r="H5471" s="1" t="s">
        <v>5930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5041</v>
      </c>
      <c r="D5472" s="1" t="s">
        <v>5042</v>
      </c>
      <c r="E5472" s="1" t="s">
        <v>43</v>
      </c>
      <c r="F5472" s="1" t="s">
        <v>5044</v>
      </c>
      <c r="G5472" s="1">
        <v>1</v>
      </c>
      <c r="H5472" s="1" t="s">
        <v>5930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5415</v>
      </c>
      <c r="D5473" s="1" t="s">
        <v>5229</v>
      </c>
      <c r="E5473" s="1" t="s">
        <v>2</v>
      </c>
      <c r="F5473" s="1" t="s">
        <v>5230</v>
      </c>
      <c r="G5473" s="1">
        <v>1</v>
      </c>
      <c r="H5473" s="1" t="s">
        <v>5930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5281</v>
      </c>
      <c r="D5474" s="1" t="s">
        <v>5238</v>
      </c>
      <c r="E5474" s="1" t="s">
        <v>2</v>
      </c>
      <c r="F5474" s="1" t="s">
        <v>5239</v>
      </c>
      <c r="G5474" s="1">
        <v>1</v>
      </c>
      <c r="H5474" s="1" t="s">
        <v>5930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5281</v>
      </c>
      <c r="D5475" s="1" t="s">
        <v>5238</v>
      </c>
      <c r="E5475" s="1" t="s">
        <v>43</v>
      </c>
      <c r="F5475" s="1" t="s">
        <v>5240</v>
      </c>
      <c r="G5475" s="1">
        <v>1</v>
      </c>
      <c r="H5475" s="1" t="s">
        <v>5930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5281</v>
      </c>
      <c r="D5476" s="1" t="s">
        <v>5238</v>
      </c>
      <c r="E5476" s="1" t="s">
        <v>746</v>
      </c>
      <c r="F5476" s="1" t="s">
        <v>5416</v>
      </c>
      <c r="G5476" s="1">
        <v>1</v>
      </c>
      <c r="H5476" s="1" t="s">
        <v>5930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5220</v>
      </c>
      <c r="D5477" s="1" t="s">
        <v>5221</v>
      </c>
      <c r="E5477" s="1" t="s">
        <v>2</v>
      </c>
      <c r="F5477" s="1" t="s">
        <v>5222</v>
      </c>
      <c r="G5477" s="1">
        <v>1</v>
      </c>
      <c r="H5477" s="1" t="s">
        <v>5930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5220</v>
      </c>
      <c r="D5478" s="1" t="s">
        <v>5221</v>
      </c>
      <c r="E5478" s="1" t="s">
        <v>746</v>
      </c>
      <c r="F5478" s="1" t="s">
        <v>5224</v>
      </c>
      <c r="G5478" s="1">
        <v>8</v>
      </c>
      <c r="H5478" s="1" t="s">
        <v>5930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5220</v>
      </c>
      <c r="D5479" s="1" t="s">
        <v>5221</v>
      </c>
      <c r="E5479" s="1" t="s">
        <v>1101</v>
      </c>
      <c r="F5479" s="1" t="s">
        <v>5225</v>
      </c>
      <c r="G5479" s="1">
        <v>2</v>
      </c>
      <c r="H5479" s="1" t="s">
        <v>5930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5220</v>
      </c>
      <c r="D5480" s="1" t="s">
        <v>5221</v>
      </c>
      <c r="E5480" s="1" t="s">
        <v>100</v>
      </c>
      <c r="F5480" s="1" t="s">
        <v>5226</v>
      </c>
      <c r="G5480" s="1">
        <v>4</v>
      </c>
      <c r="H5480" s="1" t="s">
        <v>5930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5220</v>
      </c>
      <c r="D5481" s="1" t="s">
        <v>5221</v>
      </c>
      <c r="E5481" s="1" t="s">
        <v>173</v>
      </c>
      <c r="F5481" s="1" t="s">
        <v>5227</v>
      </c>
      <c r="G5481" s="1">
        <v>2</v>
      </c>
      <c r="H5481" s="1" t="s">
        <v>5930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5023</v>
      </c>
      <c r="D5482" s="1"/>
      <c r="E5482" s="1"/>
      <c r="F5482" s="1" t="s">
        <v>5024</v>
      </c>
      <c r="G5482" s="1">
        <v>6</v>
      </c>
      <c r="H5482" s="1" t="s">
        <v>19</v>
      </c>
      <c r="I5482" s="1" t="s">
        <v>5940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5026</v>
      </c>
    </row>
    <row r="5483" spans="1:14" ht="20.25" x14ac:dyDescent="0.25">
      <c r="A5483" s="1">
        <v>2</v>
      </c>
      <c r="B5483" s="159">
        <v>4523</v>
      </c>
      <c r="C5483" s="1" t="s">
        <v>5027</v>
      </c>
      <c r="D5483" s="1"/>
      <c r="E5483" s="1"/>
      <c r="F5483" s="1" t="s">
        <v>5028</v>
      </c>
      <c r="G5483" s="1">
        <v>10</v>
      </c>
      <c r="H5483" s="1" t="s">
        <v>19</v>
      </c>
      <c r="I5483" s="1" t="s">
        <v>5940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5026</v>
      </c>
    </row>
    <row r="5484" spans="1:14" ht="20.25" x14ac:dyDescent="0.25">
      <c r="A5484" s="1">
        <v>3</v>
      </c>
      <c r="B5484" s="159">
        <v>4524</v>
      </c>
      <c r="C5484" s="1" t="s">
        <v>5029</v>
      </c>
      <c r="D5484" s="1"/>
      <c r="E5484" s="1"/>
      <c r="F5484" s="1" t="s">
        <v>5030</v>
      </c>
      <c r="G5484" s="1">
        <v>5</v>
      </c>
      <c r="H5484" s="1" t="s">
        <v>19</v>
      </c>
      <c r="I5484" s="1" t="s">
        <v>5940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5026</v>
      </c>
    </row>
    <row r="5485" spans="1:14" ht="20.25" x14ac:dyDescent="0.25">
      <c r="A5485" s="1">
        <v>1</v>
      </c>
      <c r="B5485" s="159">
        <v>4555</v>
      </c>
      <c r="C5485" s="1" t="s">
        <v>5106</v>
      </c>
      <c r="D5485" s="1" t="s">
        <v>5107</v>
      </c>
      <c r="E5485" s="1" t="s">
        <v>2</v>
      </c>
      <c r="F5485" s="1" t="s">
        <v>5108</v>
      </c>
      <c r="G5485" s="1">
        <v>1</v>
      </c>
      <c r="H5485" s="1" t="s">
        <v>5930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5106</v>
      </c>
      <c r="D5486" s="1" t="s">
        <v>5107</v>
      </c>
      <c r="E5486" s="1" t="s">
        <v>43</v>
      </c>
      <c r="F5486" s="1" t="s">
        <v>5109</v>
      </c>
      <c r="G5486" s="1">
        <v>2</v>
      </c>
      <c r="H5486" s="1" t="s">
        <v>5930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5106</v>
      </c>
      <c r="D5487" s="1" t="s">
        <v>5107</v>
      </c>
      <c r="E5487" s="1" t="s">
        <v>1101</v>
      </c>
      <c r="F5487" s="1" t="s">
        <v>5111</v>
      </c>
      <c r="G5487" s="1">
        <v>6</v>
      </c>
      <c r="H5487" s="1" t="s">
        <v>5930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5106</v>
      </c>
      <c r="D5488" s="1" t="s">
        <v>5107</v>
      </c>
      <c r="E5488" s="1" t="s">
        <v>461</v>
      </c>
      <c r="F5488" s="1" t="s">
        <v>5114</v>
      </c>
      <c r="G5488" s="1">
        <v>1</v>
      </c>
      <c r="H5488" s="1" t="s">
        <v>5930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5106</v>
      </c>
      <c r="D5489" s="1" t="s">
        <v>5107</v>
      </c>
      <c r="E5489" s="1" t="s">
        <v>464</v>
      </c>
      <c r="F5489" s="1" t="s">
        <v>5115</v>
      </c>
      <c r="G5489" s="1">
        <v>2</v>
      </c>
      <c r="H5489" s="1" t="s">
        <v>5930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5116</v>
      </c>
      <c r="D5490" s="1" t="s">
        <v>5117</v>
      </c>
      <c r="E5490" s="1" t="s">
        <v>2</v>
      </c>
      <c r="F5490" s="1" t="s">
        <v>5118</v>
      </c>
      <c r="G5490" s="1">
        <v>1</v>
      </c>
      <c r="H5490" s="1" t="s">
        <v>5930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5116</v>
      </c>
      <c r="D5491" s="1" t="s">
        <v>5117</v>
      </c>
      <c r="E5491" s="1" t="s">
        <v>43</v>
      </c>
      <c r="F5491" s="1" t="s">
        <v>5119</v>
      </c>
      <c r="G5491" s="1">
        <v>1</v>
      </c>
      <c r="H5491" s="1" t="s">
        <v>5930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5120</v>
      </c>
      <c r="D5492" s="1" t="s">
        <v>5121</v>
      </c>
      <c r="E5492" s="1" t="s">
        <v>2</v>
      </c>
      <c r="F5492" s="1" t="s">
        <v>5122</v>
      </c>
      <c r="G5492" s="1">
        <v>3</v>
      </c>
      <c r="H5492" s="1" t="s">
        <v>5930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5120</v>
      </c>
      <c r="D5493" s="1" t="s">
        <v>5121</v>
      </c>
      <c r="E5493" s="1" t="s">
        <v>43</v>
      </c>
      <c r="F5493" s="1" t="s">
        <v>5123</v>
      </c>
      <c r="G5493" s="1">
        <v>2</v>
      </c>
      <c r="H5493" s="1" t="s">
        <v>5930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5124</v>
      </c>
      <c r="D5494" s="1" t="s">
        <v>5125</v>
      </c>
      <c r="E5494" s="1" t="s">
        <v>2</v>
      </c>
      <c r="F5494" s="1" t="s">
        <v>5126</v>
      </c>
      <c r="G5494" s="1">
        <v>1</v>
      </c>
      <c r="H5494" s="1" t="s">
        <v>5930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5124</v>
      </c>
      <c r="D5495" s="1" t="s">
        <v>5125</v>
      </c>
      <c r="E5495" s="1" t="s">
        <v>43</v>
      </c>
      <c r="F5495" s="1" t="s">
        <v>5127</v>
      </c>
      <c r="G5495" s="1">
        <v>1</v>
      </c>
      <c r="H5495" s="1" t="s">
        <v>5930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5128</v>
      </c>
      <c r="D5496" s="1" t="s">
        <v>5129</v>
      </c>
      <c r="E5496" s="1" t="s">
        <v>2</v>
      </c>
      <c r="F5496" s="1" t="s">
        <v>5130</v>
      </c>
      <c r="G5496" s="1">
        <v>4</v>
      </c>
      <c r="H5496" s="1" t="s">
        <v>5930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5128</v>
      </c>
      <c r="D5497" s="1" t="s">
        <v>5129</v>
      </c>
      <c r="E5497" s="1" t="s">
        <v>43</v>
      </c>
      <c r="F5497" s="1" t="s">
        <v>5131</v>
      </c>
      <c r="G5497" s="1">
        <v>4</v>
      </c>
      <c r="H5497" s="1" t="s">
        <v>5930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5128</v>
      </c>
      <c r="D5498" s="1" t="s">
        <v>5129</v>
      </c>
      <c r="E5498" s="1" t="s">
        <v>746</v>
      </c>
      <c r="F5498" s="1" t="s">
        <v>5132</v>
      </c>
      <c r="G5498" s="1">
        <v>4</v>
      </c>
      <c r="H5498" s="1" t="s">
        <v>5930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5128</v>
      </c>
      <c r="D5499" s="1" t="s">
        <v>5129</v>
      </c>
      <c r="E5499" s="1" t="s">
        <v>1101</v>
      </c>
      <c r="F5499" s="1" t="s">
        <v>5133</v>
      </c>
      <c r="G5499" s="1">
        <v>4</v>
      </c>
      <c r="H5499" s="1" t="s">
        <v>5930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5128</v>
      </c>
      <c r="D5500" s="1" t="s">
        <v>5129</v>
      </c>
      <c r="E5500" s="1" t="s">
        <v>100</v>
      </c>
      <c r="F5500" s="1" t="s">
        <v>5134</v>
      </c>
      <c r="G5500" s="1">
        <v>2</v>
      </c>
      <c r="H5500" s="1" t="s">
        <v>5930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5128</v>
      </c>
      <c r="D5501" s="1" t="s">
        <v>5129</v>
      </c>
      <c r="E5501" s="1" t="s">
        <v>173</v>
      </c>
      <c r="F5501" s="1" t="s">
        <v>5135</v>
      </c>
      <c r="G5501" s="1">
        <v>2</v>
      </c>
      <c r="H5501" s="1" t="s">
        <v>5930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5128</v>
      </c>
      <c r="D5502" s="1" t="s">
        <v>5129</v>
      </c>
      <c r="E5502" s="1" t="s">
        <v>461</v>
      </c>
      <c r="F5502" s="1" t="s">
        <v>5137</v>
      </c>
      <c r="G5502" s="1">
        <v>2</v>
      </c>
      <c r="H5502" s="1" t="s">
        <v>5930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5128</v>
      </c>
      <c r="D5503" s="1" t="s">
        <v>5129</v>
      </c>
      <c r="E5503" s="1" t="s">
        <v>464</v>
      </c>
      <c r="F5503" s="1" t="s">
        <v>5136</v>
      </c>
      <c r="G5503" s="1">
        <v>2</v>
      </c>
      <c r="H5503" s="1" t="s">
        <v>5930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5138</v>
      </c>
      <c r="D5504" s="1" t="s">
        <v>5139</v>
      </c>
      <c r="E5504" s="1" t="s">
        <v>2</v>
      </c>
      <c r="F5504" s="1" t="s">
        <v>5140</v>
      </c>
      <c r="G5504" s="1">
        <v>1</v>
      </c>
      <c r="H5504" s="1" t="s">
        <v>5930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5138</v>
      </c>
      <c r="D5505" s="1" t="s">
        <v>5139</v>
      </c>
      <c r="E5505" s="1" t="s">
        <v>43</v>
      </c>
      <c r="F5505" s="1" t="s">
        <v>5141</v>
      </c>
      <c r="G5505" s="1">
        <v>1</v>
      </c>
      <c r="H5505" s="1" t="s">
        <v>5930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5138</v>
      </c>
      <c r="D5506" s="1" t="s">
        <v>5139</v>
      </c>
      <c r="E5506" s="1" t="s">
        <v>746</v>
      </c>
      <c r="F5506" s="1" t="s">
        <v>5142</v>
      </c>
      <c r="G5506" s="1">
        <v>1</v>
      </c>
      <c r="H5506" s="1" t="s">
        <v>5930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5138</v>
      </c>
      <c r="D5507" s="1" t="s">
        <v>5139</v>
      </c>
      <c r="E5507" s="1" t="s">
        <v>1101</v>
      </c>
      <c r="F5507" s="1" t="s">
        <v>5143</v>
      </c>
      <c r="G5507" s="1">
        <v>2</v>
      </c>
      <c r="H5507" s="1" t="s">
        <v>5930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5138</v>
      </c>
      <c r="D5508" s="1" t="s">
        <v>5139</v>
      </c>
      <c r="E5508" s="1" t="s">
        <v>100</v>
      </c>
      <c r="F5508" s="1" t="s">
        <v>5144</v>
      </c>
      <c r="G5508" s="1">
        <v>1</v>
      </c>
      <c r="H5508" s="1" t="s">
        <v>5930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5138</v>
      </c>
      <c r="D5509" s="1" t="s">
        <v>5139</v>
      </c>
      <c r="E5509" s="1" t="s">
        <v>173</v>
      </c>
      <c r="F5509" s="1" t="s">
        <v>5145</v>
      </c>
      <c r="G5509" s="1">
        <v>1</v>
      </c>
      <c r="H5509" s="1" t="s">
        <v>5930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5138</v>
      </c>
      <c r="D5510" s="1" t="s">
        <v>5139</v>
      </c>
      <c r="E5510" s="1" t="s">
        <v>461</v>
      </c>
      <c r="F5510" s="1" t="s">
        <v>5146</v>
      </c>
      <c r="G5510" s="1">
        <v>1</v>
      </c>
      <c r="H5510" s="1" t="s">
        <v>5930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5138</v>
      </c>
      <c r="D5511" s="1" t="s">
        <v>5139</v>
      </c>
      <c r="E5511" s="1" t="s">
        <v>464</v>
      </c>
      <c r="F5511" s="1" t="s">
        <v>5147</v>
      </c>
      <c r="G5511" s="1">
        <v>1</v>
      </c>
      <c r="H5511" s="1" t="s">
        <v>5930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5161</v>
      </c>
      <c r="D5512" s="1" t="s">
        <v>5162</v>
      </c>
      <c r="E5512" s="1" t="s">
        <v>2</v>
      </c>
      <c r="F5512" s="1" t="s">
        <v>5163</v>
      </c>
      <c r="G5512" s="1">
        <v>2</v>
      </c>
      <c r="H5512" s="1" t="s">
        <v>5930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5161</v>
      </c>
      <c r="D5513" s="1" t="s">
        <v>5162</v>
      </c>
      <c r="E5513" s="1" t="s">
        <v>43</v>
      </c>
      <c r="F5513" s="1" t="s">
        <v>5164</v>
      </c>
      <c r="G5513" s="1">
        <v>2</v>
      </c>
      <c r="H5513" s="1" t="s">
        <v>5930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5161</v>
      </c>
      <c r="D5514" s="1" t="s">
        <v>5162</v>
      </c>
      <c r="E5514" s="1" t="s">
        <v>746</v>
      </c>
      <c r="F5514" s="1" t="s">
        <v>5165</v>
      </c>
      <c r="G5514" s="1">
        <v>1</v>
      </c>
      <c r="H5514" s="1" t="s">
        <v>5930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5161</v>
      </c>
      <c r="D5515" s="1" t="s">
        <v>5162</v>
      </c>
      <c r="E5515" s="1" t="s">
        <v>1101</v>
      </c>
      <c r="F5515" s="1" t="s">
        <v>5166</v>
      </c>
      <c r="G5515" s="1">
        <v>1</v>
      </c>
      <c r="H5515" s="1" t="s">
        <v>5930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5161</v>
      </c>
      <c r="D5516" s="1" t="s">
        <v>5162</v>
      </c>
      <c r="E5516" s="1" t="s">
        <v>100</v>
      </c>
      <c r="F5516" s="1" t="s">
        <v>5167</v>
      </c>
      <c r="G5516" s="1">
        <v>1</v>
      </c>
      <c r="H5516" s="1" t="s">
        <v>5930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5161</v>
      </c>
      <c r="D5517" s="1" t="s">
        <v>5162</v>
      </c>
      <c r="E5517" s="1" t="s">
        <v>173</v>
      </c>
      <c r="F5517" s="1" t="s">
        <v>5168</v>
      </c>
      <c r="G5517" s="1">
        <v>1</v>
      </c>
      <c r="H5517" s="1" t="s">
        <v>5930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5161</v>
      </c>
      <c r="D5518" s="1" t="s">
        <v>5162</v>
      </c>
      <c r="E5518" s="1" t="s">
        <v>461</v>
      </c>
      <c r="F5518" s="1" t="s">
        <v>5169</v>
      </c>
      <c r="G5518" s="1">
        <v>1</v>
      </c>
      <c r="H5518" s="1" t="s">
        <v>5930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5161</v>
      </c>
      <c r="D5519" s="1" t="s">
        <v>5162</v>
      </c>
      <c r="E5519" s="1" t="s">
        <v>464</v>
      </c>
      <c r="F5519" s="1" t="s">
        <v>5170</v>
      </c>
      <c r="G5519" s="1">
        <v>1</v>
      </c>
      <c r="H5519" s="1" t="s">
        <v>5930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5173</v>
      </c>
      <c r="D5520" s="1" t="s">
        <v>5171</v>
      </c>
      <c r="E5520" s="1" t="s">
        <v>2</v>
      </c>
      <c r="F5520" s="1" t="s">
        <v>5172</v>
      </c>
      <c r="G5520" s="1">
        <v>1</v>
      </c>
      <c r="H5520" s="1" t="s">
        <v>5930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5174</v>
      </c>
      <c r="D5521" s="1" t="s">
        <v>5175</v>
      </c>
      <c r="E5521" s="1" t="s">
        <v>2</v>
      </c>
      <c r="F5521" s="1" t="s">
        <v>5176</v>
      </c>
      <c r="G5521" s="1">
        <v>1</v>
      </c>
      <c r="H5521" s="1" t="s">
        <v>5930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5177</v>
      </c>
      <c r="D5522" s="1" t="s">
        <v>5178</v>
      </c>
      <c r="E5522" s="1" t="s">
        <v>2</v>
      </c>
      <c r="F5522" s="1" t="s">
        <v>5179</v>
      </c>
      <c r="G5522" s="1">
        <v>1</v>
      </c>
      <c r="H5522" s="1" t="s">
        <v>5930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5180</v>
      </c>
      <c r="D5523" s="1" t="s">
        <v>5181</v>
      </c>
      <c r="E5523" s="1" t="s">
        <v>2</v>
      </c>
      <c r="F5523" s="1" t="s">
        <v>5182</v>
      </c>
      <c r="G5523" s="1">
        <v>1</v>
      </c>
      <c r="H5523" s="1" t="s">
        <v>5930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5635</v>
      </c>
      <c r="D5524" s="1" t="s">
        <v>5636</v>
      </c>
      <c r="E5524" s="1" t="s">
        <v>2</v>
      </c>
      <c r="F5524" s="1" t="s">
        <v>5637</v>
      </c>
      <c r="G5524" s="1">
        <v>1</v>
      </c>
      <c r="H5524" s="1" t="s">
        <v>5930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5402</v>
      </c>
      <c r="D5525" s="1" t="s">
        <v>5403</v>
      </c>
      <c r="E5525" s="1" t="s">
        <v>2</v>
      </c>
      <c r="F5525" s="1" t="s">
        <v>5404</v>
      </c>
      <c r="G5525" s="1">
        <v>1</v>
      </c>
      <c r="H5525" s="1" t="s">
        <v>5930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5402</v>
      </c>
      <c r="D5526" s="1" t="s">
        <v>5403</v>
      </c>
      <c r="E5526" s="1" t="s">
        <v>43</v>
      </c>
      <c r="F5526" s="1" t="s">
        <v>5405</v>
      </c>
      <c r="G5526" s="1">
        <v>1</v>
      </c>
      <c r="H5526" s="1" t="s">
        <v>5930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5402</v>
      </c>
      <c r="D5527" s="1" t="s">
        <v>5403</v>
      </c>
      <c r="E5527" s="1" t="s">
        <v>746</v>
      </c>
      <c r="F5527" s="1" t="s">
        <v>5406</v>
      </c>
      <c r="G5527" s="1">
        <v>1</v>
      </c>
      <c r="H5527" s="1" t="s">
        <v>5930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5402</v>
      </c>
      <c r="D5528" s="1" t="s">
        <v>5403</v>
      </c>
      <c r="E5528" s="1" t="s">
        <v>1101</v>
      </c>
      <c r="F5528" s="1" t="s">
        <v>5407</v>
      </c>
      <c r="G5528" s="1">
        <v>1</v>
      </c>
      <c r="H5528" s="1" t="s">
        <v>5930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5402</v>
      </c>
      <c r="D5529" s="1" t="s">
        <v>5403</v>
      </c>
      <c r="E5529" s="1" t="s">
        <v>100</v>
      </c>
      <c r="F5529" s="1" t="s">
        <v>5408</v>
      </c>
      <c r="G5529" s="1">
        <v>1</v>
      </c>
      <c r="H5529" s="1" t="s">
        <v>5930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5402</v>
      </c>
      <c r="D5530" s="1" t="s">
        <v>5403</v>
      </c>
      <c r="E5530" s="1" t="s">
        <v>173</v>
      </c>
      <c r="F5530" s="1" t="s">
        <v>5613</v>
      </c>
      <c r="G5530" s="1">
        <v>1</v>
      </c>
      <c r="H5530" s="1" t="s">
        <v>5930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5402</v>
      </c>
      <c r="D5531" s="1" t="s">
        <v>5403</v>
      </c>
      <c r="E5531" s="1" t="s">
        <v>464</v>
      </c>
      <c r="F5531" s="1" t="s">
        <v>5615</v>
      </c>
      <c r="G5531" s="1">
        <v>1</v>
      </c>
      <c r="H5531" s="1" t="s">
        <v>5930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5402</v>
      </c>
      <c r="D5532" s="1" t="s">
        <v>5403</v>
      </c>
      <c r="E5532" s="1" t="s">
        <v>1103</v>
      </c>
      <c r="F5532" s="1" t="s">
        <v>5617</v>
      </c>
      <c r="G5532" s="1">
        <v>1</v>
      </c>
      <c r="H5532" s="1" t="s">
        <v>5930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5402</v>
      </c>
      <c r="D5533" s="1" t="s">
        <v>5403</v>
      </c>
      <c r="E5533" s="1" t="s">
        <v>1104</v>
      </c>
      <c r="F5533" s="1" t="s">
        <v>5618</v>
      </c>
      <c r="G5533" s="1">
        <v>1</v>
      </c>
      <c r="H5533" s="1" t="s">
        <v>5930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5402</v>
      </c>
      <c r="D5534" s="1" t="s">
        <v>5403</v>
      </c>
      <c r="E5534" s="1" t="s">
        <v>1105</v>
      </c>
      <c r="F5534" s="1" t="s">
        <v>5619</v>
      </c>
      <c r="G5534" s="1">
        <v>1</v>
      </c>
      <c r="H5534" s="1" t="s">
        <v>5930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5402</v>
      </c>
      <c r="D5535" s="1" t="s">
        <v>5403</v>
      </c>
      <c r="E5535" s="1" t="s">
        <v>1106</v>
      </c>
      <c r="F5535" s="1" t="s">
        <v>5620</v>
      </c>
      <c r="G5535" s="1">
        <v>1</v>
      </c>
      <c r="H5535" s="1" t="s">
        <v>5930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</sheetData>
  <autoFilter ref="A1:O5481" xr:uid="{E826462E-1715-45FB-827E-B16DF1FB20B2}"/>
  <phoneticPr fontId="6" type="noConversion"/>
  <conditionalFormatting sqref="B764:B4406">
    <cfRule type="expression" dxfId="150" priority="5">
      <formula>$AH764="OK"</formula>
    </cfRule>
  </conditionalFormatting>
  <conditionalFormatting sqref="B4407:B4408 B4749:B5535">
    <cfRule type="expression" dxfId="149" priority="4">
      <formula>$AI4407="OK"</formula>
    </cfRule>
  </conditionalFormatting>
  <conditionalFormatting sqref="B4409:B4748">
    <cfRule type="expression" dxfId="148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47" priority="4">
      <formula>$AI366="OK"</formula>
    </cfRule>
  </conditionalFormatting>
  <conditionalFormatting sqref="D385:D387">
    <cfRule type="expression" dxfId="146" priority="1">
      <formula>$AI385="OK"</formula>
    </cfRule>
  </conditionalFormatting>
  <conditionalFormatting sqref="F192">
    <cfRule type="expression" dxfId="145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Fernando Silva</cp:lastModifiedBy>
  <cp:lastPrinted>2026-09-01T14:26:19Z</cp:lastPrinted>
  <dcterms:created xsi:type="dcterms:W3CDTF">2022-04-15T01:30:45Z</dcterms:created>
  <dcterms:modified xsi:type="dcterms:W3CDTF">2026-09-21T18:05:11Z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