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35" windowHeight="750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Settings'!$D$29</definedName>
    <definedName name="AllTriggers">'General Settings'!$I$19:$I$22</definedName>
    <definedName name="BasisInterpolation">'General Settings'!$D$34</definedName>
    <definedName name="BasisInterpolator1Y">'General Settings'!$D$36</definedName>
    <definedName name="BasisInterpolator6M">'General Settings'!$I$36</definedName>
    <definedName name="Calendar">'General Settings'!$D$8</definedName>
    <definedName name="Currency">'General Settings'!$D$4</definedName>
    <definedName name="DayCounter">'General Settings'!$D$35</definedName>
    <definedName name="EvaluationDate">'General Settings'!$I$20</definedName>
    <definedName name="FamilyName">'General Settings'!$I$10</definedName>
    <definedName name="FileOverwrite">'General Settings'!$I$9</definedName>
    <definedName name="HolidayCheck">'General Settings'!$D$7</definedName>
    <definedName name="IborIndex1Y">'General Settings'!$D$33</definedName>
    <definedName name="IborIndex6M">'General Settings'!$I$33</definedName>
    <definedName name="IborTenor1Y">'General Settings'!$D$27</definedName>
    <definedName name="IborTenor6M">'General Settings'!$I$27</definedName>
    <definedName name="InterestRatesTrigger">'General Settings'!$I$21</definedName>
    <definedName name="InterpolatorID">'General Settings'!$D$31</definedName>
    <definedName name="LastDayInNextYear">'General Settings'!$D$22</definedName>
    <definedName name="LastDayInYear">'General Settings'!$D$21</definedName>
    <definedName name="LastFixingsTrigger">'General Settings'!$I$22</definedName>
    <definedName name="LastUpdate">'General Settings'!$D$13</definedName>
    <definedName name="LiborCalendar">'General Settings'!$D$5</definedName>
    <definedName name="LiveDataFeed">'General Settings'!$D$14</definedName>
    <definedName name="LocalCalendar">'General Settings'!$D$6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Settings'!$D$28</definedName>
    <definedName name="ObjectOverwrite">'General Settings'!$I$5</definedName>
    <definedName name="OisCurve">'General Settings'!$D$11</definedName>
    <definedName name="OisEngine">'General Settings'!$D$20</definedName>
    <definedName name="OvernightIndex">'General Settings'!$D$9</definedName>
    <definedName name="Permanent">'General Settings'!$I$4</definedName>
    <definedName name="PriceTickValue">'General Settings'!$I$14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Settings'!$I$12</definedName>
    <definedName name="RateTickValue">'General Settings'!$I$13</definedName>
    <definedName name="SerializationPath">'General Settings'!$I$8</definedName>
    <definedName name="Serialize">'General Settings'!$I$7</definedName>
    <definedName name="SettlementDate">'General Settings'!$D$19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Settings'!$D$30</definedName>
    <definedName name="Trigger">'General Settings'!$I$19</definedName>
    <definedName name="YieldCurve1Y">'General Settings'!$D$37</definedName>
    <definedName name="YieldCurve6M">'General Settings'!$I$37</definedName>
  </definedNames>
  <calcPr calcId="145621"/>
</workbook>
</file>

<file path=xl/calcChain.xml><?xml version="1.0" encoding="utf-8"?>
<calcChain xmlns="http://schemas.openxmlformats.org/spreadsheetml/2006/main">
  <c r="D7" i="4" l="1"/>
  <c r="D8" i="4" l="1"/>
  <c r="C2" i="31"/>
  <c r="C3" i="31"/>
  <c r="C4" i="31"/>
  <c r="C11" i="31"/>
  <c r="C10" i="31"/>
  <c r="C9" i="31"/>
  <c r="C8" i="31"/>
  <c r="C7" i="31"/>
  <c r="C6" i="31"/>
  <c r="C5" i="31"/>
  <c r="C24" i="31"/>
  <c r="N3" i="25" l="1" a="1"/>
  <c r="N3" i="25" s="1"/>
  <c r="N9" i="25"/>
  <c r="N10" i="25"/>
  <c r="N17" i="25"/>
  <c r="N18" i="25"/>
  <c r="N25" i="25"/>
  <c r="N26" i="25"/>
  <c r="N34" i="25"/>
  <c r="N42" i="25"/>
  <c r="N50" i="25"/>
  <c r="N90" i="25" l="1"/>
  <c r="N82" i="25"/>
  <c r="N74" i="25"/>
  <c r="N66" i="25"/>
  <c r="N58" i="25"/>
  <c r="N89" i="25"/>
  <c r="N81" i="25"/>
  <c r="N73" i="25"/>
  <c r="N65" i="25"/>
  <c r="N57" i="25"/>
  <c r="N49" i="25"/>
  <c r="N41" i="25"/>
  <c r="N33" i="25"/>
  <c r="N88" i="25"/>
  <c r="N80" i="25"/>
  <c r="N72" i="25"/>
  <c r="N64" i="25"/>
  <c r="N56" i="25"/>
  <c r="N48" i="25"/>
  <c r="N40" i="25"/>
  <c r="N32" i="25"/>
  <c r="N24" i="25"/>
  <c r="N16" i="25"/>
  <c r="N8" i="25"/>
  <c r="N87" i="25"/>
  <c r="N79" i="25"/>
  <c r="N71" i="25"/>
  <c r="N63" i="25"/>
  <c r="N55" i="25"/>
  <c r="N47" i="25"/>
  <c r="N39" i="25"/>
  <c r="N31" i="25"/>
  <c r="N23" i="25"/>
  <c r="N15" i="25"/>
  <c r="N7" i="25"/>
  <c r="N86" i="25"/>
  <c r="N78" i="25"/>
  <c r="N70" i="25"/>
  <c r="N62" i="25"/>
  <c r="N54" i="25"/>
  <c r="N46" i="25"/>
  <c r="N38" i="25"/>
  <c r="N30" i="25"/>
  <c r="N22" i="25"/>
  <c r="N14" i="25"/>
  <c r="N6" i="25"/>
  <c r="N85" i="25"/>
  <c r="N77" i="25"/>
  <c r="N69" i="25"/>
  <c r="N61" i="25"/>
  <c r="N53" i="25"/>
  <c r="N45" i="25"/>
  <c r="N37" i="25"/>
  <c r="N29" i="25"/>
  <c r="N21" i="25"/>
  <c r="N13" i="25"/>
  <c r="N5" i="25"/>
  <c r="N92" i="25"/>
  <c r="N84" i="25"/>
  <c r="N76" i="25"/>
  <c r="N68" i="25"/>
  <c r="N60" i="25"/>
  <c r="N52" i="25"/>
  <c r="N44" i="25"/>
  <c r="N36" i="25"/>
  <c r="N28" i="25"/>
  <c r="N20" i="25"/>
  <c r="N12" i="25"/>
  <c r="N4" i="25"/>
  <c r="N91" i="25"/>
  <c r="N83" i="25"/>
  <c r="N75" i="25"/>
  <c r="N67" i="25"/>
  <c r="N59" i="25"/>
  <c r="N51" i="25"/>
  <c r="N43" i="25"/>
  <c r="N35" i="25"/>
  <c r="N27" i="25"/>
  <c r="N19" i="25"/>
  <c r="N11" i="25"/>
  <c r="E25" i="31"/>
  <c r="E26" i="31"/>
  <c r="E27" i="31"/>
  <c r="E28" i="31"/>
  <c r="E29" i="31"/>
  <c r="E30" i="31"/>
  <c r="E31" i="31"/>
  <c r="E32" i="31"/>
  <c r="E33" i="31"/>
  <c r="E34" i="31"/>
  <c r="E35" i="31"/>
  <c r="E36" i="31"/>
  <c r="G24" i="28" l="1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D33" i="29"/>
  <c r="C33" i="29"/>
  <c r="G32" i="29"/>
  <c r="F32" i="29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D28" i="29"/>
  <c r="C28" i="29"/>
  <c r="G27" i="29"/>
  <c r="F27" i="29"/>
  <c r="D27" i="29"/>
  <c r="C27" i="29"/>
  <c r="G26" i="29"/>
  <c r="F26" i="29"/>
  <c r="D26" i="29"/>
  <c r="C26" i="29"/>
  <c r="G25" i="29"/>
  <c r="F25" i="29"/>
  <c r="H25" i="29" s="1"/>
  <c r="D25" i="29"/>
  <c r="C25" i="29"/>
  <c r="G24" i="29"/>
  <c r="F24" i="29"/>
  <c r="D24" i="29"/>
  <c r="C24" i="29"/>
  <c r="G23" i="29"/>
  <c r="F23" i="29"/>
  <c r="D23" i="29"/>
  <c r="C23" i="29"/>
  <c r="G22" i="29"/>
  <c r="F22" i="29"/>
  <c r="D22" i="29"/>
  <c r="C22" i="29"/>
  <c r="G21" i="29"/>
  <c r="F21" i="29"/>
  <c r="H21" i="29" s="1"/>
  <c r="D21" i="29"/>
  <c r="C21" i="29"/>
  <c r="G20" i="29"/>
  <c r="F20" i="29"/>
  <c r="D20" i="29"/>
  <c r="C20" i="29"/>
  <c r="G19" i="29"/>
  <c r="F19" i="29"/>
  <c r="D19" i="29"/>
  <c r="C19" i="29"/>
  <c r="G18" i="29"/>
  <c r="F18" i="29"/>
  <c r="D18" i="29"/>
  <c r="C18" i="29"/>
  <c r="G17" i="29"/>
  <c r="F17" i="29"/>
  <c r="D17" i="29"/>
  <c r="C17" i="29"/>
  <c r="G16" i="29"/>
  <c r="F16" i="29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D12" i="29"/>
  <c r="C12" i="29"/>
  <c r="G11" i="29"/>
  <c r="F11" i="29"/>
  <c r="D11" i="29"/>
  <c r="C11" i="29"/>
  <c r="G10" i="29"/>
  <c r="F10" i="29"/>
  <c r="D10" i="29"/>
  <c r="C10" i="29"/>
  <c r="G9" i="29"/>
  <c r="F9" i="29"/>
  <c r="D9" i="29"/>
  <c r="C9" i="29"/>
  <c r="G8" i="29"/>
  <c r="F8" i="29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H9" i="29" l="1"/>
  <c r="H17" i="29"/>
  <c r="H33" i="29"/>
  <c r="H8" i="29"/>
  <c r="J8" i="29" s="1"/>
  <c r="H12" i="29"/>
  <c r="J12" i="29" s="1"/>
  <c r="H16" i="29"/>
  <c r="H18" i="29"/>
  <c r="J18" i="29" s="1"/>
  <c r="H20" i="29"/>
  <c r="H22" i="29"/>
  <c r="H24" i="29"/>
  <c r="H26" i="29"/>
  <c r="H28" i="29"/>
  <c r="J28" i="29" s="1"/>
  <c r="H32" i="29"/>
  <c r="J32" i="29" s="1"/>
  <c r="J26" i="29"/>
  <c r="H34" i="29"/>
  <c r="J34" i="29" s="1"/>
  <c r="J9" i="29"/>
  <c r="J13" i="29"/>
  <c r="J21" i="29"/>
  <c r="H15" i="29"/>
  <c r="J15" i="29" s="1"/>
  <c r="J25" i="29"/>
  <c r="H31" i="29"/>
  <c r="J31" i="29" s="1"/>
  <c r="H11" i="29"/>
  <c r="J11" i="29" s="1"/>
  <c r="H19" i="29"/>
  <c r="J19" i="29" s="1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2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L2" i="27"/>
  <c r="I20" i="4"/>
  <c r="F27" i="31"/>
  <c r="K27" i="31"/>
  <c r="L27" i="31"/>
  <c r="F14" i="31"/>
  <c r="F32" i="31"/>
  <c r="F29" i="31"/>
  <c r="F31" i="31"/>
  <c r="F26" i="31"/>
  <c r="F25" i="31"/>
  <c r="F28" i="31"/>
  <c r="F30" i="31"/>
  <c r="F35" i="31"/>
  <c r="F36" i="31"/>
  <c r="F34" i="31"/>
  <c r="F33" i="31"/>
  <c r="F12" i="31"/>
  <c r="F17" i="31"/>
  <c r="F16" i="31"/>
  <c r="F20" i="31"/>
  <c r="F18" i="31"/>
  <c r="F19" i="31"/>
  <c r="F15" i="31"/>
  <c r="F13" i="31"/>
  <c r="L14" i="31"/>
  <c r="K14" i="31"/>
  <c r="L32" i="31"/>
  <c r="K32" i="31"/>
  <c r="K29" i="31"/>
  <c r="L29" i="31"/>
  <c r="K31" i="31"/>
  <c r="L31" i="31"/>
  <c r="L26" i="31"/>
  <c r="K26" i="31"/>
  <c r="K25" i="31"/>
  <c r="L25" i="31"/>
  <c r="K28" i="31"/>
  <c r="L28" i="31"/>
  <c r="K35" i="31"/>
  <c r="L35" i="31"/>
  <c r="K36" i="31"/>
  <c r="L36" i="31"/>
  <c r="K34" i="31"/>
  <c r="L34" i="31"/>
  <c r="K33" i="31"/>
  <c r="L33" i="31"/>
  <c r="K12" i="31"/>
  <c r="L12" i="31"/>
  <c r="L16" i="31"/>
  <c r="K16" i="31"/>
  <c r="L20" i="31"/>
  <c r="K20" i="31"/>
  <c r="K18" i="31"/>
  <c r="L18" i="31"/>
  <c r="K19" i="31"/>
  <c r="L19" i="31"/>
  <c r="L15" i="31"/>
  <c r="K15" i="31"/>
  <c r="L13" i="31"/>
  <c r="K13" i="31"/>
  <c r="H5" i="27" l="1"/>
  <c r="H9" i="27"/>
  <c r="H21" i="27"/>
  <c r="H25" i="27"/>
  <c r="H34" i="27"/>
  <c r="J34" i="27" s="1"/>
  <c r="H4" i="27"/>
  <c r="J4" i="27" s="1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L17" i="31"/>
  <c r="D19" i="4"/>
  <c r="L30" i="31"/>
  <c r="K17" i="31"/>
  <c r="K30" i="31"/>
  <c r="D2" i="30" l="1"/>
  <c r="N8" i="12"/>
  <c r="N9" i="12"/>
  <c r="O9" i="12"/>
  <c r="O8" i="12"/>
  <c r="J2" i="30"/>
  <c r="J28" i="30"/>
  <c r="J38" i="30"/>
  <c r="J9" i="30"/>
  <c r="J30" i="30"/>
  <c r="J32" i="30"/>
  <c r="J13" i="30"/>
  <c r="J33" i="30"/>
  <c r="J29" i="30"/>
  <c r="J3" i="30"/>
  <c r="J26" i="30"/>
  <c r="A10" i="12"/>
  <c r="J7" i="30"/>
  <c r="J24" i="30"/>
  <c r="J10" i="30"/>
  <c r="D21" i="4"/>
  <c r="D22" i="4"/>
  <c r="J4" i="30"/>
  <c r="J6" i="30"/>
  <c r="J5" i="30"/>
  <c r="J25" i="30"/>
  <c r="J31" i="30"/>
  <c r="J11" i="30"/>
  <c r="J12" i="30"/>
  <c r="J27" i="30"/>
  <c r="J35" i="30"/>
  <c r="J36" i="30"/>
  <c r="J37" i="30"/>
  <c r="J8" i="30"/>
  <c r="J14" i="30"/>
  <c r="J34" i="30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67" i="25"/>
  <c r="D81" i="25"/>
  <c r="D77" i="25"/>
  <c r="D92" i="25"/>
  <c r="D65" i="25"/>
  <c r="D63" i="25"/>
  <c r="D56" i="25"/>
  <c r="D84" i="25"/>
  <c r="D90" i="25"/>
  <c r="D75" i="25"/>
  <c r="D85" i="25"/>
  <c r="D78" i="25"/>
  <c r="D71" i="25"/>
  <c r="D86" i="25"/>
  <c r="D62" i="25"/>
  <c r="D64" i="25"/>
  <c r="D69" i="25"/>
  <c r="D76" i="25"/>
  <c r="D58" i="25"/>
  <c r="D72" i="25"/>
  <c r="D60" i="25"/>
  <c r="D61" i="25"/>
  <c r="D79" i="25"/>
  <c r="D68" i="25"/>
  <c r="D59" i="25"/>
  <c r="D80" i="25"/>
  <c r="D82" i="25"/>
  <c r="D74" i="25"/>
  <c r="D57" i="25"/>
  <c r="D89" i="25"/>
  <c r="D66" i="25"/>
  <c r="D91" i="25"/>
  <c r="E10" i="12"/>
  <c r="D73" i="25"/>
  <c r="D87" i="25"/>
  <c r="D70" i="25"/>
  <c r="D88" i="25"/>
  <c r="D83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E62" i="25"/>
  <c r="E75" i="25"/>
  <c r="E64" i="25"/>
  <c r="E72" i="25"/>
  <c r="A11" i="12"/>
  <c r="E84" i="25"/>
  <c r="E73" i="25"/>
  <c r="E57" i="25"/>
  <c r="E78" i="25"/>
  <c r="E76" i="25"/>
  <c r="E81" i="25"/>
  <c r="E56" i="25"/>
  <c r="E69" i="25"/>
  <c r="E60" i="25"/>
  <c r="E86" i="25"/>
  <c r="E80" i="25"/>
  <c r="E63" i="25"/>
  <c r="E77" i="25"/>
  <c r="E68" i="25"/>
  <c r="E70" i="25"/>
  <c r="E91" i="25"/>
  <c r="E59" i="25"/>
  <c r="E65" i="25"/>
  <c r="E74" i="25"/>
  <c r="E89" i="25"/>
  <c r="E92" i="25"/>
  <c r="E67" i="25"/>
  <c r="E79" i="25"/>
  <c r="E66" i="25"/>
  <c r="E58" i="25"/>
  <c r="E88" i="25"/>
  <c r="E87" i="25"/>
  <c r="E83" i="25"/>
  <c r="E71" i="25"/>
  <c r="E61" i="25"/>
  <c r="E85" i="25"/>
  <c r="E82" i="25"/>
  <c r="E90" i="25"/>
  <c r="D5" i="12" l="1"/>
  <c r="D11" i="4"/>
  <c r="D20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19" i="25"/>
  <c r="D40" i="25"/>
  <c r="D52" i="25"/>
  <c r="D22" i="25"/>
  <c r="D37" i="25"/>
  <c r="D35" i="25"/>
  <c r="D46" i="25"/>
  <c r="D28" i="25"/>
  <c r="D25" i="25"/>
  <c r="D15" i="25"/>
  <c r="D42" i="25"/>
  <c r="D41" i="25"/>
  <c r="D5" i="25"/>
  <c r="D29" i="25"/>
  <c r="D20" i="25"/>
  <c r="D30" i="25"/>
  <c r="D49" i="25"/>
  <c r="D23" i="25"/>
  <c r="D50" i="25"/>
  <c r="D51" i="25"/>
  <c r="D10" i="25"/>
  <c r="D8" i="25"/>
  <c r="D14" i="25"/>
  <c r="D3" i="25"/>
  <c r="D45" i="25"/>
  <c r="D32" i="25"/>
  <c r="D6" i="25"/>
  <c r="D48" i="25"/>
  <c r="D43" i="25"/>
  <c r="D39" i="25"/>
  <c r="D18" i="25"/>
  <c r="D33" i="25"/>
  <c r="D24" i="25"/>
  <c r="D9" i="25"/>
  <c r="D44" i="25"/>
  <c r="D26" i="25"/>
  <c r="D11" i="25"/>
  <c r="D16" i="25"/>
  <c r="D34" i="25"/>
  <c r="D12" i="25"/>
  <c r="D54" i="25"/>
  <c r="D21" i="25"/>
  <c r="D7" i="25"/>
  <c r="D17" i="25"/>
  <c r="D4" i="25"/>
  <c r="D27" i="25"/>
  <c r="D36" i="25"/>
  <c r="D55" i="25"/>
  <c r="D31" i="25"/>
  <c r="D13" i="25"/>
  <c r="D53" i="25"/>
  <c r="D38" i="25"/>
  <c r="D47" i="25"/>
  <c r="E24" i="31" l="1"/>
  <c r="E2" i="31"/>
  <c r="E3" i="31"/>
  <c r="E4" i="31"/>
  <c r="E8" i="31"/>
  <c r="E11" i="31"/>
  <c r="E5" i="31"/>
  <c r="E6" i="31"/>
  <c r="E9" i="31"/>
  <c r="E7" i="31"/>
  <c r="E10" i="31"/>
  <c r="D10" i="12"/>
  <c r="I10" i="4"/>
  <c r="A16" i="12"/>
  <c r="A7" i="12"/>
  <c r="A26" i="12"/>
  <c r="A3" i="12"/>
  <c r="F49" i="12"/>
  <c r="F8" i="31"/>
  <c r="F5" i="31"/>
  <c r="K5" i="31" s="1"/>
  <c r="E12" i="12"/>
  <c r="E15" i="25"/>
  <c r="E7" i="25"/>
  <c r="E22" i="12"/>
  <c r="E6" i="25"/>
  <c r="E19" i="25"/>
  <c r="E14" i="12"/>
  <c r="F34" i="12"/>
  <c r="F4" i="31"/>
  <c r="K4" i="31" s="1"/>
  <c r="F9" i="31"/>
  <c r="E19" i="12"/>
  <c r="E42" i="25"/>
  <c r="F11" i="31"/>
  <c r="L11" i="31" s="1"/>
  <c r="F45" i="12"/>
  <c r="E54" i="25"/>
  <c r="E30" i="25"/>
  <c r="F3" i="31"/>
  <c r="K3" i="31" s="1"/>
  <c r="E11" i="25"/>
  <c r="E43" i="25"/>
  <c r="E23" i="12"/>
  <c r="E41" i="25"/>
  <c r="E52" i="25"/>
  <c r="E20" i="12"/>
  <c r="E47" i="25"/>
  <c r="E22" i="25"/>
  <c r="F10" i="31"/>
  <c r="F41" i="12"/>
  <c r="E12" i="25"/>
  <c r="F7" i="31"/>
  <c r="E4" i="25"/>
  <c r="E24" i="25"/>
  <c r="F46" i="12"/>
  <c r="E27" i="25"/>
  <c r="E25" i="25"/>
  <c r="E50" i="25"/>
  <c r="E9" i="25"/>
  <c r="E48" i="25"/>
  <c r="E35" i="25"/>
  <c r="E34" i="25"/>
  <c r="L4" i="31"/>
  <c r="F44" i="12"/>
  <c r="E29" i="25"/>
  <c r="F35" i="12"/>
  <c r="E16" i="25"/>
  <c r="F37" i="12"/>
  <c r="E8" i="25"/>
  <c r="E39" i="25"/>
  <c r="E13" i="12"/>
  <c r="E26" i="25"/>
  <c r="F36" i="12"/>
  <c r="E28" i="25"/>
  <c r="E44" i="25"/>
  <c r="E55" i="25"/>
  <c r="F39" i="12"/>
  <c r="E36" i="25"/>
  <c r="E5" i="25"/>
  <c r="E49" i="25"/>
  <c r="F6" i="31"/>
  <c r="L6" i="31" s="1"/>
  <c r="L5" i="31"/>
  <c r="E38" i="25"/>
  <c r="F40" i="12"/>
  <c r="K6" i="31"/>
  <c r="F47" i="12"/>
  <c r="E37" i="25"/>
  <c r="E46" i="25"/>
  <c r="E33" i="25"/>
  <c r="E17" i="25"/>
  <c r="B1" i="4"/>
  <c r="E23" i="25"/>
  <c r="F24" i="31"/>
  <c r="E40" i="25"/>
  <c r="F2" i="31"/>
  <c r="K2" i="31" s="1"/>
  <c r="E18" i="25"/>
  <c r="E24" i="12"/>
  <c r="E53" i="25"/>
  <c r="E10" i="25"/>
  <c r="E51" i="25"/>
  <c r="F48" i="12"/>
  <c r="E21" i="12"/>
  <c r="F43" i="12"/>
  <c r="E21" i="25"/>
  <c r="E31" i="25"/>
  <c r="E32" i="25"/>
  <c r="E45" i="25"/>
  <c r="F42" i="12"/>
  <c r="E27" i="12"/>
  <c r="E13" i="25"/>
  <c r="F38" i="12"/>
  <c r="E20" i="25"/>
  <c r="E14" i="25"/>
  <c r="E3" i="25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K24" i="31"/>
  <c r="L8" i="31"/>
  <c r="J20" i="28"/>
  <c r="J44" i="28"/>
  <c r="K8" i="29"/>
  <c r="F20" i="12"/>
  <c r="K23" i="27"/>
  <c r="F12" i="12"/>
  <c r="J45" i="28"/>
  <c r="K24" i="27"/>
  <c r="K14" i="27"/>
  <c r="F25" i="12"/>
  <c r="K9" i="27"/>
  <c r="K31" i="29"/>
  <c r="K23" i="29"/>
  <c r="J12" i="28"/>
  <c r="J5" i="28"/>
  <c r="K30" i="27"/>
  <c r="J35" i="28"/>
  <c r="K27" i="27"/>
  <c r="J37" i="28"/>
  <c r="L10" i="31"/>
  <c r="K10" i="27"/>
  <c r="K5" i="27"/>
  <c r="K3" i="27"/>
  <c r="K5" i="29"/>
  <c r="F14" i="12"/>
  <c r="J13" i="28"/>
  <c r="K7" i="29"/>
  <c r="J22" i="28"/>
  <c r="K36" i="27"/>
  <c r="J41" i="28"/>
  <c r="B37" i="12"/>
  <c r="K15" i="27"/>
  <c r="B48" i="12"/>
  <c r="J26" i="28"/>
  <c r="K21" i="29"/>
  <c r="J34" i="28"/>
  <c r="K8" i="31"/>
  <c r="K18" i="27"/>
  <c r="K7" i="27"/>
  <c r="J27" i="28"/>
  <c r="L3" i="31"/>
  <c r="K9" i="31"/>
  <c r="K6" i="29"/>
  <c r="J31" i="28"/>
  <c r="B41" i="12"/>
  <c r="K25" i="29"/>
  <c r="F5" i="12"/>
  <c r="F22" i="12"/>
  <c r="J47" i="28"/>
  <c r="J9" i="28"/>
  <c r="K18" i="29"/>
  <c r="K20" i="27"/>
  <c r="B36" i="12"/>
  <c r="J25" i="28"/>
  <c r="J28" i="28"/>
  <c r="B47" i="12"/>
  <c r="J53" i="28"/>
  <c r="J48" i="28"/>
  <c r="K17" i="29"/>
  <c r="B44" i="12"/>
  <c r="L9" i="31"/>
  <c r="K11" i="29"/>
  <c r="J10" i="28"/>
  <c r="K21" i="27"/>
  <c r="J52" i="28"/>
  <c r="K33" i="29"/>
  <c r="K8" i="27"/>
  <c r="J23" i="28"/>
  <c r="J24" i="28"/>
  <c r="B49" i="12"/>
  <c r="J38" i="28"/>
  <c r="J2" i="28"/>
  <c r="J43" i="28"/>
  <c r="L7" i="31"/>
  <c r="F24" i="12"/>
  <c r="J46" i="28"/>
  <c r="F23" i="12"/>
  <c r="J4" i="28"/>
  <c r="B40" i="12"/>
  <c r="K28" i="29"/>
  <c r="B43" i="12"/>
  <c r="K26" i="29"/>
  <c r="K11" i="27"/>
  <c r="K27" i="29"/>
  <c r="K29" i="29"/>
  <c r="B42" i="12"/>
  <c r="J33" i="28"/>
  <c r="K4" i="29"/>
  <c r="K4" i="27"/>
  <c r="K35" i="27"/>
  <c r="F13" i="12"/>
  <c r="K16" i="29"/>
  <c r="K32" i="27"/>
  <c r="K31" i="27"/>
  <c r="K24" i="29"/>
  <c r="J30" i="28"/>
  <c r="K19" i="27"/>
  <c r="K6" i="27"/>
  <c r="J36" i="28"/>
  <c r="K29" i="27"/>
  <c r="B38" i="12"/>
  <c r="K12" i="29"/>
  <c r="J40" i="28"/>
  <c r="K22" i="27"/>
  <c r="K26" i="27"/>
  <c r="K10" i="29"/>
  <c r="K7" i="31"/>
  <c r="K36" i="29"/>
  <c r="K17" i="27"/>
  <c r="K30" i="29"/>
  <c r="J51" i="28"/>
  <c r="K16" i="27"/>
  <c r="J49" i="28"/>
  <c r="K14" i="29"/>
  <c r="K10" i="31"/>
  <c r="B34" i="12"/>
  <c r="F2" i="12"/>
  <c r="K13" i="27"/>
  <c r="B46" i="12"/>
  <c r="J39" i="28"/>
  <c r="J32" i="28"/>
  <c r="L2" i="31"/>
  <c r="K19" i="29"/>
  <c r="J8" i="28"/>
  <c r="K22" i="29"/>
  <c r="K34" i="29"/>
  <c r="K33" i="27"/>
  <c r="J54" i="28"/>
  <c r="K32" i="29"/>
  <c r="J11" i="28"/>
  <c r="K15" i="29"/>
  <c r="J29" i="28"/>
  <c r="F6" i="12"/>
  <c r="F27" i="12"/>
  <c r="J50" i="28"/>
  <c r="F15" i="12"/>
  <c r="K12" i="27"/>
  <c r="B35" i="12"/>
  <c r="J21" i="28"/>
  <c r="K20" i="29"/>
  <c r="K13" i="29"/>
  <c r="K34" i="27"/>
  <c r="J6" i="28"/>
  <c r="L24" i="31"/>
  <c r="K25" i="27"/>
  <c r="K3" i="29"/>
  <c r="B39" i="12"/>
  <c r="B45" i="12"/>
  <c r="F21" i="12"/>
  <c r="J3" i="28"/>
  <c r="J7" i="28"/>
  <c r="K11" i="31"/>
  <c r="K28" i="27"/>
  <c r="J19" i="28"/>
  <c r="F19" i="12"/>
  <c r="K35" i="29"/>
  <c r="J42" i="28"/>
  <c r="J55" i="28"/>
  <c r="K9" i="29"/>
  <c r="E7" i="12"/>
  <c r="E16" i="12"/>
  <c r="E26" i="12"/>
  <c r="E3" i="12"/>
  <c r="E39" i="31" l="1"/>
  <c r="E23" i="31"/>
  <c r="E37" i="31"/>
  <c r="E22" i="31"/>
  <c r="E38" i="31"/>
  <c r="E21" i="3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B24" i="12"/>
  <c r="L29" i="29"/>
  <c r="B19" i="12"/>
  <c r="L8" i="29"/>
  <c r="L11" i="27"/>
  <c r="B13" i="12"/>
  <c r="C34" i="12"/>
  <c r="L35" i="27"/>
  <c r="L15" i="27"/>
  <c r="B15" i="12"/>
  <c r="C40" i="12"/>
  <c r="L29" i="27"/>
  <c r="L13" i="27"/>
  <c r="L3" i="29"/>
  <c r="L34" i="29"/>
  <c r="C43" i="12"/>
  <c r="L26" i="27"/>
  <c r="L14" i="27"/>
  <c r="L17" i="27"/>
  <c r="L9" i="29"/>
  <c r="L34" i="27"/>
  <c r="L33" i="27"/>
  <c r="C44" i="12"/>
  <c r="L7" i="27"/>
  <c r="L18" i="29"/>
  <c r="L31" i="27"/>
  <c r="L24" i="29"/>
  <c r="C49" i="12"/>
  <c r="B23" i="12"/>
  <c r="L4" i="29"/>
  <c r="L20" i="27"/>
  <c r="L30" i="27"/>
  <c r="L32" i="27"/>
  <c r="C37" i="12"/>
  <c r="L8" i="27"/>
  <c r="L30" i="29"/>
  <c r="B6" i="12"/>
  <c r="L6" i="29"/>
  <c r="L23" i="27"/>
  <c r="L32" i="29"/>
  <c r="L21" i="29"/>
  <c r="L16" i="27"/>
  <c r="B14" i="12"/>
  <c r="L6" i="27"/>
  <c r="L31" i="29"/>
  <c r="L22" i="27"/>
  <c r="C46" i="12"/>
  <c r="L5" i="29"/>
  <c r="C41" i="12"/>
  <c r="L21" i="27"/>
  <c r="F39" i="31"/>
  <c r="L36" i="27"/>
  <c r="L14" i="29"/>
  <c r="L10" i="27"/>
  <c r="L22" i="29"/>
  <c r="B12" i="12"/>
  <c r="B22" i="12"/>
  <c r="L33" i="29"/>
  <c r="L5" i="27"/>
  <c r="L17" i="29"/>
  <c r="L27" i="29"/>
  <c r="B21" i="12"/>
  <c r="B27" i="12"/>
  <c r="L25" i="29"/>
  <c r="L18" i="27"/>
  <c r="L3" i="27"/>
  <c r="L19" i="29"/>
  <c r="L28" i="29"/>
  <c r="L10" i="29"/>
  <c r="L9" i="27"/>
  <c r="F23" i="31"/>
  <c r="C38" i="12"/>
  <c r="L23" i="31"/>
  <c r="C36" i="12"/>
  <c r="L28" i="27"/>
  <c r="L16" i="29"/>
  <c r="L27" i="27"/>
  <c r="L35" i="29"/>
  <c r="F22" i="31"/>
  <c r="C45" i="12"/>
  <c r="L20" i="29"/>
  <c r="C35" i="12"/>
  <c r="C48" i="12"/>
  <c r="K22" i="31"/>
  <c r="C47" i="12"/>
  <c r="L15" i="29"/>
  <c r="L36" i="29"/>
  <c r="F38" i="31"/>
  <c r="F37" i="31"/>
  <c r="L7" i="29"/>
  <c r="L19" i="27"/>
  <c r="L12" i="27"/>
  <c r="L24" i="27"/>
  <c r="B20" i="12"/>
  <c r="L25" i="27"/>
  <c r="F21" i="31"/>
  <c r="L21" i="31" s="1"/>
  <c r="B25" i="12"/>
  <c r="C39" i="12"/>
  <c r="L12" i="29"/>
  <c r="L37" i="31"/>
  <c r="C42" i="12"/>
  <c r="K39" i="31"/>
  <c r="L11" i="29"/>
  <c r="L23" i="29"/>
  <c r="B2" i="12"/>
  <c r="L26" i="29"/>
  <c r="L4" i="27"/>
  <c r="L13" i="29"/>
  <c r="L39" i="31"/>
  <c r="B7" i="12"/>
  <c r="F26" i="12"/>
  <c r="F16" i="12"/>
  <c r="B3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L22" i="31"/>
  <c r="K21" i="31"/>
  <c r="K37" i="31"/>
  <c r="K23" i="31"/>
  <c r="C25" i="12"/>
  <c r="C20" i="12"/>
  <c r="C15" i="12"/>
  <c r="C21" i="12"/>
  <c r="L38" i="31"/>
  <c r="C6" i="12"/>
  <c r="C24" i="12"/>
  <c r="C27" i="12"/>
  <c r="C23" i="12"/>
  <c r="C22" i="12"/>
  <c r="C13" i="12"/>
  <c r="B4" i="12"/>
  <c r="K38" i="31"/>
  <c r="C14" i="12"/>
  <c r="C12" i="12"/>
  <c r="C19" i="12"/>
  <c r="C2" i="12"/>
  <c r="B16" i="12"/>
  <c r="C7" i="12"/>
  <c r="C3" i="12"/>
  <c r="B2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E11" i="12"/>
  <c r="C10" i="12"/>
  <c r="N11" i="12" l="1"/>
  <c r="D11" i="12"/>
  <c r="F11" i="12"/>
  <c r="O11" i="12" l="1"/>
  <c r="P11" i="12" s="1"/>
  <c r="B11" i="12"/>
  <c r="R11" i="12" l="1"/>
  <c r="S11" i="12"/>
  <c r="C11" i="12"/>
  <c r="A3" i="28" a="1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D102" i="28"/>
  <c r="D62" i="28"/>
  <c r="D15" i="28"/>
  <c r="D91" i="28"/>
  <c r="D41" i="28"/>
  <c r="C114" i="28"/>
  <c r="C93" i="28"/>
  <c r="D49" i="28"/>
  <c r="D115" i="28"/>
  <c r="D57" i="28"/>
  <c r="C22" i="28"/>
  <c r="C5" i="28"/>
  <c r="C115" i="28"/>
  <c r="C13" i="28"/>
  <c r="C37" i="28"/>
  <c r="D124" i="28"/>
  <c r="C42" i="28"/>
  <c r="C90" i="28"/>
  <c r="C68" i="28"/>
  <c r="D118" i="28"/>
  <c r="D74" i="28"/>
  <c r="D70" i="28"/>
  <c r="C20" i="28"/>
  <c r="C67" i="28"/>
  <c r="D82" i="28"/>
  <c r="D81" i="28"/>
  <c r="D47" i="28"/>
  <c r="C19" i="28"/>
  <c r="D23" i="28"/>
  <c r="D125" i="28"/>
  <c r="C84" i="28"/>
  <c r="D114" i="28"/>
  <c r="C8" i="28"/>
  <c r="C82" i="28"/>
  <c r="C113" i="28"/>
  <c r="D65" i="28"/>
  <c r="D116" i="28"/>
  <c r="D7" i="28"/>
  <c r="D109" i="28"/>
  <c r="C118" i="28"/>
  <c r="C28" i="28"/>
  <c r="D110" i="28"/>
  <c r="D66" i="28"/>
  <c r="D46" i="28"/>
  <c r="C112" i="28"/>
  <c r="C39" i="28"/>
  <c r="C9" i="28"/>
  <c r="C109" i="28"/>
  <c r="D60" i="28"/>
  <c r="C92" i="28"/>
  <c r="C75" i="28"/>
  <c r="C80" i="28"/>
  <c r="C12" i="28"/>
  <c r="C94" i="28"/>
  <c r="C49" i="28"/>
  <c r="C70" i="28"/>
  <c r="D97" i="28"/>
  <c r="D5" i="28"/>
  <c r="C62" i="28"/>
  <c r="C26" i="28"/>
  <c r="C32" i="28"/>
  <c r="C15" i="28"/>
  <c r="D75" i="28"/>
  <c r="D43" i="28"/>
  <c r="D119" i="28"/>
  <c r="D31" i="28"/>
  <c r="C43" i="28"/>
  <c r="D39" i="28"/>
  <c r="D86" i="28"/>
  <c r="C65" i="28"/>
  <c r="C35" i="28"/>
  <c r="D68" i="28"/>
  <c r="C81" i="28"/>
  <c r="D103" i="28"/>
  <c r="D105" i="28"/>
  <c r="D16" i="28"/>
  <c r="D111" i="28"/>
  <c r="A3" i="30" a="1"/>
  <c r="D93" i="28"/>
  <c r="C74" i="28"/>
  <c r="C34" i="28"/>
  <c r="C41" i="28"/>
  <c r="C95" i="28"/>
  <c r="C102" i="28"/>
  <c r="D10" i="28"/>
  <c r="D58" i="28"/>
  <c r="C66" i="28"/>
  <c r="D40" i="28"/>
  <c r="D28" i="28"/>
  <c r="C18" i="28"/>
  <c r="C105" i="28"/>
  <c r="C124" i="28"/>
  <c r="D83" i="28"/>
  <c r="D95" i="28"/>
  <c r="D34" i="28"/>
  <c r="D89" i="28"/>
  <c r="C76" i="28"/>
  <c r="D78" i="28"/>
  <c r="D27" i="28"/>
  <c r="D36" i="28"/>
  <c r="C33" i="28"/>
  <c r="D12" i="28"/>
  <c r="D126" i="28"/>
  <c r="C88" i="28"/>
  <c r="C103" i="28"/>
  <c r="C7" i="28"/>
  <c r="C61" i="28"/>
  <c r="C40" i="28"/>
  <c r="D99" i="28"/>
  <c r="D22" i="28"/>
  <c r="C87" i="28"/>
  <c r="D80" i="28"/>
  <c r="D33" i="28"/>
  <c r="C23" i="28"/>
  <c r="D26" i="28"/>
  <c r="C46" i="28"/>
  <c r="C48" i="28"/>
  <c r="C85" i="28"/>
  <c r="C121" i="28"/>
  <c r="C72" i="28"/>
  <c r="D79" i="28"/>
  <c r="D98" i="28"/>
  <c r="D106" i="28"/>
  <c r="D90" i="28"/>
  <c r="D37" i="4"/>
  <c r="C4" i="28"/>
  <c r="C107" i="28"/>
  <c r="C100" i="28"/>
  <c r="C11" i="28"/>
  <c r="C119" i="28"/>
  <c r="C27" i="28"/>
  <c r="D108" i="28"/>
  <c r="D92" i="28"/>
  <c r="D85" i="28"/>
  <c r="C63" i="28"/>
  <c r="D42" i="28"/>
  <c r="C98" i="28"/>
  <c r="C96" i="28"/>
  <c r="D29" i="28"/>
  <c r="C116" i="28"/>
  <c r="D13" i="28"/>
  <c r="D67" i="28"/>
  <c r="C38" i="28"/>
  <c r="D55" i="28"/>
  <c r="C89" i="28"/>
  <c r="C79" i="28"/>
  <c r="D72" i="28"/>
  <c r="C30" i="28"/>
  <c r="D44" i="28"/>
  <c r="D69" i="28"/>
  <c r="C55" i="28"/>
  <c r="D123" i="28"/>
  <c r="C53" i="28"/>
  <c r="C44" i="28"/>
  <c r="D71" i="28"/>
  <c r="C51" i="28"/>
  <c r="D50" i="28"/>
  <c r="D87" i="28"/>
  <c r="D32" i="28"/>
  <c r="C16" i="28"/>
  <c r="C54" i="28"/>
  <c r="D17" i="28"/>
  <c r="D122" i="28"/>
  <c r="C58" i="28"/>
  <c r="D8" i="28"/>
  <c r="D19" i="28"/>
  <c r="D3" i="28"/>
  <c r="C29" i="28"/>
  <c r="C99" i="28"/>
  <c r="D63" i="28"/>
  <c r="D64" i="28"/>
  <c r="C120" i="28"/>
  <c r="D14" i="28"/>
  <c r="D35" i="28"/>
  <c r="C10" i="28"/>
  <c r="D52" i="28"/>
  <c r="C45" i="28"/>
  <c r="D59" i="28"/>
  <c r="C24" i="28"/>
  <c r="D73" i="28"/>
  <c r="D37" i="28"/>
  <c r="C21" i="28"/>
  <c r="C83" i="28"/>
  <c r="D94" i="28"/>
  <c r="C108" i="28"/>
  <c r="D45" i="28"/>
  <c r="C60" i="28"/>
  <c r="D53" i="28"/>
  <c r="D104" i="28"/>
  <c r="D101" i="28"/>
  <c r="C50" i="28"/>
  <c r="D120" i="28"/>
  <c r="C17" i="28"/>
  <c r="D6" i="28"/>
  <c r="D30" i="28"/>
  <c r="D76" i="28"/>
  <c r="D11" i="28"/>
  <c r="C31" i="28"/>
  <c r="C86" i="28"/>
  <c r="D54" i="28"/>
  <c r="D84" i="28"/>
  <c r="D107" i="28"/>
  <c r="C97" i="28"/>
  <c r="D48" i="28"/>
  <c r="C69" i="28"/>
  <c r="C6" i="28"/>
  <c r="C110" i="28"/>
  <c r="D96" i="28"/>
  <c r="D61" i="28"/>
  <c r="C56" i="28"/>
  <c r="C52" i="28"/>
  <c r="C36" i="28"/>
  <c r="D113" i="28"/>
  <c r="D112" i="28"/>
  <c r="C3" i="28"/>
  <c r="C122" i="28"/>
  <c r="C64" i="28"/>
  <c r="C111" i="28"/>
  <c r="C117" i="28"/>
  <c r="C106" i="28"/>
  <c r="D121" i="28"/>
  <c r="D24" i="28"/>
  <c r="D25" i="28"/>
  <c r="D21" i="28"/>
  <c r="D88" i="28"/>
  <c r="C101" i="28"/>
  <c r="C78" i="28"/>
  <c r="C71" i="28"/>
  <c r="D9" i="28"/>
  <c r="C73" i="28"/>
  <c r="D18" i="28"/>
  <c r="C123" i="28"/>
  <c r="C57" i="28"/>
  <c r="C126" i="28"/>
  <c r="C47" i="28"/>
  <c r="C91" i="28"/>
  <c r="D4" i="28"/>
  <c r="C59" i="28"/>
  <c r="D51" i="28"/>
  <c r="C14" i="28"/>
  <c r="C25" i="28"/>
  <c r="D77" i="28"/>
  <c r="C104" i="28"/>
  <c r="D56" i="28"/>
  <c r="D117" i="28"/>
  <c r="D38" i="28"/>
  <c r="C125" i="28"/>
  <c r="C77" i="28"/>
  <c r="D100" i="28"/>
  <c r="D20" i="28"/>
  <c r="B112" i="28"/>
  <c r="B122" i="28"/>
  <c r="B118" i="28"/>
  <c r="B56" i="28"/>
  <c r="B88" i="28"/>
  <c r="B71" i="28"/>
  <c r="B82" i="28"/>
  <c r="B22" i="28"/>
  <c r="B39" i="28"/>
  <c r="B63" i="28"/>
  <c r="B102" i="28"/>
  <c r="B66" i="28"/>
  <c r="B108" i="28"/>
  <c r="B110" i="28"/>
  <c r="B86" i="28"/>
  <c r="B21" i="28"/>
  <c r="B23" i="28"/>
  <c r="B34" i="28"/>
  <c r="B117" i="28"/>
  <c r="B77" i="28"/>
  <c r="B99" i="28"/>
  <c r="B92" i="28"/>
  <c r="B40" i="28"/>
  <c r="B61" i="28"/>
  <c r="B48" i="28"/>
  <c r="B74" i="28"/>
  <c r="B81" i="28"/>
  <c r="B120" i="28"/>
  <c r="B98" i="28"/>
  <c r="B106" i="28"/>
  <c r="B97" i="28"/>
  <c r="B43" i="28"/>
  <c r="B65" i="28"/>
  <c r="B30" i="28"/>
  <c r="B94" i="28"/>
  <c r="B83" i="28"/>
  <c r="B53" i="28"/>
  <c r="B85" i="28"/>
  <c r="B80" i="28"/>
  <c r="B20" i="28"/>
  <c r="B123" i="28"/>
  <c r="B96" i="28"/>
  <c r="B87" i="28"/>
  <c r="B26" i="28"/>
  <c r="B38" i="28"/>
  <c r="B119" i="28"/>
  <c r="B124" i="28"/>
  <c r="B32" i="28"/>
  <c r="B50" i="28"/>
  <c r="B46" i="28"/>
  <c r="B55" i="28"/>
  <c r="B15" i="28"/>
  <c r="B67" i="28"/>
  <c r="B68" i="28"/>
  <c r="B114" i="28"/>
  <c r="B29" i="28"/>
  <c r="B25" i="28"/>
  <c r="B105" i="28"/>
  <c r="B42" i="28"/>
  <c r="B18" i="28"/>
  <c r="B31" i="28"/>
  <c r="B91" i="28"/>
  <c r="B107" i="28"/>
  <c r="B27" i="28"/>
  <c r="B41" i="28"/>
  <c r="B78" i="28"/>
  <c r="B28" i="28"/>
  <c r="B113" i="28"/>
  <c r="B103" i="28"/>
  <c r="B90" i="28"/>
  <c r="B57" i="28"/>
  <c r="B59" i="28"/>
  <c r="B51" i="28"/>
  <c r="B54" i="28"/>
  <c r="B16" i="28"/>
  <c r="B111" i="28"/>
  <c r="B95" i="28"/>
  <c r="B37" i="28"/>
  <c r="B125" i="28"/>
  <c r="B35" i="28"/>
  <c r="B72" i="28"/>
  <c r="B100" i="28"/>
  <c r="B76" i="28"/>
  <c r="B116" i="28"/>
  <c r="B36" i="28"/>
  <c r="B104" i="28"/>
  <c r="B17" i="28"/>
  <c r="B47" i="28"/>
  <c r="B93" i="28"/>
  <c r="B126" i="28"/>
  <c r="B14" i="28"/>
  <c r="B33" i="28"/>
  <c r="B84" i="28"/>
  <c r="B44" i="28"/>
  <c r="B101" i="28"/>
  <c r="B62" i="28"/>
  <c r="B52" i="28"/>
  <c r="B89" i="28"/>
  <c r="B109" i="28"/>
  <c r="B58" i="28"/>
  <c r="B24" i="28"/>
  <c r="B69" i="28"/>
  <c r="B75" i="28"/>
  <c r="B45" i="28"/>
  <c r="B19" i="28"/>
  <c r="B121" i="28"/>
  <c r="B70" i="28"/>
  <c r="B73" i="28"/>
  <c r="B60" i="28"/>
  <c r="B115" i="28"/>
  <c r="B49" i="28"/>
  <c r="B79" i="28"/>
  <c r="B64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D114" i="30"/>
  <c r="D77" i="30"/>
  <c r="C105" i="30"/>
  <c r="D41" i="30"/>
  <c r="D106" i="30"/>
  <c r="D68" i="30"/>
  <c r="C60" i="30"/>
  <c r="D74" i="30"/>
  <c r="C45" i="30"/>
  <c r="D46" i="30"/>
  <c r="D15" i="30"/>
  <c r="C92" i="30"/>
  <c r="C14" i="30"/>
  <c r="C3" i="30"/>
  <c r="C62" i="30"/>
  <c r="D37" i="30"/>
  <c r="D107" i="30"/>
  <c r="D13" i="30"/>
  <c r="D45" i="30"/>
  <c r="D60" i="30"/>
  <c r="C63" i="30"/>
  <c r="C110" i="30"/>
  <c r="C94" i="30"/>
  <c r="C31" i="30"/>
  <c r="D51" i="30"/>
  <c r="C117" i="30"/>
  <c r="C112" i="30"/>
  <c r="D55" i="30"/>
  <c r="C75" i="30"/>
  <c r="C35" i="30"/>
  <c r="D24" i="30"/>
  <c r="D26" i="30"/>
  <c r="D30" i="30"/>
  <c r="C36" i="30"/>
  <c r="D12" i="30"/>
  <c r="D80" i="30"/>
  <c r="D98" i="30"/>
  <c r="D14" i="30"/>
  <c r="C29" i="30"/>
  <c r="C19" i="30"/>
  <c r="C87" i="30"/>
  <c r="D83" i="30"/>
  <c r="D47" i="30"/>
  <c r="D123" i="30"/>
  <c r="D85" i="30"/>
  <c r="D11" i="30"/>
  <c r="C32" i="30"/>
  <c r="D112" i="30"/>
  <c r="D54" i="30"/>
  <c r="D72" i="30"/>
  <c r="C55" i="30"/>
  <c r="C8" i="30"/>
  <c r="C84" i="30"/>
  <c r="C52" i="30"/>
  <c r="C70" i="30"/>
  <c r="C23" i="30"/>
  <c r="D116" i="30"/>
  <c r="D91" i="30"/>
  <c r="C73" i="30"/>
  <c r="C51" i="30"/>
  <c r="D48" i="30"/>
  <c r="C11" i="30"/>
  <c r="C46" i="30"/>
  <c r="D126" i="30"/>
  <c r="D28" i="30"/>
  <c r="C78" i="30"/>
  <c r="C71" i="30"/>
  <c r="C5" i="30"/>
  <c r="D104" i="30"/>
  <c r="C113" i="30"/>
  <c r="D63" i="30"/>
  <c r="C64" i="30"/>
  <c r="C17" i="30"/>
  <c r="C44" i="30"/>
  <c r="C122" i="30"/>
  <c r="D53" i="30"/>
  <c r="C13" i="30"/>
  <c r="C83" i="30"/>
  <c r="D38" i="30"/>
  <c r="D118" i="30"/>
  <c r="D121" i="30"/>
  <c r="C27" i="30"/>
  <c r="C43" i="30"/>
  <c r="D25" i="30"/>
  <c r="D4" i="30"/>
  <c r="C98" i="30"/>
  <c r="C74" i="30"/>
  <c r="D33" i="4"/>
  <c r="C59" i="30"/>
  <c r="H33" i="28"/>
  <c r="D66" i="30"/>
  <c r="H25" i="28"/>
  <c r="H32" i="28"/>
  <c r="C38" i="30"/>
  <c r="C116" i="30"/>
  <c r="D103" i="30"/>
  <c r="K46" i="28"/>
  <c r="K12" i="28"/>
  <c r="K51" i="28"/>
  <c r="K29" i="28"/>
  <c r="H30" i="28"/>
  <c r="H45" i="28"/>
  <c r="K5" i="28"/>
  <c r="K28" i="28"/>
  <c r="K37" i="28"/>
  <c r="H50" i="28"/>
  <c r="I5" i="28"/>
  <c r="D73" i="30"/>
  <c r="C69" i="30"/>
  <c r="D8" i="30"/>
  <c r="D95" i="30"/>
  <c r="D97" i="30"/>
  <c r="C24" i="30"/>
  <c r="D32" i="30"/>
  <c r="D57" i="30"/>
  <c r="C21" i="30"/>
  <c r="D120" i="30"/>
  <c r="C121" i="30"/>
  <c r="C89" i="30"/>
  <c r="C67" i="30"/>
  <c r="D58" i="30"/>
  <c r="D5" i="30"/>
  <c r="C106" i="30"/>
  <c r="D33" i="30"/>
  <c r="C93" i="30"/>
  <c r="D100" i="30"/>
  <c r="D6" i="30"/>
  <c r="D110" i="30"/>
  <c r="C34" i="30"/>
  <c r="D29" i="30"/>
  <c r="D92" i="30"/>
  <c r="C15" i="30"/>
  <c r="C86" i="30"/>
  <c r="H2" i="28"/>
  <c r="C99" i="30"/>
  <c r="H11" i="28"/>
  <c r="D93" i="30"/>
  <c r="D113" i="30"/>
  <c r="H3" i="28"/>
  <c r="H13" i="28"/>
  <c r="H28" i="28"/>
  <c r="H40" i="28"/>
  <c r="K47" i="28"/>
  <c r="I12" i="28"/>
  <c r="I28" i="28"/>
  <c r="I29" i="28"/>
  <c r="C7" i="30"/>
  <c r="C30" i="30"/>
  <c r="D20" i="30"/>
  <c r="C33" i="30"/>
  <c r="C119" i="30"/>
  <c r="C88" i="30"/>
  <c r="C12" i="30"/>
  <c r="D84" i="30"/>
  <c r="D10" i="30"/>
  <c r="D99" i="30"/>
  <c r="D31" i="30"/>
  <c r="C102" i="30"/>
  <c r="D42" i="30"/>
  <c r="D9" i="30"/>
  <c r="C82" i="30"/>
  <c r="D94" i="30"/>
  <c r="D88" i="30"/>
  <c r="D23" i="30"/>
  <c r="D44" i="30"/>
  <c r="C40" i="30"/>
  <c r="D43" i="30"/>
  <c r="D61" i="30"/>
  <c r="D124" i="30"/>
  <c r="C118" i="30"/>
  <c r="K23" i="28"/>
  <c r="I23" i="28" s="1"/>
  <c r="C111" i="30"/>
  <c r="K50" i="28"/>
  <c r="I50" i="28" s="1"/>
  <c r="K33" i="28"/>
  <c r="I33" i="28" s="1"/>
  <c r="K30" i="28"/>
  <c r="K49" i="28"/>
  <c r="H26" i="28"/>
  <c r="D122" i="30"/>
  <c r="C103" i="30"/>
  <c r="D119" i="30"/>
  <c r="D102" i="30"/>
  <c r="D125" i="30"/>
  <c r="C6" i="30"/>
  <c r="K53" i="28"/>
  <c r="C10" i="30"/>
  <c r="D17" i="30"/>
  <c r="D7" i="30"/>
  <c r="C61" i="30"/>
  <c r="C42" i="30"/>
  <c r="D18" i="30"/>
  <c r="C115" i="30"/>
  <c r="D59" i="30"/>
  <c r="C41" i="30"/>
  <c r="D62" i="30"/>
  <c r="C80" i="30"/>
  <c r="D78" i="30"/>
  <c r="H22" i="28"/>
  <c r="C20" i="30"/>
  <c r="D76" i="30"/>
  <c r="K45" i="28"/>
  <c r="I45" i="28" s="1"/>
  <c r="K41" i="28"/>
  <c r="I41" i="28" s="1"/>
  <c r="K55" i="28"/>
  <c r="H24" i="28"/>
  <c r="H8" i="28"/>
  <c r="I30" i="28"/>
  <c r="C81" i="30"/>
  <c r="C48" i="30"/>
  <c r="H5" i="28"/>
  <c r="H4" i="28"/>
  <c r="C26" i="30"/>
  <c r="C79" i="30"/>
  <c r="D16" i="30"/>
  <c r="H39" i="28"/>
  <c r="H38" i="28"/>
  <c r="I51" i="28"/>
  <c r="I49" i="28"/>
  <c r="I37" i="4"/>
  <c r="C125" i="30"/>
  <c r="H31" i="28"/>
  <c r="K31" i="28"/>
  <c r="C37" i="30"/>
  <c r="C114" i="30"/>
  <c r="D71" i="30"/>
  <c r="C39" i="30"/>
  <c r="H46" i="28"/>
  <c r="I47" i="28"/>
  <c r="C97" i="30"/>
  <c r="C53" i="30"/>
  <c r="D82" i="30"/>
  <c r="K8" i="28"/>
  <c r="I8" i="28" s="1"/>
  <c r="H41" i="28"/>
  <c r="K7" i="28"/>
  <c r="I53" i="28"/>
  <c r="D101" i="30"/>
  <c r="C9" i="30"/>
  <c r="C90" i="30"/>
  <c r="H6" i="28"/>
  <c r="H44" i="28"/>
  <c r="K52" i="28"/>
  <c r="C28" i="30"/>
  <c r="D49" i="30"/>
  <c r="D35" i="30"/>
  <c r="D34" i="30"/>
  <c r="C25" i="30"/>
  <c r="D109" i="30"/>
  <c r="D89" i="30"/>
  <c r="D21" i="30"/>
  <c r="D38" i="4"/>
  <c r="C120" i="30"/>
  <c r="C50" i="30"/>
  <c r="C96" i="30"/>
  <c r="C108" i="30"/>
  <c r="H34" i="28"/>
  <c r="K27" i="28"/>
  <c r="I27" i="28" s="1"/>
  <c r="K39" i="28"/>
  <c r="I39" i="28" s="1"/>
  <c r="H9" i="28"/>
  <c r="H51" i="28"/>
  <c r="I37" i="28"/>
  <c r="D3" i="30"/>
  <c r="K24" i="28"/>
  <c r="K32" i="28"/>
  <c r="I32" i="28" s="1"/>
  <c r="K2" i="28"/>
  <c r="I2" i="28" s="1"/>
  <c r="I46" i="28"/>
  <c r="I7" i="28"/>
  <c r="C109" i="30"/>
  <c r="C68" i="30"/>
  <c r="D27" i="30"/>
  <c r="D69" i="30"/>
  <c r="K44" i="28"/>
  <c r="I44" i="28" s="1"/>
  <c r="K42" i="28"/>
  <c r="I42" i="28" s="1"/>
  <c r="D86" i="30"/>
  <c r="C49" i="30"/>
  <c r="C47" i="30"/>
  <c r="C104" i="30"/>
  <c r="D81" i="30"/>
  <c r="K9" i="28"/>
  <c r="I9" i="28" s="1"/>
  <c r="H47" i="28"/>
  <c r="D36" i="30"/>
  <c r="C56" i="30"/>
  <c r="C18" i="30"/>
  <c r="C100" i="30"/>
  <c r="D117" i="30"/>
  <c r="K48" i="28"/>
  <c r="H20" i="28"/>
  <c r="I24" i="28"/>
  <c r="C76" i="30"/>
  <c r="C66" i="30"/>
  <c r="D87" i="30"/>
  <c r="H10" i="28"/>
  <c r="H21" i="28"/>
  <c r="C123" i="30"/>
  <c r="D67" i="30"/>
  <c r="C85" i="30"/>
  <c r="D52" i="30"/>
  <c r="K19" i="28"/>
  <c r="I19" i="28" s="1"/>
  <c r="H27" i="28"/>
  <c r="C77" i="30"/>
  <c r="C58" i="30"/>
  <c r="D79" i="30"/>
  <c r="C4" i="30"/>
  <c r="C72" i="30"/>
  <c r="C22" i="30"/>
  <c r="C107" i="30"/>
  <c r="D108" i="30"/>
  <c r="D39" i="30"/>
  <c r="D70" i="30"/>
  <c r="D111" i="30"/>
  <c r="D75" i="30"/>
  <c r="D115" i="30"/>
  <c r="C91" i="30"/>
  <c r="C101" i="30"/>
  <c r="C65" i="30"/>
  <c r="K25" i="28"/>
  <c r="I25" i="28" s="1"/>
  <c r="I31" i="28"/>
  <c r="D19" i="30"/>
  <c r="C95" i="30"/>
  <c r="D65" i="30"/>
  <c r="D22" i="30"/>
  <c r="D90" i="30"/>
  <c r="K4" i="28"/>
  <c r="I4" i="28" s="1"/>
  <c r="K10" i="28"/>
  <c r="I10" i="28"/>
  <c r="C126" i="30"/>
  <c r="C57" i="30"/>
  <c r="C16" i="30"/>
  <c r="D105" i="30"/>
  <c r="H54" i="28"/>
  <c r="H23" i="28"/>
  <c r="I48" i="28"/>
  <c r="D56" i="30"/>
  <c r="D40" i="30"/>
  <c r="D96" i="30"/>
  <c r="D50" i="30"/>
  <c r="H42" i="28"/>
  <c r="K34" i="28"/>
  <c r="I34" i="28" s="1"/>
  <c r="I55" i="28"/>
  <c r="C124" i="30"/>
  <c r="D64" i="30"/>
  <c r="C54" i="30"/>
  <c r="H53" i="28"/>
  <c r="K40" i="28"/>
  <c r="I40" i="28" s="1"/>
  <c r="I52" i="28"/>
  <c r="B51" i="30"/>
  <c r="B77" i="30"/>
  <c r="B94" i="30"/>
  <c r="B80" i="30"/>
  <c r="B40" i="30"/>
  <c r="B49" i="30"/>
  <c r="B55" i="30"/>
  <c r="B86" i="30"/>
  <c r="B69" i="30"/>
  <c r="B104" i="30"/>
  <c r="B32" i="30"/>
  <c r="B73" i="30"/>
  <c r="B119" i="30"/>
  <c r="B110" i="30"/>
  <c r="B54" i="30"/>
  <c r="B103" i="30"/>
  <c r="B78" i="30"/>
  <c r="B84" i="30"/>
  <c r="B111" i="30"/>
  <c r="B25" i="30"/>
  <c r="B35" i="30"/>
  <c r="B96" i="30"/>
  <c r="B71" i="30"/>
  <c r="B68" i="30"/>
  <c r="B99" i="30"/>
  <c r="B52" i="30"/>
  <c r="B97" i="30"/>
  <c r="B91" i="30"/>
  <c r="B122" i="30"/>
  <c r="B123" i="30"/>
  <c r="B76" i="30"/>
  <c r="B60" i="30"/>
  <c r="B98" i="30"/>
  <c r="B56" i="30"/>
  <c r="B113" i="30"/>
  <c r="B89" i="30"/>
  <c r="B115" i="30"/>
  <c r="B66" i="30"/>
  <c r="B81" i="30"/>
  <c r="B28" i="30"/>
  <c r="B34" i="30"/>
  <c r="B102" i="30"/>
  <c r="B27" i="30"/>
  <c r="B63" i="30"/>
  <c r="B46" i="30"/>
  <c r="B26" i="30"/>
  <c r="B93" i="30"/>
  <c r="B38" i="30"/>
  <c r="B33" i="30"/>
  <c r="B45" i="30"/>
  <c r="B109" i="30"/>
  <c r="B30" i="30"/>
  <c r="B31" i="30"/>
  <c r="B121" i="30"/>
  <c r="B105" i="30"/>
  <c r="B48" i="30"/>
  <c r="B41" i="30"/>
  <c r="B106" i="30"/>
  <c r="B57" i="30"/>
  <c r="B61" i="30"/>
  <c r="B126" i="30"/>
  <c r="B53" i="30"/>
  <c r="B47" i="30"/>
  <c r="B70" i="30"/>
  <c r="B100" i="30"/>
  <c r="B79" i="30"/>
  <c r="B59" i="30"/>
  <c r="B117" i="30"/>
  <c r="B75" i="30"/>
  <c r="B90" i="30"/>
  <c r="B120" i="30"/>
  <c r="B58" i="30"/>
  <c r="B65" i="30"/>
  <c r="B43" i="30"/>
  <c r="B62" i="30"/>
  <c r="B39" i="30"/>
  <c r="B114" i="30"/>
  <c r="B74" i="30"/>
  <c r="B44" i="30"/>
  <c r="B83" i="30"/>
  <c r="B87" i="30"/>
  <c r="B95" i="30"/>
  <c r="B37" i="30"/>
  <c r="B29" i="30"/>
  <c r="B50" i="30"/>
  <c r="B88" i="30"/>
  <c r="B64" i="30"/>
  <c r="B67" i="30"/>
  <c r="B118" i="30"/>
  <c r="B107" i="30"/>
  <c r="B101" i="30"/>
  <c r="B36" i="30"/>
  <c r="B82" i="30"/>
  <c r="B125" i="30"/>
  <c r="B42" i="30"/>
  <c r="B92" i="30"/>
  <c r="B85" i="30"/>
  <c r="B124" i="30"/>
  <c r="B72" i="30"/>
  <c r="B116" i="30"/>
  <c r="B112" i="30"/>
  <c r="B108" i="30"/>
  <c r="K38" i="28"/>
  <c r="I38" i="28" s="1"/>
  <c r="K21" i="28"/>
  <c r="I21" i="28" s="1"/>
  <c r="H35" i="28"/>
  <c r="H7" i="28"/>
  <c r="K13" i="28"/>
  <c r="I13" i="28" s="1"/>
  <c r="H12" i="28"/>
  <c r="K54" i="28"/>
  <c r="I54" i="28" s="1"/>
  <c r="H52" i="28"/>
  <c r="H29" i="28"/>
  <c r="H49" i="28"/>
  <c r="K6" i="28"/>
  <c r="I6" i="28" s="1"/>
  <c r="H48" i="28"/>
  <c r="H19" i="28"/>
  <c r="H43" i="28"/>
  <c r="K43" i="28"/>
  <c r="I43" i="28" s="1"/>
  <c r="K36" i="28"/>
  <c r="I36" i="28" s="1"/>
  <c r="K11" i="28"/>
  <c r="I11" i="28" s="1"/>
  <c r="H36" i="28"/>
  <c r="K35" i="28"/>
  <c r="I35" i="28" s="1"/>
  <c r="K20" i="28"/>
  <c r="I20" i="28" s="1"/>
  <c r="K26" i="28"/>
  <c r="I26" i="28" s="1"/>
  <c r="H37" i="28"/>
  <c r="K3" i="28"/>
  <c r="I3" i="28" s="1"/>
  <c r="H55" i="28"/>
  <c r="K22" i="28"/>
  <c r="I22" i="28" s="1"/>
  <c r="I33" i="4"/>
  <c r="K32" i="30"/>
  <c r="I32" i="30" s="1"/>
  <c r="K37" i="30"/>
  <c r="I37" i="30" s="1"/>
  <c r="K34" i="30"/>
  <c r="I34" i="30" s="1"/>
  <c r="K11" i="30"/>
  <c r="I11" i="30" s="1"/>
  <c r="K25" i="30"/>
  <c r="I25" i="30" s="1"/>
  <c r="H10" i="30"/>
  <c r="H6" i="30"/>
  <c r="H30" i="30"/>
  <c r="H9" i="30"/>
  <c r="K2" i="30"/>
  <c r="I2" i="30" s="1"/>
  <c r="K29" i="30"/>
  <c r="I29" i="30" s="1"/>
  <c r="H25" i="30"/>
  <c r="K28" i="30"/>
  <c r="I28" i="30" s="1"/>
  <c r="K8" i="30"/>
  <c r="I8" i="30" s="1"/>
  <c r="K36" i="30"/>
  <c r="I36" i="30" s="1"/>
  <c r="H34" i="30"/>
  <c r="H8" i="30"/>
  <c r="H29" i="30"/>
  <c r="H2" i="30"/>
  <c r="H3" i="30"/>
  <c r="K38" i="30"/>
  <c r="I38" i="30" s="1"/>
  <c r="K33" i="30"/>
  <c r="I33" i="30" s="1"/>
  <c r="H31" i="30"/>
  <c r="K35" i="30"/>
  <c r="I35" i="30" s="1"/>
  <c r="H33" i="30"/>
  <c r="H37" i="30"/>
  <c r="K6" i="30"/>
  <c r="I6" i="30" s="1"/>
  <c r="H35" i="30"/>
  <c r="K27" i="30"/>
  <c r="I27" i="30" s="1"/>
  <c r="K24" i="30"/>
  <c r="I24" i="30" s="1"/>
  <c r="H26" i="30"/>
  <c r="H5" i="30"/>
  <c r="H14" i="30"/>
  <c r="H7" i="30"/>
  <c r="K13" i="30"/>
  <c r="I13" i="30" s="1"/>
  <c r="K3" i="30"/>
  <c r="I3" i="30" s="1"/>
  <c r="H24" i="30"/>
  <c r="K14" i="30"/>
  <c r="I14" i="30" s="1"/>
  <c r="H4" i="30"/>
  <c r="K7" i="30"/>
  <c r="I7" i="30" s="1"/>
  <c r="K31" i="30"/>
  <c r="I31" i="30" s="1"/>
  <c r="K26" i="30"/>
  <c r="H32" i="30"/>
  <c r="H36" i="30"/>
  <c r="H12" i="30"/>
  <c r="H13" i="30"/>
  <c r="K30" i="30"/>
  <c r="I30" i="30" s="1"/>
  <c r="H11" i="30"/>
  <c r="H38" i="30"/>
  <c r="H28" i="30"/>
  <c r="H27" i="30"/>
  <c r="K5" i="30"/>
  <c r="I5" i="30" s="1"/>
  <c r="K10" i="30"/>
  <c r="I10" i="30" s="1"/>
  <c r="K9" i="30"/>
  <c r="I9" i="30" s="1"/>
  <c r="K12" i="30"/>
  <c r="I12" i="30" s="1"/>
  <c r="K4" i="30"/>
  <c r="I4" i="30" s="1"/>
  <c r="I26" i="30"/>
  <c r="I38" i="4"/>
  <c r="O8" i="25"/>
  <c r="O15" i="25"/>
  <c r="O14" i="25"/>
  <c r="O12" i="25"/>
  <c r="O22" i="25"/>
  <c r="O16" i="25"/>
  <c r="O21" i="25"/>
  <c r="O10" i="25"/>
  <c r="O9" i="25"/>
  <c r="O17" i="25"/>
  <c r="O19" i="25"/>
  <c r="O13" i="25"/>
  <c r="O20" i="25"/>
  <c r="O11" i="25"/>
  <c r="P8" i="25" s="1"/>
  <c r="O24" i="25"/>
  <c r="O18" i="25"/>
  <c r="O23" i="25"/>
  <c r="O55" i="25" l="1"/>
  <c r="O53" i="25"/>
  <c r="O43" i="25"/>
  <c r="O46" i="25"/>
  <c r="O54" i="25"/>
  <c r="O5" i="25"/>
  <c r="O45" i="25"/>
  <c r="O40" i="25"/>
  <c r="O3" i="25"/>
  <c r="O44" i="25"/>
  <c r="O51" i="25"/>
  <c r="O48" i="25"/>
  <c r="O42" i="25"/>
  <c r="O52" i="25"/>
  <c r="O7" i="25"/>
  <c r="O47" i="25"/>
  <c r="O41" i="25"/>
  <c r="O4" i="25"/>
  <c r="O49" i="25"/>
  <c r="O6" i="25"/>
  <c r="O50" i="25"/>
  <c r="I21" i="4" l="1"/>
  <c r="L3" i="30"/>
  <c r="L13" i="30"/>
  <c r="H7" i="12"/>
  <c r="G12" i="31"/>
  <c r="B5" i="28"/>
  <c r="G36" i="31"/>
  <c r="H13" i="12"/>
  <c r="L4" i="30"/>
  <c r="G24" i="31"/>
  <c r="B7" i="28"/>
  <c r="B127" i="28"/>
  <c r="B4" i="30"/>
  <c r="H2" i="12"/>
  <c r="H6" i="12"/>
  <c r="H14" i="12"/>
  <c r="B10" i="28"/>
  <c r="H10" i="12"/>
  <c r="B21" i="30"/>
  <c r="L12" i="28"/>
  <c r="L36" i="12"/>
  <c r="G8" i="31"/>
  <c r="L7" i="28"/>
  <c r="G3" i="12"/>
  <c r="H24" i="12"/>
  <c r="G23" i="12"/>
  <c r="G20" i="31"/>
  <c r="G21" i="31"/>
  <c r="G11" i="31"/>
  <c r="B11" i="30"/>
  <c r="B16" i="30"/>
  <c r="G25" i="12"/>
  <c r="G9" i="31"/>
  <c r="L11" i="30"/>
  <c r="B6" i="28"/>
  <c r="H3" i="12"/>
  <c r="H27" i="12"/>
  <c r="G14" i="12"/>
  <c r="H11" i="12"/>
  <c r="G37" i="31"/>
  <c r="L9" i="28"/>
  <c r="G18" i="31"/>
  <c r="G15" i="12"/>
  <c r="L14" i="30"/>
  <c r="H16" i="12"/>
  <c r="L8" i="30"/>
  <c r="B8" i="28"/>
  <c r="L45" i="12"/>
  <c r="B10" i="30"/>
  <c r="L41" i="12"/>
  <c r="G38" i="31"/>
  <c r="G20" i="12"/>
  <c r="L12" i="30"/>
  <c r="L40" i="12"/>
  <c r="H22" i="12"/>
  <c r="H12" i="12"/>
  <c r="G6" i="31"/>
  <c r="G13" i="31"/>
  <c r="B3" i="30"/>
  <c r="G27" i="31"/>
  <c r="G11" i="12"/>
  <c r="G29" i="31"/>
  <c r="L43" i="12"/>
  <c r="L49" i="12"/>
  <c r="G16" i="31"/>
  <c r="G15" i="31"/>
  <c r="B12" i="28"/>
  <c r="G26" i="31"/>
  <c r="B3" i="28"/>
  <c r="G26" i="12"/>
  <c r="H15" i="12"/>
  <c r="L37" i="12"/>
  <c r="G25" i="31"/>
  <c r="H21" i="12"/>
  <c r="B24" i="30"/>
  <c r="L10" i="30"/>
  <c r="G32" i="31"/>
  <c r="G34" i="31"/>
  <c r="L6" i="30"/>
  <c r="B18" i="30"/>
  <c r="B127" i="30"/>
  <c r="L6" i="28"/>
  <c r="B19" i="30"/>
  <c r="E2" i="28" a="1"/>
  <c r="L42" i="12"/>
  <c r="G39" i="31"/>
  <c r="H4" i="12"/>
  <c r="G27" i="12"/>
  <c r="G13" i="12"/>
  <c r="L10" i="28"/>
  <c r="B23" i="30"/>
  <c r="G35" i="31"/>
  <c r="B13" i="30"/>
  <c r="L7" i="30"/>
  <c r="B6" i="30"/>
  <c r="B4" i="28"/>
  <c r="B5" i="30"/>
  <c r="L47" i="12"/>
  <c r="B9" i="28"/>
  <c r="B22" i="30"/>
  <c r="L39" i="12"/>
  <c r="G10" i="31"/>
  <c r="L11" i="28"/>
  <c r="B7" i="30"/>
  <c r="G21" i="12"/>
  <c r="G31" i="31"/>
  <c r="B14" i="30"/>
  <c r="G23" i="31"/>
  <c r="L5" i="28"/>
  <c r="B13" i="28"/>
  <c r="G24" i="12"/>
  <c r="G19" i="31"/>
  <c r="L2" i="30"/>
  <c r="L48" i="12"/>
  <c r="B20" i="30"/>
  <c r="H26" i="12"/>
  <c r="E2" i="30" a="1"/>
  <c r="L3" i="28"/>
  <c r="G2" i="31"/>
  <c r="G4" i="31"/>
  <c r="L35" i="12"/>
  <c r="G17" i="31"/>
  <c r="G28" i="31"/>
  <c r="B12" i="30"/>
  <c r="G5" i="31"/>
  <c r="B9" i="30"/>
  <c r="G30" i="31"/>
  <c r="G3" i="31"/>
  <c r="B11" i="28"/>
  <c r="L2" i="28"/>
  <c r="G12" i="12"/>
  <c r="G16" i="12"/>
  <c r="G2" i="12"/>
  <c r="G33" i="31"/>
  <c r="L44" i="12"/>
  <c r="G5" i="12"/>
  <c r="G6" i="12"/>
  <c r="G19" i="12"/>
  <c r="L4" i="28"/>
  <c r="H25" i="12"/>
  <c r="H20" i="12"/>
  <c r="L8" i="28"/>
  <c r="B15" i="30"/>
  <c r="G7" i="12"/>
  <c r="G22" i="12"/>
  <c r="G10" i="12"/>
  <c r="L5" i="30"/>
  <c r="G14" i="31"/>
  <c r="L38" i="12"/>
  <c r="H23" i="12"/>
  <c r="B8" i="30"/>
  <c r="H19" i="12"/>
  <c r="B17" i="30"/>
  <c r="G22" i="31"/>
  <c r="L9" i="30"/>
  <c r="G7" i="31"/>
  <c r="L13" i="28"/>
  <c r="L46" i="12"/>
  <c r="P15" i="25"/>
  <c r="P40" i="25"/>
  <c r="M40" i="28"/>
  <c r="M27" i="28"/>
  <c r="M8" i="28"/>
  <c r="I10" i="12" l="1"/>
  <c r="I22" i="12"/>
  <c r="I7" i="12"/>
  <c r="J7" i="12" s="1"/>
  <c r="I19" i="12"/>
  <c r="I6" i="12"/>
  <c r="G4" i="12"/>
  <c r="I4" i="12" s="1"/>
  <c r="I2" i="12"/>
  <c r="I16" i="12"/>
  <c r="J16" i="12" s="1"/>
  <c r="I12" i="12"/>
  <c r="L34" i="12"/>
  <c r="E71" i="30"/>
  <c r="E77" i="30"/>
  <c r="E97" i="30"/>
  <c r="E32" i="30"/>
  <c r="E76" i="30"/>
  <c r="E26" i="30"/>
  <c r="E99" i="30"/>
  <c r="E47" i="30"/>
  <c r="E78" i="30"/>
  <c r="E98" i="30"/>
  <c r="E18" i="30"/>
  <c r="E3" i="30"/>
  <c r="E22" i="30"/>
  <c r="E91" i="30"/>
  <c r="E49" i="30"/>
  <c r="E19" i="30"/>
  <c r="E10" i="30"/>
  <c r="E60" i="30"/>
  <c r="E45" i="30"/>
  <c r="E123" i="30"/>
  <c r="E84" i="30"/>
  <c r="E93" i="30"/>
  <c r="E101" i="30"/>
  <c r="E50" i="30"/>
  <c r="E11" i="30"/>
  <c r="E21" i="30"/>
  <c r="E51" i="30"/>
  <c r="E126" i="30"/>
  <c r="E86" i="30"/>
  <c r="E16" i="30"/>
  <c r="E36" i="30"/>
  <c r="E125" i="30"/>
  <c r="E114" i="30"/>
  <c r="E104" i="30"/>
  <c r="E57" i="30"/>
  <c r="E83" i="30"/>
  <c r="E68" i="30"/>
  <c r="E80" i="30"/>
  <c r="E92" i="30"/>
  <c r="E41" i="30"/>
  <c r="E37" i="30"/>
  <c r="E34" i="30"/>
  <c r="E24" i="30"/>
  <c r="E74" i="30"/>
  <c r="E120" i="30"/>
  <c r="E90" i="30"/>
  <c r="E94" i="30"/>
  <c r="E72" i="30"/>
  <c r="E28" i="30"/>
  <c r="E30" i="30"/>
  <c r="E52" i="30"/>
  <c r="E4" i="30"/>
  <c r="E43" i="30"/>
  <c r="E5" i="30"/>
  <c r="E59" i="30"/>
  <c r="E48" i="30"/>
  <c r="E14" i="30"/>
  <c r="E17" i="30"/>
  <c r="E15" i="30"/>
  <c r="E9" i="30"/>
  <c r="E6" i="30"/>
  <c r="E118" i="30"/>
  <c r="E56" i="30"/>
  <c r="E121" i="30"/>
  <c r="E111" i="30"/>
  <c r="E103" i="30"/>
  <c r="E64" i="30"/>
  <c r="E40" i="30"/>
  <c r="E63" i="30"/>
  <c r="E66" i="30"/>
  <c r="E38" i="30"/>
  <c r="E31" i="30"/>
  <c r="E69" i="30"/>
  <c r="E25" i="30"/>
  <c r="E85" i="30"/>
  <c r="E33" i="30"/>
  <c r="E8" i="30"/>
  <c r="E119" i="30"/>
  <c r="E100" i="30"/>
  <c r="E109" i="30"/>
  <c r="E117" i="30"/>
  <c r="E23" i="30"/>
  <c r="E89" i="30"/>
  <c r="E55" i="30"/>
  <c r="E53" i="30"/>
  <c r="E46" i="30"/>
  <c r="E61" i="30"/>
  <c r="E62" i="30"/>
  <c r="E107" i="30"/>
  <c r="E67" i="30"/>
  <c r="E81" i="30"/>
  <c r="E116" i="30"/>
  <c r="E82" i="30"/>
  <c r="E54" i="30"/>
  <c r="E110" i="30"/>
  <c r="E13" i="30"/>
  <c r="E102" i="30"/>
  <c r="E58" i="30"/>
  <c r="E88" i="30"/>
  <c r="E7" i="30"/>
  <c r="E79" i="30"/>
  <c r="E95" i="30"/>
  <c r="E112" i="30"/>
  <c r="E87" i="30"/>
  <c r="E12" i="30"/>
  <c r="E127" i="30"/>
  <c r="E2" i="30"/>
  <c r="E108" i="30"/>
  <c r="E96" i="30"/>
  <c r="E27" i="30"/>
  <c r="E113" i="30"/>
  <c r="E39" i="30"/>
  <c r="E35" i="30"/>
  <c r="E20" i="30"/>
  <c r="E105" i="30"/>
  <c r="E29" i="30"/>
  <c r="E65" i="30"/>
  <c r="E42" i="30"/>
  <c r="E124" i="30"/>
  <c r="E122" i="30"/>
  <c r="E70" i="30"/>
  <c r="E75" i="30"/>
  <c r="E73" i="30"/>
  <c r="E106" i="30"/>
  <c r="E44" i="30"/>
  <c r="E115" i="30"/>
  <c r="I24" i="12"/>
  <c r="I21" i="12"/>
  <c r="I13" i="12"/>
  <c r="I27" i="12"/>
  <c r="E124" i="28"/>
  <c r="E63" i="28"/>
  <c r="E50" i="28"/>
  <c r="E127" i="28"/>
  <c r="E120" i="28"/>
  <c r="E82" i="28"/>
  <c r="E20" i="28"/>
  <c r="E118" i="28"/>
  <c r="E89" i="28"/>
  <c r="E43" i="28"/>
  <c r="E40" i="28"/>
  <c r="E100" i="28"/>
  <c r="E17" i="28"/>
  <c r="E42" i="28"/>
  <c r="E25" i="28"/>
  <c r="E33" i="28"/>
  <c r="E5" i="28"/>
  <c r="E3" i="28"/>
  <c r="E104" i="28"/>
  <c r="E39" i="28"/>
  <c r="E29" i="28"/>
  <c r="E77" i="28"/>
  <c r="E73" i="28"/>
  <c r="E26" i="28"/>
  <c r="E37" i="28"/>
  <c r="E47" i="28"/>
  <c r="E86" i="28"/>
  <c r="E32" i="28"/>
  <c r="E108" i="28"/>
  <c r="E22" i="28"/>
  <c r="E38" i="28"/>
  <c r="E7" i="28"/>
  <c r="E84" i="28"/>
  <c r="E68" i="28"/>
  <c r="E126" i="28"/>
  <c r="E19" i="28"/>
  <c r="E46" i="28"/>
  <c r="E49" i="28"/>
  <c r="E15" i="28"/>
  <c r="E4" i="28"/>
  <c r="E75" i="28"/>
  <c r="E69" i="28"/>
  <c r="E112" i="28"/>
  <c r="E92" i="28"/>
  <c r="E96" i="28"/>
  <c r="E52" i="28"/>
  <c r="E81" i="28"/>
  <c r="E85" i="28"/>
  <c r="E91" i="28"/>
  <c r="E12" i="28"/>
  <c r="E31" i="28"/>
  <c r="E10" i="28"/>
  <c r="E107" i="28"/>
  <c r="E56" i="28"/>
  <c r="E97" i="28"/>
  <c r="E30" i="28"/>
  <c r="E101" i="28"/>
  <c r="E65" i="28"/>
  <c r="E24" i="28"/>
  <c r="E62" i="28"/>
  <c r="E78" i="28"/>
  <c r="E53" i="28"/>
  <c r="E122" i="28"/>
  <c r="E13" i="28"/>
  <c r="E23" i="28"/>
  <c r="E44" i="28"/>
  <c r="E64" i="28"/>
  <c r="E51" i="28"/>
  <c r="E14" i="28"/>
  <c r="E76" i="28"/>
  <c r="E16" i="28"/>
  <c r="E111" i="28"/>
  <c r="E66" i="28"/>
  <c r="E88" i="28"/>
  <c r="E119" i="28"/>
  <c r="E2" i="28"/>
  <c r="E109" i="28"/>
  <c r="E21" i="28"/>
  <c r="E28" i="28"/>
  <c r="E59" i="28"/>
  <c r="E18" i="28"/>
  <c r="E60" i="28"/>
  <c r="E83" i="28"/>
  <c r="E48" i="28"/>
  <c r="E8" i="28"/>
  <c r="E74" i="28"/>
  <c r="E95" i="28"/>
  <c r="E110" i="28"/>
  <c r="E93" i="28"/>
  <c r="E71" i="28"/>
  <c r="E11" i="28"/>
  <c r="E114" i="28"/>
  <c r="E106" i="28"/>
  <c r="E115" i="28"/>
  <c r="E57" i="28"/>
  <c r="E34" i="28"/>
  <c r="E55" i="28"/>
  <c r="E103" i="28"/>
  <c r="E27" i="28"/>
  <c r="E98" i="28"/>
  <c r="E94" i="28"/>
  <c r="E80" i="28"/>
  <c r="E116" i="28"/>
  <c r="E102" i="28"/>
  <c r="E90" i="28"/>
  <c r="E72" i="28"/>
  <c r="E87" i="28"/>
  <c r="E61" i="28"/>
  <c r="E45" i="28"/>
  <c r="E121" i="28"/>
  <c r="E70" i="28"/>
  <c r="E125" i="28"/>
  <c r="E58" i="28"/>
  <c r="E113" i="28"/>
  <c r="E36" i="28"/>
  <c r="E35" i="28"/>
  <c r="E99" i="28"/>
  <c r="E41" i="28"/>
  <c r="E79" i="28"/>
  <c r="E117" i="28"/>
  <c r="E9" i="28"/>
  <c r="E123" i="28"/>
  <c r="E54" i="28"/>
  <c r="E6" i="28"/>
  <c r="E67" i="28"/>
  <c r="E105" i="28"/>
  <c r="I26" i="12"/>
  <c r="J26" i="12" s="1"/>
  <c r="I11" i="12"/>
  <c r="I20" i="12"/>
  <c r="I15" i="12"/>
  <c r="I14" i="12"/>
  <c r="I25" i="12"/>
  <c r="I23" i="12"/>
  <c r="I3" i="12"/>
  <c r="J3" i="12" s="1"/>
  <c r="N8" i="28"/>
  <c r="K27" i="12"/>
  <c r="K4" i="12"/>
  <c r="M5" i="28"/>
  <c r="K3" i="12" l="1"/>
  <c r="N31" i="12"/>
  <c r="K26" i="12"/>
  <c r="Q31" i="12" s="1"/>
  <c r="J4" i="12"/>
  <c r="J23" i="12"/>
  <c r="J11" i="12"/>
  <c r="J21" i="12"/>
  <c r="J24" i="12"/>
  <c r="J19" i="12"/>
  <c r="J14" i="12"/>
  <c r="J9" i="12"/>
  <c r="J12" i="12"/>
  <c r="J22" i="12"/>
  <c r="J27" i="12"/>
  <c r="J18" i="12"/>
  <c r="J10" i="12"/>
  <c r="J13" i="12"/>
  <c r="J20" i="12"/>
  <c r="N5" i="28"/>
  <c r="K11" i="12"/>
  <c r="H31" i="12"/>
  <c r="AB9" i="12" a="1"/>
  <c r="L11" i="12"/>
  <c r="K14" i="12"/>
  <c r="L14" i="12" s="1"/>
  <c r="W9" i="12" a="1"/>
  <c r="X9" i="12" a="1"/>
  <c r="V9" i="12" a="1"/>
  <c r="K12" i="12"/>
  <c r="L12" i="12" s="1"/>
  <c r="K10" i="12"/>
  <c r="L10" i="12" s="1"/>
  <c r="K13" i="12"/>
  <c r="L13" i="12" s="1"/>
  <c r="K23" i="12"/>
  <c r="K21" i="12"/>
  <c r="K24" i="12"/>
  <c r="K19" i="12"/>
  <c r="AB18" i="12" a="1"/>
  <c r="I31" i="12"/>
  <c r="L21" i="12"/>
  <c r="L23" i="12"/>
  <c r="L24" i="12"/>
  <c r="L19" i="12"/>
  <c r="K22" i="12"/>
  <c r="L22" i="12" s="1"/>
  <c r="X18" i="12" a="1"/>
  <c r="V18" i="12" a="1"/>
  <c r="W18" i="12" a="1"/>
  <c r="K20" i="12"/>
  <c r="L20" i="12" s="1"/>
  <c r="M2" i="28"/>
  <c r="W18" i="12" l="1"/>
  <c r="W20" i="12"/>
  <c r="W19" i="12"/>
  <c r="V19" i="12"/>
  <c r="V20" i="12"/>
  <c r="V18" i="12"/>
  <c r="X18" i="12"/>
  <c r="X20" i="12"/>
  <c r="X19" i="12"/>
  <c r="I32" i="12"/>
  <c r="AB20" i="12"/>
  <c r="AB19" i="12"/>
  <c r="AB18" i="12"/>
  <c r="P31" i="12"/>
  <c r="V9" i="12"/>
  <c r="V10" i="12"/>
  <c r="V11" i="12"/>
  <c r="X10" i="12"/>
  <c r="X11" i="12"/>
  <c r="X9" i="12"/>
  <c r="W11" i="12"/>
  <c r="W9" i="12"/>
  <c r="W10" i="12"/>
  <c r="AB11" i="12"/>
  <c r="AB9" i="12"/>
  <c r="AB10" i="12"/>
  <c r="H32" i="12"/>
  <c r="N2" i="28"/>
  <c r="M50" i="28"/>
  <c r="M55" i="28"/>
  <c r="M53" i="28"/>
  <c r="M25" i="28"/>
  <c r="M51" i="28"/>
  <c r="M37" i="30"/>
  <c r="M23" i="28"/>
  <c r="M45" i="28"/>
  <c r="M43" i="28"/>
  <c r="M20" i="28"/>
  <c r="M35" i="28"/>
  <c r="M22" i="28"/>
  <c r="M38" i="28"/>
  <c r="M49" i="28"/>
  <c r="M10" i="30"/>
  <c r="AD9" i="12" l="1" a="1"/>
  <c r="AD18" i="12" a="1"/>
  <c r="N10" i="30"/>
  <c r="M14" i="30"/>
  <c r="AF18" i="12" l="1"/>
  <c r="AF20" i="12"/>
  <c r="AD18" i="12"/>
  <c r="AF19" i="12"/>
  <c r="AE20" i="12"/>
  <c r="AD19" i="12"/>
  <c r="AE18" i="12"/>
  <c r="AE19" i="12"/>
  <c r="AD20" i="12"/>
  <c r="AE11" i="12"/>
  <c r="AF9" i="12"/>
  <c r="AF10" i="12"/>
  <c r="AE9" i="12"/>
  <c r="AE10" i="12"/>
  <c r="AD11" i="12"/>
  <c r="AD9" i="12"/>
  <c r="AD10" i="12"/>
  <c r="AF11" i="12"/>
  <c r="N14" i="30"/>
  <c r="M54" i="28"/>
  <c r="M32" i="30"/>
  <c r="M39" i="28"/>
  <c r="M26" i="30"/>
  <c r="M34" i="30"/>
  <c r="M42" i="28"/>
  <c r="M33" i="30"/>
  <c r="M24" i="28"/>
  <c r="M13" i="30"/>
  <c r="Z9" i="12" l="1" a="1"/>
  <c r="Z10" i="12" s="1"/>
  <c r="V31" i="12" s="1"/>
  <c r="Z18" i="12" a="1"/>
  <c r="N13" i="30"/>
  <c r="M6" i="30"/>
  <c r="Z9" i="12" l="1"/>
  <c r="Z11" i="12"/>
  <c r="V32" i="12" s="1"/>
  <c r="Z20" i="12"/>
  <c r="W32" i="12" s="1"/>
  <c r="Z19" i="12"/>
  <c r="W31" i="12" s="1"/>
  <c r="Z18" i="12"/>
  <c r="V30" i="12"/>
  <c r="AH9" i="12" a="1"/>
  <c r="N6" i="30"/>
  <c r="M11" i="28"/>
  <c r="AH11" i="12" l="1"/>
  <c r="AH9" i="12"/>
  <c r="AH10" i="12"/>
  <c r="V34" i="12"/>
  <c r="O34" i="12" s="1"/>
  <c r="H34" i="12" s="1"/>
  <c r="J8" i="25" s="1"/>
  <c r="V38" i="12"/>
  <c r="O38" i="12" s="1"/>
  <c r="H38" i="12" s="1"/>
  <c r="J12" i="25" s="1"/>
  <c r="V36" i="12"/>
  <c r="O36" i="12" s="1"/>
  <c r="H36" i="12" s="1"/>
  <c r="J10" i="25" s="1"/>
  <c r="V37" i="12"/>
  <c r="O37" i="12" s="1"/>
  <c r="H37" i="12" s="1"/>
  <c r="J11" i="25" s="1"/>
  <c r="V35" i="12"/>
  <c r="O35" i="12" s="1"/>
  <c r="H35" i="12" s="1"/>
  <c r="J9" i="25" s="1"/>
  <c r="V40" i="12"/>
  <c r="O40" i="12" s="1"/>
  <c r="H40" i="12" s="1"/>
  <c r="J14" i="25" s="1"/>
  <c r="V39" i="12"/>
  <c r="O39" i="12" s="1"/>
  <c r="H39" i="12" s="1"/>
  <c r="J13" i="25" s="1"/>
  <c r="W30" i="12"/>
  <c r="AH18" i="12" a="1"/>
  <c r="N11" i="28"/>
  <c r="M7" i="28"/>
  <c r="AH20" i="12" l="1"/>
  <c r="AH19" i="12"/>
  <c r="AH18" i="12"/>
  <c r="W34" i="12"/>
  <c r="P34" i="12" s="1"/>
  <c r="I34" i="12" s="1"/>
  <c r="J15" i="25" s="1"/>
  <c r="W40" i="12"/>
  <c r="P40" i="12" s="1"/>
  <c r="I40" i="12" s="1"/>
  <c r="J21" i="25" s="1"/>
  <c r="W43" i="12"/>
  <c r="P43" i="12" s="1"/>
  <c r="I43" i="12" s="1"/>
  <c r="J24" i="25" s="1"/>
  <c r="W35" i="12"/>
  <c r="P35" i="12" s="1"/>
  <c r="I35" i="12" s="1"/>
  <c r="J16" i="25" s="1"/>
  <c r="W39" i="12"/>
  <c r="P39" i="12" s="1"/>
  <c r="I39" i="12" s="1"/>
  <c r="J20" i="25" s="1"/>
  <c r="W36" i="12"/>
  <c r="P36" i="12" s="1"/>
  <c r="I36" i="12" s="1"/>
  <c r="J17" i="25" s="1"/>
  <c r="W38" i="12"/>
  <c r="P38" i="12" s="1"/>
  <c r="I38" i="12" s="1"/>
  <c r="J19" i="25" s="1"/>
  <c r="W41" i="12"/>
  <c r="P41" i="12" s="1"/>
  <c r="I41" i="12" s="1"/>
  <c r="J22" i="25" s="1"/>
  <c r="W42" i="12"/>
  <c r="P42" i="12" s="1"/>
  <c r="I42" i="12" s="1"/>
  <c r="J23" i="25" s="1"/>
  <c r="W37" i="12"/>
  <c r="P37" i="12" s="1"/>
  <c r="I37" i="12" s="1"/>
  <c r="J18" i="25" s="1"/>
  <c r="N7" i="28"/>
  <c r="M4" i="30"/>
  <c r="N4" i="30"/>
  <c r="M7" i="30"/>
  <c r="N7" i="30"/>
  <c r="M12" i="30"/>
  <c r="N12" i="30"/>
  <c r="M28" i="30"/>
  <c r="M46" i="28"/>
  <c r="M3" i="30"/>
  <c r="N3" i="30"/>
  <c r="M5" i="30"/>
  <c r="N5" i="30"/>
  <c r="M4" i="28"/>
  <c r="N4" i="28"/>
  <c r="M34" i="28"/>
  <c r="M24" i="30"/>
  <c r="M33" i="28"/>
  <c r="M41" i="28"/>
  <c r="M31" i="30"/>
  <c r="M10" i="28"/>
  <c r="N10" i="28"/>
  <c r="M19" i="28"/>
  <c r="M25" i="30"/>
  <c r="M12" i="28"/>
  <c r="N12" i="28"/>
  <c r="M29" i="28"/>
  <c r="M44" i="28"/>
  <c r="M47" i="28"/>
  <c r="M26" i="28"/>
  <c r="M35" i="30"/>
  <c r="M31" i="28"/>
  <c r="M38" i="30"/>
  <c r="M48" i="28"/>
  <c r="M6" i="28"/>
  <c r="N6" i="28"/>
  <c r="M30" i="28"/>
  <c r="M2" i="30"/>
  <c r="N2" i="30"/>
  <c r="M27" i="30"/>
  <c r="M29" i="30"/>
  <c r="M30" i="30"/>
  <c r="M52" i="28"/>
  <c r="M9" i="28"/>
  <c r="N9" i="28"/>
  <c r="M9" i="30"/>
  <c r="N9" i="30"/>
  <c r="M3" i="28"/>
  <c r="N3" i="28"/>
  <c r="M11" i="30"/>
  <c r="N11" i="30"/>
  <c r="M21" i="28"/>
  <c r="M37" i="28"/>
  <c r="M28" i="28"/>
  <c r="M32" i="28"/>
  <c r="M8" i="30"/>
  <c r="N8" i="30"/>
  <c r="M36" i="28"/>
  <c r="M13" i="28"/>
  <c r="N13" i="28"/>
  <c r="P2" i="25"/>
  <c r="M36" i="30"/>
  <c r="I36" i="4"/>
  <c r="N36" i="30"/>
  <c r="O36" i="30"/>
  <c r="J37" i="25" s="1"/>
  <c r="O37" i="25"/>
  <c r="D36" i="4"/>
  <c r="N36" i="28"/>
  <c r="O36" i="28"/>
  <c r="J73" i="25" s="1"/>
  <c r="O73" i="25"/>
  <c r="N32" i="28"/>
  <c r="O32" i="28"/>
  <c r="J69" i="25" s="1"/>
  <c r="O69" i="25"/>
  <c r="N28" i="28"/>
  <c r="O28" i="28"/>
  <c r="J65" i="25" s="1"/>
  <c r="O65" i="25"/>
  <c r="N37" i="28"/>
  <c r="O37" i="28"/>
  <c r="J74" i="25" s="1"/>
  <c r="O74" i="25"/>
  <c r="N21" i="28"/>
  <c r="O21" i="28"/>
  <c r="J58" i="25" s="1"/>
  <c r="O58" i="25"/>
  <c r="N52" i="28"/>
  <c r="O52" i="28"/>
  <c r="J89" i="25" s="1"/>
  <c r="O89" i="25"/>
  <c r="N30" i="30"/>
  <c r="O30" i="30"/>
  <c r="J31" i="25" s="1"/>
  <c r="O31" i="25"/>
  <c r="N29" i="30"/>
  <c r="O29" i="30"/>
  <c r="J30" i="25"/>
  <c r="O30" i="25"/>
  <c r="N27" i="30"/>
  <c r="O27" i="30"/>
  <c r="J28" i="25" s="1"/>
  <c r="O28" i="25"/>
  <c r="N30" i="28"/>
  <c r="O30" i="28"/>
  <c r="J67" i="25" s="1"/>
  <c r="O67" i="25"/>
  <c r="N48" i="28"/>
  <c r="O48" i="28"/>
  <c r="J85" i="25" s="1"/>
  <c r="O85" i="25"/>
  <c r="N38" i="30"/>
  <c r="O38" i="30"/>
  <c r="J39" i="25" s="1"/>
  <c r="O39" i="25"/>
  <c r="N31" i="28"/>
  <c r="O31" i="28"/>
  <c r="J68" i="25" s="1"/>
  <c r="O68" i="25"/>
  <c r="N35" i="30"/>
  <c r="O35" i="30"/>
  <c r="J36" i="25"/>
  <c r="O36" i="25"/>
  <c r="N26" i="28"/>
  <c r="O26" i="28"/>
  <c r="J63" i="25" s="1"/>
  <c r="O63" i="25"/>
  <c r="N47" i="28"/>
  <c r="O47" i="28"/>
  <c r="J84" i="25" s="1"/>
  <c r="O84" i="25"/>
  <c r="N44" i="28"/>
  <c r="O44" i="28"/>
  <c r="J81" i="25"/>
  <c r="O81" i="25"/>
  <c r="N29" i="28"/>
  <c r="O29" i="28"/>
  <c r="J66" i="25" s="1"/>
  <c r="O66" i="25"/>
  <c r="N25" i="30"/>
  <c r="O25" i="30"/>
  <c r="J26" i="25" s="1"/>
  <c r="O26" i="25"/>
  <c r="N19" i="28"/>
  <c r="O19" i="28"/>
  <c r="J56" i="25" s="1"/>
  <c r="O56" i="25"/>
  <c r="N31" i="30"/>
  <c r="O31" i="30"/>
  <c r="J32" i="25" s="1"/>
  <c r="O32" i="25"/>
  <c r="N41" i="28"/>
  <c r="O41" i="28"/>
  <c r="J78" i="25" s="1"/>
  <c r="O78" i="25"/>
  <c r="N33" i="28"/>
  <c r="O33" i="28"/>
  <c r="J70" i="25" s="1"/>
  <c r="O70" i="25"/>
  <c r="N24" i="30"/>
  <c r="O24" i="30"/>
  <c r="J25" i="25" s="1"/>
  <c r="O25" i="25"/>
  <c r="N34" i="28"/>
  <c r="O34" i="28"/>
  <c r="J71" i="25" s="1"/>
  <c r="O71" i="25"/>
  <c r="N46" i="28"/>
  <c r="O46" i="28"/>
  <c r="J83" i="25" s="1"/>
  <c r="O83" i="25"/>
  <c r="N28" i="30"/>
  <c r="O28" i="30"/>
  <c r="J29" i="25" s="1"/>
  <c r="O29" i="25"/>
  <c r="N24" i="28"/>
  <c r="O24" i="28"/>
  <c r="J61" i="25" s="1"/>
  <c r="O61" i="25"/>
  <c r="N33" i="30"/>
  <c r="O33" i="30"/>
  <c r="J34" i="25" s="1"/>
  <c r="O34" i="25"/>
  <c r="N42" i="28"/>
  <c r="O42" i="28"/>
  <c r="J79" i="25" s="1"/>
  <c r="O79" i="25"/>
  <c r="N34" i="30"/>
  <c r="O34" i="30"/>
  <c r="J35" i="25" s="1"/>
  <c r="O35" i="25"/>
  <c r="N26" i="30"/>
  <c r="O26" i="30"/>
  <c r="J27" i="25" s="1"/>
  <c r="O27" i="25"/>
  <c r="N39" i="28"/>
  <c r="O39" i="28"/>
  <c r="J76" i="25" s="1"/>
  <c r="O76" i="25"/>
  <c r="N32" i="30"/>
  <c r="O32" i="30"/>
  <c r="J33" i="25"/>
  <c r="O33" i="25"/>
  <c r="N54" i="28"/>
  <c r="O54" i="28"/>
  <c r="J91" i="25" s="1"/>
  <c r="O91" i="25"/>
  <c r="N49" i="28"/>
  <c r="O49" i="28"/>
  <c r="J86" i="25" s="1"/>
  <c r="O86" i="25"/>
  <c r="N38" i="28"/>
  <c r="O38" i="28"/>
  <c r="J75" i="25" s="1"/>
  <c r="O75" i="25"/>
  <c r="N22" i="28"/>
  <c r="O22" i="28"/>
  <c r="J59" i="25" s="1"/>
  <c r="O59" i="25"/>
  <c r="N35" i="28"/>
  <c r="O35" i="28"/>
  <c r="J72" i="25" s="1"/>
  <c r="O72" i="25"/>
  <c r="N20" i="28"/>
  <c r="O20" i="28"/>
  <c r="J57" i="25" s="1"/>
  <c r="O57" i="25"/>
  <c r="N43" i="28"/>
  <c r="O43" i="28"/>
  <c r="J80" i="25" s="1"/>
  <c r="O80" i="25"/>
  <c r="N45" i="28"/>
  <c r="O45" i="28"/>
  <c r="J82" i="25" s="1"/>
  <c r="O82" i="25"/>
  <c r="N23" i="28"/>
  <c r="O23" i="28"/>
  <c r="J60" i="25" s="1"/>
  <c r="O60" i="25"/>
  <c r="N37" i="30"/>
  <c r="O37" i="30"/>
  <c r="J38" i="25" s="1"/>
  <c r="O38" i="25"/>
  <c r="N51" i="28"/>
  <c r="O51" i="28"/>
  <c r="J88" i="25" s="1"/>
  <c r="O88" i="25"/>
  <c r="N25" i="28"/>
  <c r="O25" i="28"/>
  <c r="J62" i="25" s="1"/>
  <c r="O62" i="25"/>
  <c r="N53" i="28"/>
  <c r="O53" i="28"/>
  <c r="J90" i="25"/>
  <c r="O90" i="25"/>
  <c r="N55" i="28"/>
  <c r="O55" i="28"/>
  <c r="J92" i="25"/>
  <c r="O92" i="25"/>
  <c r="N50" i="28"/>
  <c r="O50" i="28"/>
  <c r="J87" i="25"/>
  <c r="O87" i="25"/>
  <c r="N27" i="28"/>
  <c r="O27" i="28"/>
  <c r="J64" i="25" s="1"/>
  <c r="O64" i="25"/>
  <c r="N40" i="28"/>
  <c r="O40" i="28"/>
  <c r="J77" i="25" s="1"/>
  <c r="O77" i="25"/>
  <c r="G31" i="12"/>
  <c r="L27" i="12"/>
  <c r="L3" i="12"/>
  <c r="I40" i="4"/>
  <c r="D41" i="4"/>
  <c r="J31" i="12"/>
  <c r="K18" i="12"/>
  <c r="D40" i="4"/>
  <c r="K9" i="12"/>
  <c r="L4" i="12"/>
  <c r="I41" i="4"/>
  <c r="N32" i="12"/>
  <c r="G32" i="12"/>
  <c r="O31" i="12"/>
  <c r="L26" i="12"/>
  <c r="Q32" i="12" s="1"/>
  <c r="J32" i="12"/>
  <c r="J44" i="12" s="1"/>
  <c r="J50" i="25" s="1"/>
  <c r="L9" i="12"/>
  <c r="J46" i="12" l="1"/>
  <c r="J52" i="25" s="1"/>
  <c r="J35" i="12"/>
  <c r="J41" i="25" s="1"/>
  <c r="J42" i="12"/>
  <c r="J48" i="25" s="1"/>
  <c r="J38" i="12"/>
  <c r="J44" i="25" s="1"/>
  <c r="J36" i="12"/>
  <c r="J42" i="25" s="1"/>
  <c r="J49" i="12"/>
  <c r="J55" i="25" s="1"/>
  <c r="J39" i="12"/>
  <c r="J45" i="25" s="1"/>
  <c r="J48" i="12"/>
  <c r="J54" i="25" s="1"/>
  <c r="J37" i="12"/>
  <c r="J43" i="25" s="1"/>
  <c r="J47" i="12"/>
  <c r="J53" i="25" s="1"/>
  <c r="J45" i="12"/>
  <c r="J51" i="25" s="1"/>
  <c r="J40" i="12"/>
  <c r="J46" i="25" s="1"/>
  <c r="J43" i="12"/>
  <c r="J49" i="25" s="1"/>
  <c r="J34" i="12"/>
  <c r="J40" i="25" s="1"/>
  <c r="J41" i="12"/>
  <c r="J47" i="25" s="1"/>
  <c r="O32" i="12"/>
  <c r="L18" i="12"/>
  <c r="P32" i="12"/>
  <c r="Q43" i="12"/>
  <c r="Q35" i="12"/>
  <c r="Q39" i="12"/>
  <c r="Q34" i="12"/>
  <c r="Q44" i="12"/>
  <c r="Q47" i="12"/>
  <c r="Q48" i="12"/>
  <c r="Q42" i="12"/>
  <c r="N38" i="12"/>
  <c r="G38" i="12"/>
  <c r="J7" i="25"/>
  <c r="Q45" i="12"/>
  <c r="Q49" i="12"/>
  <c r="N34" i="12"/>
  <c r="G34" i="12" s="1"/>
  <c r="J3" i="25" s="1"/>
  <c r="Q38" i="12"/>
  <c r="Q40" i="12"/>
  <c r="N36" i="12"/>
  <c r="G36" i="12"/>
  <c r="J5" i="25"/>
  <c r="Q36" i="12"/>
  <c r="Q37" i="12"/>
  <c r="N35" i="12"/>
  <c r="G35" i="12" s="1"/>
  <c r="J4" i="25" s="1"/>
  <c r="Q41" i="12"/>
  <c r="Q46" i="12"/>
  <c r="N37" i="12"/>
  <c r="G37" i="12"/>
  <c r="J6" i="25" s="1"/>
</calcChain>
</file>

<file path=xl/sharedStrings.xml><?xml version="1.0" encoding="utf-8"?>
<sst xmlns="http://schemas.openxmlformats.org/spreadsheetml/2006/main" count="483" uniqueCount="221">
  <si>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</si>
  <si>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</si>
  <si>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</si>
  <si>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</si>
  <si>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</si>
  <si>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</si>
  <si>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</si>
  <si>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</si>
  <si>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</si>
  <si>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</si>
  <si>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</si>
  <si>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</si>
  <si>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</si>
  <si>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</si>
  <si>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</si>
  <si>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</si>
  <si>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</si>
  <si>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</si>
  <si>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</si>
  <si>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</si>
  <si>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</si>
  <si>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</si>
  <si>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</si>
  <si>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</si>
  <si>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</si>
  <si>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</si>
  <si>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</si>
  <si>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</si>
  <si>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</si>
  <si>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</si>
  <si>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</si>
  <si>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</si>
  <si>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</si>
  <si>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</si>
  <si>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</si>
  <si>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</si>
  <si>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</si>
  <si>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</si>
  <si>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</si>
  <si>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</si>
  <si>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</si>
  <si>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</si>
  <si>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</si>
  <si>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</si>
  <si>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</si>
  <si>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</si>
  <si>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</si>
  <si>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</si>
  <si>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</si>
  <si>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</si>
  <si>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</si>
  <si>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</si>
  <si>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</si>
  <si>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</si>
  <si>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</si>
  <si>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</si>
  <si>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</si>
  <si>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</si>
  <si>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</si>
  <si>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</si>
  <si>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</si>
  <si>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</si>
  <si>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</si>
  <si>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</si>
  <si>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</si>
  <si>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</si>
  <si>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</si>
  <si>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</si>
  <si>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</si>
  <si>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</si>
  <si>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</si>
  <si>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</si>
  <si>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</si>
  <si>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</si>
  <si>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</si>
  <si>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</si>
  <si>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</si>
  <si>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</si>
  <si>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</si>
  <si>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</si>
  <si>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</si>
  <si>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</si>
  <si>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</si>
  <si>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</si>
  <si>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</si>
  <si>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</si>
  <si>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</si>
  <si>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</si>
  <si>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</si>
  <si>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</si>
  <si>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</si>
  <si>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</si>
  <si>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</si>
  <si>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</si>
  <si>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</si>
  <si>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</si>
  <si>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</si>
  <si>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</si>
  <si>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</si>
  <si>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</si>
  <si>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</si>
  <si>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</si>
  <si>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</si>
  <si>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</si>
  <si>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</si>
  <si>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</si>
  <si>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</si>
  <si>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</si>
  <si>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</si>
  <si>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</si>
  <si>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</si>
  <si>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</si>
  <si>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</si>
  <si>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</si>
  <si>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</si>
  <si>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</si>
  <si>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</si>
  <si>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</si>
  <si>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</si>
  <si>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</si>
  <si>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</si>
  <si>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</si>
  <si>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</si>
  <si>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</si>
  <si>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</si>
  <si>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</si>
  <si>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</si>
  <si>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</si>
  <si>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</si>
  <si>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</si>
  <si>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</si>
  <si>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</si>
  <si>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</si>
  <si>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</si>
  <si>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</si>
  <si>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</si>
  <si>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</si>
  <si>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</si>
  <si>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</si>
  <si>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</si>
  <si>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</si>
  <si>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</si>
  <si>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</si>
  <si>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</si>
  <si>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</si>
  <si>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</si>
  <si>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</si>
  <si>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</si>
  <si>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</si>
  <si>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</si>
  <si>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</si>
  <si>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</si>
  <si>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</si>
  <si>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</si>
  <si>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</si>
  <si>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</si>
  <si>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</si>
  <si>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</si>
  <si>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</si>
  <si>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</si>
  <si>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</si>
  <si>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</si>
  <si>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</si>
  <si>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</si>
  <si>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</si>
  <si>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</si>
  <si>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</si>
  <si>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</si>
  <si>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</si>
  <si>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</si>
  <si>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</si>
  <si>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</si>
  <si>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</si>
  <si>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</si>
  <si>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</si>
  <si>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</si>
  <si>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</si>
  <si>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</si>
  <si>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</si>
  <si>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</si>
  <si>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</si>
  <si>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</si>
  <si>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</si>
  <si>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</si>
  <si>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</si>
  <si>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</si>
  <si>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</si>
  <si>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</si>
  <si>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</si>
  <si>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</si>
  <si>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</si>
  <si>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</si>
  <si>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</si>
  <si>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</si>
  <si>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</si>
  <si>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</si>
  <si>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</si>
  <si>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</si>
  <si>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</si>
  <si>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</si>
  <si>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</si>
  <si>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</si>
  <si>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</si>
  <si>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</si>
  <si>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</si>
  <si>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</si>
  <si>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</si>
  <si>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</si>
  <si>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</si>
  <si>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</si>
  <si>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</si>
  <si>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</si>
  <si>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</si>
  <si>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</si>
  <si>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</si>
  <si>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</si>
  <si>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</si>
  <si>
    <t xml:space="preserve"> GB Calendar</t>
  </si>
  <si>
    <t>US Calendar</t>
  </si>
  <si>
    <t>HolidayCheck</t>
  </si>
  <si>
    <t>UnitedStates::Settlement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</si>
</sst>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5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  <xf numFmtId="0" fontId="18" fillId="5" borderId="3" xfId="18" applyNumberFormat="1" applyFont="1" applyFill="1" applyBorder="1"/>
    <xf numFmtId="175" fontId="18" fillId="9" borderId="10" xfId="18" quotePrefix="1" applyNumberFormat="1" applyFont="1" applyFill="1" applyBorder="1" applyAlignment="1" applyProtection="1">
      <alignment horizontal="center"/>
    </xf>
    <xf numFmtId="0" fontId="18" fillId="4" borderId="12" xfId="18" applyFont="1" applyFill="1" applyBorder="1"/>
    <xf numFmtId="0" fontId="13" fillId="7" borderId="16" xfId="25" applyFont="1" applyFill="1" applyBorder="1" applyAlignment="1">
      <alignment horizontal="centerContinuous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7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8">
          <cell r="D8" t="str">
            <v>Fwd Curve</v>
          </cell>
        </row>
      </sheetData>
      <sheetData sheetId="4">
        <row r="7">
          <cell r="D7" t="str">
            <v>3M</v>
          </cell>
        </row>
        <row r="8">
          <cell r="D8" t="str">
            <v>3M</v>
          </cell>
        </row>
      </sheetData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Q4</v>
          </cell>
        </row>
        <row r="8">
          <cell r="D8" t="str">
            <v>U4</v>
          </cell>
        </row>
      </sheetData>
      <sheetData sheetId="11">
        <row r="7">
          <cell r="D7" t="str">
            <v>Q4</v>
          </cell>
        </row>
        <row r="8">
          <cell r="D8" t="str">
            <v>U4</v>
          </cell>
        </row>
      </sheetData>
      <sheetData sheetId="12">
        <row r="7">
          <cell r="D7" t="str">
            <v>X4</v>
          </cell>
        </row>
        <row r="8">
          <cell r="D8" t="str">
            <v>Z4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2X</v>
          </cell>
        </row>
        <row r="8">
          <cell r="D8" t="str">
            <v>2X</v>
          </cell>
        </row>
      </sheetData>
      <sheetData sheetId="23">
        <row r="7">
          <cell r="D7" t="str">
            <v>USD-4Y=</v>
          </cell>
        </row>
        <row r="8">
          <cell r="D8" t="str">
            <v>USD-5Y=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  <sheetData sheetId="25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1.5.0 - MS VC++ 9.0 - Multithreaded Dynamic Runtime library - Release Configuration - Jun 25 2014 10:33:09</v>
      </c>
    </row>
    <row r="2" spans="1:35" ht="19.5" thickBot="1" x14ac:dyDescent="0.3">
      <c r="B2" s="362" t="s">
        <v>34</v>
      </c>
      <c r="C2" s="363"/>
      <c r="D2" s="363"/>
      <c r="E2" s="364"/>
      <c r="G2" s="365" t="s">
        <v>62</v>
      </c>
      <c r="H2" s="366"/>
      <c r="I2" s="366"/>
      <c r="J2" s="367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253"/>
      <c r="C5" s="48" t="s">
        <v>217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253"/>
      <c r="C6" s="256" t="s">
        <v>218</v>
      </c>
      <c r="D6" s="258" t="s">
        <v>220</v>
      </c>
      <c r="E6" s="255"/>
      <c r="F6" s="130"/>
      <c r="G6" s="142"/>
      <c r="H6" s="143"/>
      <c r="I6" s="143"/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253"/>
      <c r="C7" s="256" t="s">
        <v>219</v>
      </c>
      <c r="D7" s="258" t="b">
        <f>_xll.qlCalendarIsHoliday(LocalCalendar,_xll.qlCalendarAdvance(LiborCalendar,_xll.qlSettingsEvaluationDate(Trigger),Ndays&amp;"D","f",FALSE,Trigger))</f>
        <v>1</v>
      </c>
      <c r="E7" s="255"/>
      <c r="G7" s="142"/>
      <c r="H7" s="145" t="s">
        <v>65</v>
      </c>
      <c r="I7" s="146" t="b">
        <v>0</v>
      </c>
      <c r="J7" s="147"/>
    </row>
    <row r="8" spans="1:35" x14ac:dyDescent="0.2">
      <c r="B8" s="253"/>
      <c r="C8" s="256" t="s">
        <v>16</v>
      </c>
      <c r="D8" s="258" t="str">
        <f>IF(HolidayCheck,LocalCalendar,LiborCalendar)</f>
        <v>UnitedStates::Settlement</v>
      </c>
      <c r="E8" s="255"/>
      <c r="G8" s="142"/>
      <c r="H8" s="145" t="s">
        <v>66</v>
      </c>
      <c r="I8" s="148"/>
      <c r="J8" s="147"/>
    </row>
    <row r="9" spans="1:35" x14ac:dyDescent="0.2">
      <c r="B9" s="253"/>
      <c r="C9" s="256" t="s">
        <v>27</v>
      </c>
      <c r="D9" s="258" t="s">
        <v>81</v>
      </c>
      <c r="E9" s="255"/>
      <c r="G9" s="142"/>
      <c r="H9" s="145" t="s">
        <v>67</v>
      </c>
      <c r="I9" s="149" t="b">
        <v>1</v>
      </c>
      <c r="J9" s="147"/>
    </row>
    <row r="10" spans="1:35" x14ac:dyDescent="0.2">
      <c r="B10" s="133"/>
      <c r="C10" s="40"/>
      <c r="D10" s="41"/>
      <c r="E10" s="134"/>
      <c r="G10" s="133"/>
      <c r="H10" s="145" t="s">
        <v>163</v>
      </c>
      <c r="I10" s="149" t="str">
        <f>IF(UPPER(Currency)&lt;&gt;"EUR","L","")&amp;"ibor"</f>
        <v>Libor</v>
      </c>
      <c r="J10" s="134"/>
    </row>
    <row r="11" spans="1:35" x14ac:dyDescent="0.2">
      <c r="B11" s="133"/>
      <c r="C11" s="48" t="s">
        <v>33</v>
      </c>
      <c r="D11" s="49" t="str">
        <f>Currency&amp;"ON"</f>
        <v>USDON</v>
      </c>
      <c r="E11" s="134"/>
      <c r="G11" s="253"/>
      <c r="H11" s="373"/>
      <c r="I11" s="373"/>
      <c r="J11" s="255"/>
    </row>
    <row r="12" spans="1:35" x14ac:dyDescent="0.2">
      <c r="B12" s="133"/>
      <c r="C12" s="40"/>
      <c r="D12" s="40"/>
      <c r="E12" s="134"/>
      <c r="G12" s="142"/>
      <c r="H12" s="371" t="s">
        <v>68</v>
      </c>
      <c r="I12" s="372" t="s">
        <v>69</v>
      </c>
      <c r="J12" s="147"/>
    </row>
    <row r="13" spans="1:35" x14ac:dyDescent="0.2">
      <c r="B13" s="133"/>
      <c r="C13" s="42" t="s">
        <v>1</v>
      </c>
      <c r="D13" s="138">
        <v>41809.397766203707</v>
      </c>
      <c r="E13" s="134"/>
      <c r="G13" s="142"/>
      <c r="H13" s="145" t="s">
        <v>70</v>
      </c>
      <c r="I13" s="150">
        <v>1E-4</v>
      </c>
      <c r="J13" s="147"/>
    </row>
    <row r="14" spans="1:35" x14ac:dyDescent="0.2">
      <c r="B14" s="133"/>
      <c r="C14" s="42" t="s">
        <v>2</v>
      </c>
      <c r="D14" s="139" t="b">
        <v>0</v>
      </c>
      <c r="E14" s="134"/>
      <c r="G14" s="142"/>
      <c r="H14" s="145" t="s">
        <v>71</v>
      </c>
      <c r="I14" s="151">
        <v>-0.01</v>
      </c>
      <c r="J14" s="147"/>
    </row>
    <row r="15" spans="1:35" ht="12" thickBot="1" x14ac:dyDescent="0.25">
      <c r="B15" s="135"/>
      <c r="C15" s="136"/>
      <c r="D15" s="136"/>
      <c r="E15" s="137"/>
      <c r="G15" s="152"/>
      <c r="H15" s="153"/>
      <c r="I15" s="153"/>
      <c r="J15" s="154"/>
    </row>
    <row r="16" spans="1:35" ht="12" thickBot="1" x14ac:dyDescent="0.25"/>
    <row r="17" spans="2:10" ht="19.5" thickBot="1" x14ac:dyDescent="0.25">
      <c r="B17" s="374" t="s">
        <v>173</v>
      </c>
      <c r="C17" s="374"/>
      <c r="D17" s="374"/>
      <c r="E17" s="374"/>
      <c r="G17" s="368" t="s">
        <v>172</v>
      </c>
      <c r="H17" s="363" t="s">
        <v>172</v>
      </c>
      <c r="I17" s="363"/>
      <c r="J17" s="364"/>
    </row>
    <row r="18" spans="2:10" x14ac:dyDescent="0.2">
      <c r="B18" s="253"/>
      <c r="C18" s="254"/>
      <c r="D18" s="254"/>
      <c r="E18" s="301"/>
      <c r="G18" s="253"/>
      <c r="H18" s="254"/>
      <c r="I18" s="254"/>
      <c r="J18" s="301"/>
    </row>
    <row r="19" spans="2:10" x14ac:dyDescent="0.2">
      <c r="B19" s="253"/>
      <c r="C19" s="256" t="s">
        <v>17</v>
      </c>
      <c r="D19" s="55">
        <f>_xll.qlCalendarAdvance(Calendar,EvaluationDate,"2D","f")</f>
        <v>41827</v>
      </c>
      <c r="E19" s="255"/>
      <c r="G19" s="253"/>
      <c r="H19" s="256" t="s">
        <v>56</v>
      </c>
      <c r="I19" s="55"/>
      <c r="J19" s="255"/>
    </row>
    <row r="20" spans="2:10" x14ac:dyDescent="0.2">
      <c r="B20" s="253"/>
      <c r="C20" s="256" t="s">
        <v>28</v>
      </c>
      <c r="D20" s="55" t="str">
        <f>_xll.qlDiscountingSwapEngine(,OisCurve,,,,,EvaluationDate)</f>
        <v>obj_00399#0008</v>
      </c>
      <c r="E20" s="255"/>
      <c r="G20" s="253"/>
      <c r="H20" s="256" t="s">
        <v>29</v>
      </c>
      <c r="I20" s="55">
        <f>_xll.qlSettingsEvaluationDate(Trigger)</f>
        <v>41822</v>
      </c>
      <c r="J20" s="255"/>
    </row>
    <row r="21" spans="2:10" x14ac:dyDescent="0.2">
      <c r="B21" s="253"/>
      <c r="C21" s="256" t="s">
        <v>55</v>
      </c>
      <c r="D21" s="55">
        <f>_xll.qlCalendarAdjust(Calendar,DATE(YEAR(SettlementDate),12,31),"Preceding")</f>
        <v>42004</v>
      </c>
      <c r="E21" s="255"/>
      <c r="G21" s="253"/>
      <c r="H21" s="256" t="s">
        <v>30</v>
      </c>
      <c r="I21" s="300">
        <f>[1]!TriggerCounter</f>
        <v>7</v>
      </c>
      <c r="J21" s="255"/>
    </row>
    <row r="22" spans="2:10" x14ac:dyDescent="0.2">
      <c r="B22" s="253"/>
      <c r="C22" s="256" t="s">
        <v>54</v>
      </c>
      <c r="D22" s="55">
        <f>_xll.qlCalendarAdjust(Calendar,DATE(YEAR(SettlementDate)+1,12,31),"Preceding")</f>
        <v>42369</v>
      </c>
      <c r="E22" s="255"/>
      <c r="G22" s="253"/>
      <c r="H22" s="256" t="s">
        <v>35</v>
      </c>
      <c r="I22" s="300">
        <f>[1]!LastFixingsTrigger</f>
        <v>0</v>
      </c>
      <c r="J22" s="255"/>
    </row>
    <row r="23" spans="2:10" ht="12" thickBot="1" x14ac:dyDescent="0.25">
      <c r="B23" s="263"/>
      <c r="C23" s="264"/>
      <c r="D23" s="264"/>
      <c r="E23" s="265"/>
      <c r="G23" s="263"/>
      <c r="H23" s="264"/>
      <c r="I23" s="264"/>
      <c r="J23" s="265"/>
    </row>
    <row r="24" spans="2:10" ht="12" thickBot="1" x14ac:dyDescent="0.25">
      <c r="C24" s="131"/>
      <c r="D24" s="131"/>
      <c r="E24" s="131"/>
    </row>
    <row r="25" spans="2:10" ht="19.5" thickBot="1" x14ac:dyDescent="0.25">
      <c r="B25" s="368" t="s">
        <v>212</v>
      </c>
      <c r="C25" s="369"/>
      <c r="D25" s="369"/>
      <c r="E25" s="370"/>
      <c r="G25" s="368" t="s">
        <v>213</v>
      </c>
      <c r="H25" s="369"/>
      <c r="I25" s="369"/>
      <c r="J25" s="370"/>
    </row>
    <row r="26" spans="2:10" x14ac:dyDescent="0.2">
      <c r="B26" s="253"/>
      <c r="C26" s="254"/>
      <c r="D26" s="254"/>
      <c r="E26" s="255"/>
      <c r="G26" s="253"/>
      <c r="H26" s="254"/>
      <c r="I26" s="254"/>
      <c r="J26" s="255"/>
    </row>
    <row r="27" spans="2:10" x14ac:dyDescent="0.2">
      <c r="B27" s="253"/>
      <c r="C27" s="268" t="s">
        <v>150</v>
      </c>
      <c r="D27" s="257" t="s">
        <v>24</v>
      </c>
      <c r="E27" s="255"/>
      <c r="G27" s="253"/>
      <c r="H27" s="268" t="s">
        <v>150</v>
      </c>
      <c r="I27" s="257" t="s">
        <v>15</v>
      </c>
      <c r="J27" s="255"/>
    </row>
    <row r="28" spans="2:10" x14ac:dyDescent="0.2">
      <c r="B28" s="253"/>
      <c r="C28" s="268" t="s">
        <v>151</v>
      </c>
      <c r="D28" s="266">
        <v>2</v>
      </c>
      <c r="E28" s="255"/>
      <c r="G28" s="253"/>
      <c r="H28" s="268" t="s">
        <v>151</v>
      </c>
      <c r="I28" s="266">
        <v>2</v>
      </c>
      <c r="J28" s="255"/>
    </row>
    <row r="29" spans="2:10" x14ac:dyDescent="0.2">
      <c r="B29" s="253"/>
      <c r="C29" s="268" t="s">
        <v>152</v>
      </c>
      <c r="D29" s="258" t="e">
        <v>#N/A</v>
      </c>
      <c r="E29" s="255"/>
      <c r="G29" s="253"/>
      <c r="H29" s="268" t="s">
        <v>152</v>
      </c>
      <c r="I29" s="258" t="e">
        <v>#N/A</v>
      </c>
      <c r="J29" s="255"/>
    </row>
    <row r="30" spans="2:10" x14ac:dyDescent="0.2">
      <c r="B30" s="253"/>
      <c r="C30" s="268" t="s">
        <v>153</v>
      </c>
      <c r="D30" s="259" t="s">
        <v>154</v>
      </c>
      <c r="E30" s="255"/>
      <c r="G30" s="253"/>
      <c r="H30" s="268" t="s">
        <v>153</v>
      </c>
      <c r="I30" s="259" t="s">
        <v>154</v>
      </c>
      <c r="J30" s="255"/>
    </row>
    <row r="31" spans="2:10" x14ac:dyDescent="0.2">
      <c r="B31" s="253"/>
      <c r="C31" s="268" t="s">
        <v>155</v>
      </c>
      <c r="D31" s="260" t="s">
        <v>156</v>
      </c>
      <c r="E31" s="255"/>
      <c r="G31" s="253"/>
      <c r="H31" s="268" t="s">
        <v>155</v>
      </c>
      <c r="I31" s="260" t="s">
        <v>156</v>
      </c>
      <c r="J31" s="255"/>
    </row>
    <row r="32" spans="2:10" x14ac:dyDescent="0.2">
      <c r="B32" s="253"/>
      <c r="C32" s="261"/>
      <c r="D32" s="261"/>
      <c r="E32" s="255"/>
      <c r="G32" s="253"/>
      <c r="H32" s="261"/>
      <c r="I32" s="261"/>
      <c r="J32" s="255"/>
    </row>
    <row r="33" spans="2:10" x14ac:dyDescent="0.2">
      <c r="B33" s="253"/>
      <c r="C33" s="256" t="s">
        <v>157</v>
      </c>
      <c r="D33" s="269" t="str">
        <f>_xll.qlLibor(,Currency,IborTenor1Y,YieldCurve1Y,,Trigger)</f>
        <v>obj_00445#0012</v>
      </c>
      <c r="E33" s="255"/>
      <c r="G33" s="253"/>
      <c r="H33" s="256" t="s">
        <v>157</v>
      </c>
      <c r="I33" s="269" t="str">
        <f>_xll.qlLibor(,Currency,IborTenor6M,YieldCurve6M,,Trigger)</f>
        <v>obj_00478#0022</v>
      </c>
      <c r="J33" s="255"/>
    </row>
    <row r="34" spans="2:10" x14ac:dyDescent="0.2">
      <c r="B34" s="253"/>
      <c r="C34" s="256" t="s">
        <v>158</v>
      </c>
      <c r="D34" s="267" t="s">
        <v>156</v>
      </c>
      <c r="E34" s="255"/>
      <c r="G34" s="253"/>
      <c r="H34" s="256" t="s">
        <v>158</v>
      </c>
      <c r="I34" s="267" t="s">
        <v>156</v>
      </c>
      <c r="J34" s="255"/>
    </row>
    <row r="35" spans="2:10" x14ac:dyDescent="0.2">
      <c r="B35" s="253"/>
      <c r="C35" s="256" t="s">
        <v>53</v>
      </c>
      <c r="D35" s="129" t="s">
        <v>162</v>
      </c>
      <c r="E35" s="255"/>
      <c r="G35" s="253"/>
      <c r="H35" s="256" t="s">
        <v>53</v>
      </c>
      <c r="I35" s="129" t="s">
        <v>162</v>
      </c>
      <c r="J35" s="255"/>
    </row>
    <row r="36" spans="2:10" x14ac:dyDescent="0.2">
      <c r="B36" s="253"/>
      <c r="C36" s="256" t="s">
        <v>159</v>
      </c>
      <c r="D36" s="270" t="e">
        <f>_xll.qlInterpolation(,BasisInterpolation,'1Y_FRA_Calculation'!J2:J13,'1Y_FRA_Calculation'!N2:N13)</f>
        <v>#NUM!</v>
      </c>
      <c r="E36" s="255"/>
      <c r="G36" s="253"/>
      <c r="H36" s="256" t="s">
        <v>159</v>
      </c>
      <c r="I36" s="270" t="str">
        <f>_xll.qlInterpolation(,BasisInterpolation,'6M_FRA_Calculation'!J2:J14,'6M_FRA_Calculation'!N2:N14)</f>
        <v>obj_006b5#0017</v>
      </c>
      <c r="J36" s="255"/>
    </row>
    <row r="37" spans="2:10" x14ac:dyDescent="0.2">
      <c r="B37" s="253"/>
      <c r="C37" s="275" t="s">
        <v>160</v>
      </c>
      <c r="D37" s="276" t="str">
        <f>_xll.qlPiecewiseYieldCurve(,Ndays,Calendar,_xll.ohPack('1Y_FRA_Calculation'!A3:A127),DayCounter,,,,TraitsID,InterpolatorID)</f>
        <v>obj_00444#0012</v>
      </c>
      <c r="E37" s="255"/>
      <c r="G37" s="253"/>
      <c r="H37" s="275" t="s">
        <v>160</v>
      </c>
      <c r="I37" s="276" t="str">
        <f>_xll.qlPiecewiseYieldCurve(,Ndays,Calendar,_xll.ohPack('6M_FRA_Calculation'!A2:A127),DayCounter,,,,TraitsID,InterpolatorID)</f>
        <v>obj_00452#0023</v>
      </c>
      <c r="J37" s="255"/>
    </row>
    <row r="38" spans="2:10" x14ac:dyDescent="0.2">
      <c r="B38" s="253"/>
      <c r="C38" s="277" t="s">
        <v>161</v>
      </c>
      <c r="D38" s="278" t="str">
        <f>_xll.ohRangeRetrieveError(YieldCurve1Y)</f>
        <v/>
      </c>
      <c r="E38" s="255"/>
      <c r="G38" s="253"/>
      <c r="H38" s="277" t="s">
        <v>161</v>
      </c>
      <c r="I38" s="278" t="str">
        <f>_xll.ohRangeRetrieveError(YieldCurve6M)</f>
        <v/>
      </c>
      <c r="J38" s="255"/>
    </row>
    <row r="39" spans="2:10" x14ac:dyDescent="0.2">
      <c r="B39" s="253"/>
      <c r="C39" s="261"/>
      <c r="D39" s="262"/>
      <c r="E39" s="255"/>
      <c r="G39" s="253"/>
      <c r="H39" s="261"/>
      <c r="I39" s="262"/>
      <c r="J39" s="255"/>
    </row>
    <row r="40" spans="2:10" x14ac:dyDescent="0.2">
      <c r="B40" s="253"/>
      <c r="C40" s="271">
        <v>41779</v>
      </c>
      <c r="D40" s="272">
        <f>MAX(_xll.ohPack('1Y_FRA_Calculation'!E2:E127))</f>
        <v>1</v>
      </c>
      <c r="E40" s="255"/>
      <c r="G40" s="253"/>
      <c r="H40" s="271">
        <v>41779</v>
      </c>
      <c r="I40" s="272">
        <f>MAX(_xll.ohPack('6M_FRA_Calculation'!E2:E127))</f>
        <v>1</v>
      </c>
      <c r="J40" s="255"/>
    </row>
    <row r="41" spans="2:10" x14ac:dyDescent="0.2">
      <c r="B41" s="253"/>
      <c r="C41" s="273">
        <v>43605</v>
      </c>
      <c r="D41" s="274">
        <f>MIN(_xll.ohPack('1Y_FRA_Calculation'!E2:E127))</f>
        <v>0.90361013161967152</v>
      </c>
      <c r="E41" s="255"/>
      <c r="G41" s="253"/>
      <c r="H41" s="273">
        <v>43605</v>
      </c>
      <c r="I41" s="274">
        <f>MIN(_xll.ohPack('6M_FRA_Calculation'!E2:E127))</f>
        <v>0.91104521955026452</v>
      </c>
      <c r="J41" s="255"/>
    </row>
    <row r="42" spans="2:10" ht="12" thickBot="1" x14ac:dyDescent="0.25">
      <c r="B42" s="263"/>
      <c r="C42" s="264"/>
      <c r="D42" s="264"/>
      <c r="E42" s="265"/>
      <c r="G42" s="263"/>
      <c r="H42" s="264"/>
      <c r="I42" s="264"/>
      <c r="J42" s="265"/>
    </row>
  </sheetData>
  <mergeCells count="5">
    <mergeCell ref="B2:E2"/>
    <mergeCell ref="G2:J2"/>
    <mergeCell ref="B25:E25"/>
    <mergeCell ref="G17:J17"/>
    <mergeCell ref="G25:J25"/>
  </mergeCells>
  <phoneticPr fontId="4" type="noConversion"/>
  <conditionalFormatting sqref="D14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35 I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 D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4" workbookViewId="0">
      <selection activeCell="G34" sqref="G34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obj_00440#0009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41827</v>
      </c>
      <c r="F2" s="104">
        <f>_xll.qlCalendarAdvance(Calendar,E2,A3,"mf")</f>
        <v>41858</v>
      </c>
      <c r="G2" s="105">
        <f>_xll.qlQuoteValue($D2,AllTriggers)</f>
        <v>1.5199999999999999E-3</v>
      </c>
      <c r="H2" s="106">
        <f>_xll.qlOvernightIndexedSwapFairRate(B2,_xll.ohTrigger(C2,InterestRatesTrigger))</f>
        <v>9.6999999867696635E-4</v>
      </c>
      <c r="I2" s="107">
        <f>G2-H2</f>
        <v>5.5000000132303351E-4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31</v>
      </c>
      <c r="P2" s="111">
        <f>(O2^2-N2^2)/(O2-N2)</f>
        <v>31</v>
      </c>
      <c r="Q2" s="108"/>
      <c r="R2" s="122">
        <f>(O2^3-N2^3)/3/(O2-N2)</f>
        <v>320.33333333333337</v>
      </c>
      <c r="S2" s="122">
        <f>(O2+N2)/2</f>
        <v>15.5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obj_00351#0011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41830</v>
      </c>
      <c r="F3" s="97">
        <f>F2</f>
        <v>41858</v>
      </c>
      <c r="G3" s="98">
        <f>_xll.qlQuoteValue(D3,AllTriggers)</f>
        <v>1.4736522940728136E-3</v>
      </c>
      <c r="H3" s="99">
        <f>_xll.qlOvernightIndexedSwapFairRate(B3,_xll.ohTrigger(C3,InterestRatesTrigger))</f>
        <v>9.5739720221984668E-4</v>
      </c>
      <c r="I3" s="100">
        <f t="shared" ref="I3:I27" si="1">G3-H3</f>
        <v>5.1625509185296693E-4</v>
      </c>
      <c r="J3" s="108" t="b">
        <f>NOT(ISERROR(I3))</f>
        <v>1</v>
      </c>
      <c r="K3" s="110">
        <f>K4</f>
        <v>3.2833086634546756E-6</v>
      </c>
      <c r="L3" s="99">
        <f>_xll.ohFilter($I$2:$I$3,$J$2:$J$3)-K3*_xll.ohFilter($P$2:$P$3,$J$2:$J$3)</f>
        <v>4.0462259729550796E-4</v>
      </c>
      <c r="M3" s="109"/>
      <c r="N3" s="111">
        <f t="shared" si="0"/>
        <v>3</v>
      </c>
      <c r="O3" s="111">
        <f t="shared" si="0"/>
        <v>31</v>
      </c>
      <c r="P3" s="111">
        <f>(O3^2-N3^2)/(O3-N3)</f>
        <v>34</v>
      </c>
      <c r="Q3" s="108"/>
      <c r="R3" s="122">
        <f>(O3^3-N3^3)/3/(O3-N3)</f>
        <v>354.33333333333337</v>
      </c>
      <c r="S3" s="122">
        <f>(O3+N3)/2</f>
        <v>17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obj_00441#0009</v>
      </c>
      <c r="C4" s="12" t="b">
        <f>_xll.qlInstrumentSetPricingEngine(B4,OisEngine)</f>
        <v>1</v>
      </c>
      <c r="D4" s="11" t="s">
        <v>42</v>
      </c>
      <c r="E4" s="53">
        <f>F3</f>
        <v>41858</v>
      </c>
      <c r="F4" s="54">
        <f>F5</f>
        <v>41890</v>
      </c>
      <c r="G4" s="27">
        <f>((1+G5*(F5-E5)/360)/(1+G3*(F3-E3)/360)-1)/(F4-E4)*360</f>
        <v>1.722544309133156E-3</v>
      </c>
      <c r="H4" s="15">
        <f>_xll.qlOvernightIndexedSwapFairRate(B4,_xll.ohTrigger(C4,InterestRatesTrigger))</f>
        <v>1.0092906974729086E-3</v>
      </c>
      <c r="I4" s="16">
        <f>G4-H4</f>
        <v>7.1325361166024747E-4</v>
      </c>
      <c r="J4" s="1" t="b">
        <f>NOT(ISERROR(I4))</f>
        <v>1</v>
      </c>
      <c r="K4" s="15">
        <f>(I4-_xll.ohFilter($I$2:$I$3,$J$2:$J$3))/(P4-_xll.ohFilter($P$2:$P$3,$J$2:$J$3))</f>
        <v>3.2833086634546756E-6</v>
      </c>
      <c r="L4" s="15">
        <f>_xll.ohFilter($I$2:$I$3,$J$2:$J$3)-K4*_xll.ohFilter($P$2:$P$3,$J$2:$J$3)</f>
        <v>4.0462259729550796E-4</v>
      </c>
      <c r="M4" s="5"/>
      <c r="N4" s="112">
        <f t="shared" si="0"/>
        <v>31</v>
      </c>
      <c r="O4" s="112">
        <f t="shared" si="0"/>
        <v>63</v>
      </c>
      <c r="P4" s="112">
        <f>(O4^2-N4^2)/(O4-N4)</f>
        <v>94</v>
      </c>
      <c r="R4" s="91">
        <f>(O4^3-N4^3)/3/(O4-N4)</f>
        <v>2294.3333333333335</v>
      </c>
      <c r="S4" s="91">
        <f>(O4+N4)/2</f>
        <v>47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41827</v>
      </c>
      <c r="F5" s="54">
        <f>_xll.qlCalendarAdvance(Calendar,E5,"2M","mf")</f>
        <v>41890</v>
      </c>
      <c r="G5" s="50">
        <f>_xll.qlQuoteValue(D5,AllTriggers)</f>
        <v>1.5299999999999999E-3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obj_00432#0009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41827</v>
      </c>
      <c r="F6" s="104">
        <f>_xll.qlCalendarAdvance(Calendar,E6,A7,"mf")</f>
        <v>41919</v>
      </c>
      <c r="G6" s="105">
        <f>_xll.qlQuoteValue(D6,AllTriggers)</f>
        <v>2.3259999999999999E-3</v>
      </c>
      <c r="H6" s="106">
        <f>_xll.qlOvernightIndexedSwapFairRate(B6,_xll.ohTrigger(C6,InterestRatesTrigger))</f>
        <v>1.0200000004892528E-3</v>
      </c>
      <c r="I6" s="107">
        <f t="shared" si="1"/>
        <v>1.3059999995107471E-3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obj_00350#0011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41830</v>
      </c>
      <c r="F7" s="97">
        <f>F6</f>
        <v>41919</v>
      </c>
      <c r="G7" s="98">
        <f>_xll.qlQuoteValue(D7,AllTriggers)</f>
        <v>2.2966671700239503E-3</v>
      </c>
      <c r="H7" s="99">
        <f>_xll.qlOvernightIndexedSwapFairRate(B7,_xll.ohTrigger(C7,InterestRatesTrigger))</f>
        <v>1.0177139754364113E-3</v>
      </c>
      <c r="I7" s="100">
        <f t="shared" si="1"/>
        <v>1.278953194587539E-3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3</v>
      </c>
      <c r="O7" s="111">
        <f t="shared" si="3"/>
        <v>92</v>
      </c>
      <c r="P7" s="111">
        <f t="shared" ref="P7:P14" si="6">(O7^2-N7^2)/(O7-N7)</f>
        <v>95</v>
      </c>
      <c r="Q7" s="108"/>
      <c r="R7" s="122">
        <f t="shared" si="4"/>
        <v>2916.333333333333</v>
      </c>
      <c r="S7" s="122">
        <f t="shared" si="5"/>
        <v>47.5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-41827</v>
      </c>
      <c r="O8" s="111">
        <f t="shared" si="3"/>
        <v>-41827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-41827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-4.9761256467018639E-7</v>
      </c>
      <c r="L9" s="99">
        <f>_xll.ohFilter($I$6:$I$9,$J$6:$J$9)-K9*_xll.ohFilter($P$6:$P$9,$J$6:$J$9)</f>
        <v>1.3262263882312067E-3</v>
      </c>
      <c r="M9" s="109"/>
      <c r="N9" s="111">
        <f t="shared" si="2"/>
        <v>-41827</v>
      </c>
      <c r="O9" s="111">
        <f t="shared" si="3"/>
        <v>-41827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-41827</v>
      </c>
      <c r="T9" s="122">
        <v>1</v>
      </c>
      <c r="V9" s="82">
        <f t="array" ref="V9:V11">_xll.ohFilter(R6:R14,$J6:$J14)</f>
        <v>2916.333333333333</v>
      </c>
      <c r="W9" s="83">
        <f t="array" ref="W9:W11">_xll.ohFilter(S6:S14,$J6:$J14)</f>
        <v>47.5</v>
      </c>
      <c r="X9" s="84">
        <f t="array" ref="X9:X11">_xll.ohFilter(T6:T14,$J6:$J14)</f>
        <v>1</v>
      </c>
      <c r="Z9" s="67">
        <f t="array" ref="Z9:Z11">MMULT(AD9:AF11,AB9:AB11)</f>
        <v>7.8150516070887566E-9</v>
      </c>
      <c r="AB9" s="67">
        <f t="array" ref="AB9:AB11">_xll.ohFilter(I6:I14,$J6:$J14)</f>
        <v>1.278953194587539E-3</v>
      </c>
      <c r="AD9" s="73">
        <f t="array" ref="AD9:AF11">MINVERSE(V9:X11)</f>
        <v>2.0924004017408813E-3</v>
      </c>
      <c r="AE9" s="74">
        <v>-2.3434884499497874E-3</v>
      </c>
      <c r="AF9" s="75">
        <v>2.5108804820890568E-4</v>
      </c>
      <c r="AH9" s="70">
        <f t="array" ref="AH9:AH11">MMULT(V9:X11,Z9:Z11)-AB9:AB11</f>
        <v>3.6862873864507151E-18</v>
      </c>
    </row>
    <row r="10" spans="1:34" x14ac:dyDescent="0.2">
      <c r="A10" s="214" t="str">
        <f>_xll.qlIMMNextCode(SettlementDate-1,FALSE)</f>
        <v>N4</v>
      </c>
      <c r="B10" s="29" t="str">
        <f>_xll.qlMakeDatedOIS(,E10,F10,OvernightIndex,0,,,,EvaluationDate)</f>
        <v>obj_00442#0009</v>
      </c>
      <c r="C10" s="12" t="b">
        <f>_xll.qlInstrumentSetPricingEngine(B10,OisEngine)</f>
        <v>1</v>
      </c>
      <c r="D10" s="11" t="str">
        <f>Currency&amp;"FUT3M"&amp;A10&amp;QuoteSuffix</f>
        <v>USDFUT3MN4_Quote</v>
      </c>
      <c r="E10" s="53">
        <f>_xll.qlIMMdate(A10)</f>
        <v>41836</v>
      </c>
      <c r="F10" s="54">
        <f>_xll.qlCalendarAdvance(Calendar,E10,"3M","mf")</f>
        <v>41928</v>
      </c>
      <c r="G10" s="50">
        <f>1-_xll.qlQuoteValue($D10,AllTriggers)/100</f>
        <v>2.3125000000000506E-3</v>
      </c>
      <c r="H10" s="15">
        <f>_xll.qlOvernightIndexedSwapFairRate(B10,_xll.ohTrigger(C10,InterestRatesTrigger))</f>
        <v>1.0414289321809644E-3</v>
      </c>
      <c r="I10" s="16">
        <f t="shared" si="1"/>
        <v>1.2710710678190862E-3</v>
      </c>
      <c r="J10" s="1" t="b">
        <f>AND(NOT(ISERROR(I10)))</f>
        <v>1</v>
      </c>
      <c r="K10" s="15">
        <f>(I10-_xll.ohFilter($I$6:$I$9,$J$6:$J$9))/(P10-_xll.ohFilter($P$6:$P$9,$J$6:$J$9))</f>
        <v>-5.2547511789685292E-7</v>
      </c>
      <c r="L10" s="15">
        <f>_xll.ohFilter($I$6:$I$9,$J$6:$J$9)-K10*_xll.ohFilter($P$6:$P$9,$J$6:$J$9)</f>
        <v>1.32887333078774E-3</v>
      </c>
      <c r="M10" s="5"/>
      <c r="N10" s="112">
        <f t="shared" si="2"/>
        <v>9</v>
      </c>
      <c r="O10" s="112">
        <f t="shared" si="3"/>
        <v>101</v>
      </c>
      <c r="P10" s="112">
        <f t="shared" si="6"/>
        <v>110</v>
      </c>
      <c r="R10" s="91">
        <f t="shared" si="4"/>
        <v>3730.3333333333335</v>
      </c>
      <c r="S10" s="91">
        <f t="shared" si="5"/>
        <v>55</v>
      </c>
      <c r="T10" s="91">
        <v>1</v>
      </c>
      <c r="V10" s="85">
        <v>3730.3333333333335</v>
      </c>
      <c r="W10" s="86">
        <v>55</v>
      </c>
      <c r="X10" s="87">
        <v>1</v>
      </c>
      <c r="Y10" s="58" t="s">
        <v>46</v>
      </c>
      <c r="Z10" s="68">
        <v>-1.8991438368830407E-6</v>
      </c>
      <c r="AA10" s="58" t="s">
        <v>47</v>
      </c>
      <c r="AB10" s="68">
        <v>1.2710710678190862E-3</v>
      </c>
      <c r="AD10" s="76">
        <v>-0.36042852360227723</v>
      </c>
      <c r="AE10" s="77">
        <v>0.3876799464345505</v>
      </c>
      <c r="AF10" s="78">
        <v>-2.7251422832273255E-2</v>
      </c>
      <c r="AH10" s="71">
        <v>3.903127820947816E-18</v>
      </c>
    </row>
    <row r="11" spans="1:34" x14ac:dyDescent="0.2">
      <c r="A11" s="214" t="str">
        <f>_xll.qlIMMNextCode(E10,IF(_xll.qlIMMIsIMMdate(E10,TRUE),FALSE,TRUE))</f>
        <v>U4</v>
      </c>
      <c r="B11" s="29" t="str">
        <f>_xll.qlMakeDatedOIS(,E11,F11,OvernightIndex,0,,,,EvaluationDate)</f>
        <v>obj_00443#0009</v>
      </c>
      <c r="C11" s="12" t="b">
        <f>_xll.qlInstrumentSetPricingEngine(B11,OisEngine)</f>
        <v>1</v>
      </c>
      <c r="D11" s="11" t="str">
        <f>Currency&amp;"FUT3M"&amp;A11&amp;QuoteSuffix</f>
        <v>USDFUT3MU4_Quote</v>
      </c>
      <c r="E11" s="53">
        <f>_xll.qlIMMdate(A11)</f>
        <v>41899</v>
      </c>
      <c r="F11" s="54">
        <f>_xll.qlCalendarAdvance(Calendar,E11,"3M","mf")</f>
        <v>41990</v>
      </c>
      <c r="G11" s="50">
        <f>1-_xll.qlQuoteValue($D11,AllTriggers)/100</f>
        <v>2.4250000000001215E-3</v>
      </c>
      <c r="H11" s="15">
        <f>_xll.qlOvernightIndexedSwapFairRate(B11,_xll.ohTrigger(C11,InterestRatesTrigger))</f>
        <v>1.1884885763843085E-3</v>
      </c>
      <c r="I11" s="16">
        <f t="shared" si="1"/>
        <v>1.236511423615813E-3</v>
      </c>
      <c r="J11" s="1" t="b">
        <f>NOT(ISERROR(I11))</f>
        <v>1</v>
      </c>
      <c r="K11" s="15">
        <f>(I11-_xll.ohFilter($I$6:$I$9,$J$6:$J$9))/(P11-_xll.ohFilter($P$6:$P$9,$J$6:$J$9))</f>
        <v>-3.0315550694089974E-7</v>
      </c>
      <c r="L11" s="15">
        <f>_xll.ohFilter($I$6:$I$9,$J$6:$J$9)-K11*_xll.ohFilter($P$6:$P$9,$J$6:$J$9)</f>
        <v>1.3077529677469244E-3</v>
      </c>
      <c r="M11" s="5"/>
      <c r="N11" s="112">
        <f t="shared" si="2"/>
        <v>72</v>
      </c>
      <c r="O11" s="112">
        <f t="shared" si="3"/>
        <v>163</v>
      </c>
      <c r="P11" s="112">
        <f t="shared" si="6"/>
        <v>235</v>
      </c>
      <c r="R11" s="91">
        <f t="shared" si="4"/>
        <v>14496.333333333332</v>
      </c>
      <c r="S11" s="91">
        <f t="shared" si="5"/>
        <v>117.5</v>
      </c>
      <c r="T11" s="91">
        <v>1</v>
      </c>
      <c r="V11" s="88">
        <v>14496.333333333332</v>
      </c>
      <c r="W11" s="89">
        <v>117.5</v>
      </c>
      <c r="X11" s="90">
        <v>1</v>
      </c>
      <c r="Z11" s="69">
        <v>1.346371231336014E-3</v>
      </c>
      <c r="AB11" s="69">
        <v>1.236511423615813E-3</v>
      </c>
      <c r="AD11" s="79">
        <v>12.01821783283118</v>
      </c>
      <c r="AE11" s="80">
        <v>-11.58040397277092</v>
      </c>
      <c r="AF11" s="81">
        <v>0.56218613993974109</v>
      </c>
      <c r="AH11" s="72">
        <v>4.5536491244391186E-18</v>
      </c>
    </row>
    <row r="12" spans="1:34" x14ac:dyDescent="0.2">
      <c r="A12" s="43">
        <v>1</v>
      </c>
      <c r="B12" s="29" t="str">
        <f>_xll.qlMakeDatedOIS(,E12,F12,OvernightIndex,0,,,,EvaluationDate)</f>
        <v>obj_00435#0010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41858</v>
      </c>
      <c r="F12" s="54">
        <f>_xll.qlInterestRateIndexMaturity($A$8,E12)</f>
        <v>41950</v>
      </c>
      <c r="G12" s="50">
        <f>_xll.qlQuoteValue(D12,AllTriggers)</f>
        <v>2.33E-3</v>
      </c>
      <c r="H12" s="15">
        <f>_xll.qlOvernightIndexedSwapFairRate(B12,_xll.ohTrigger(C12,InterestRatesTrigger))</f>
        <v>1.0902350224936566E-3</v>
      </c>
      <c r="I12" s="16">
        <f>G12-H12</f>
        <v>1.2397649775063434E-3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-6.6420706917280642E-7</v>
      </c>
      <c r="L12" s="15">
        <f>_xll.ohFilter($I$6:$I$9,$J$6:$J$9)-K12*_xll.ohFilter($P$6:$P$9,$J$6:$J$9)</f>
        <v>1.3420528661589556E-3</v>
      </c>
      <c r="M12" s="5"/>
      <c r="N12" s="112">
        <f t="shared" si="2"/>
        <v>31</v>
      </c>
      <c r="O12" s="112">
        <f t="shared" si="3"/>
        <v>123</v>
      </c>
      <c r="P12" s="112">
        <f t="shared" si="6"/>
        <v>154</v>
      </c>
      <c r="R12" s="91">
        <f t="shared" si="4"/>
        <v>6634.333333333333</v>
      </c>
      <c r="S12" s="91">
        <f t="shared" si="5"/>
        <v>77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obj_0042f#0010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41890</v>
      </c>
      <c r="F13" s="54">
        <f>_xll.qlInterestRateIndexMaturity($A$8,E13)</f>
        <v>41981</v>
      </c>
      <c r="G13" s="50">
        <f>_xll.qlQuoteValue(D13,AllTriggers)</f>
        <v>2.3899999999999998E-3</v>
      </c>
      <c r="H13" s="15">
        <f>_xll.qlOvernightIndexedSwapFairRate(B13,_xll.ohTrigger(C13,InterestRatesTrigger))</f>
        <v>1.159029967289361E-3</v>
      </c>
      <c r="I13" s="16">
        <f>G13-H13</f>
        <v>1.2309700327106387E-3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-3.9330460554836281E-7</v>
      </c>
      <c r="L13" s="15">
        <f>_xll.ohFilter($I$6:$I$9,$J$6:$J$9)-K13*_xll.ohFilter($P$6:$P$9,$J$6:$J$9)</f>
        <v>1.3163171321146335E-3</v>
      </c>
      <c r="M13" s="5"/>
      <c r="N13" s="112">
        <f t="shared" si="2"/>
        <v>63</v>
      </c>
      <c r="O13" s="112">
        <f t="shared" si="3"/>
        <v>154</v>
      </c>
      <c r="P13" s="112">
        <f t="shared" si="6"/>
        <v>217</v>
      </c>
      <c r="R13" s="91">
        <f t="shared" si="4"/>
        <v>12462.333333333332</v>
      </c>
      <c r="S13" s="91">
        <f t="shared" si="5"/>
        <v>108.5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obj_00433#0010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41919</v>
      </c>
      <c r="F14" s="54">
        <f>_xll.qlInterestRateIndexMaturity($A$8,E14)</f>
        <v>42011</v>
      </c>
      <c r="G14" s="50">
        <f>_xll.qlQuoteValue(D14,AllTriggers)</f>
        <v>2.4399999999999999E-3</v>
      </c>
      <c r="H14" s="15">
        <f>_xll.qlOvernightIndexedSwapFairRate(B14,_xll.ohTrigger(C14,InterestRatesTrigger))</f>
        <v>1.2596716451016854E-3</v>
      </c>
      <c r="I14" s="16">
        <f>G14-H14</f>
        <v>1.1803283548983145E-3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-5.4488861706753845E-7</v>
      </c>
      <c r="L14" s="15">
        <f>_xll.ohFilter($I$6:$I$9,$J$6:$J$9)-K14*_xll.ohFilter($P$6:$P$9,$J$6:$J$9)</f>
        <v>1.3307176132089551E-3</v>
      </c>
      <c r="M14" s="5"/>
      <c r="N14" s="112">
        <f t="shared" si="2"/>
        <v>92</v>
      </c>
      <c r="O14" s="112">
        <f t="shared" si="3"/>
        <v>184</v>
      </c>
      <c r="P14" s="112">
        <f t="shared" si="6"/>
        <v>276</v>
      </c>
      <c r="R14" s="91">
        <f t="shared" si="4"/>
        <v>19749.333333333336</v>
      </c>
      <c r="S14" s="91">
        <f t="shared" si="5"/>
        <v>138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obj_00430#0009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41827</v>
      </c>
      <c r="F15" s="104">
        <f>_xll.qlCalendarAdvance(Calendar,E15,A16,"mf")</f>
        <v>42011</v>
      </c>
      <c r="G15" s="105">
        <f>_xll.qlQuoteValue($D15,AllTriggers)</f>
        <v>3.2529999999999998E-3</v>
      </c>
      <c r="H15" s="106">
        <f>_xll.qlOvernightIndexedSwapFairRate(B15,_xll.ohTrigger(C15,InterestRatesTrigger))</f>
        <v>1.1399999999999091E-3</v>
      </c>
      <c r="I15" s="107">
        <f t="shared" si="1"/>
        <v>2.1130000000000905E-3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184</v>
      </c>
      <c r="P15" s="111">
        <f t="shared" ref="P15:P27" si="7">(O15^2-N15^2)/(O15-N15)</f>
        <v>184</v>
      </c>
      <c r="Q15" s="108"/>
      <c r="R15" s="122">
        <f t="shared" ref="R15:R27" si="8">(O15^3-N15^3)/3/(O15-N15)</f>
        <v>11285.333333333332</v>
      </c>
      <c r="S15" s="122">
        <f t="shared" ref="S15:S27" si="9">(O15+N15)/2</f>
        <v>92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obj_00352#0011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41830</v>
      </c>
      <c r="F16" s="97">
        <f>_xll.qlInterestRateIndexMaturity(A17,E16)</f>
        <v>42016</v>
      </c>
      <c r="G16" s="98">
        <f>_xll.qlQuoteValue(D16,AllTriggers)</f>
        <v>3.2549219621170345E-3</v>
      </c>
      <c r="H16" s="99">
        <f>_xll.qlOvernightIndexedSwapFairRate(B16,_xll.ohTrigger(C16,InterestRatesTrigger))</f>
        <v>1.1482371799758657E-3</v>
      </c>
      <c r="I16" s="100">
        <f t="shared" si="1"/>
        <v>2.1066847821411688E-3</v>
      </c>
      <c r="J16" s="108" t="b">
        <f>AND(NOT(ISERROR(I16)))</f>
        <v>1</v>
      </c>
      <c r="K16" s="109"/>
      <c r="L16" s="109"/>
      <c r="M16" s="109"/>
      <c r="N16" s="111">
        <f t="shared" si="2"/>
        <v>3</v>
      </c>
      <c r="O16" s="111">
        <f t="shared" si="3"/>
        <v>189</v>
      </c>
      <c r="P16" s="111">
        <f t="shared" si="7"/>
        <v>192</v>
      </c>
      <c r="Q16" s="108"/>
      <c r="R16" s="122">
        <f t="shared" si="8"/>
        <v>12099</v>
      </c>
      <c r="S16" s="122">
        <f t="shared" si="9"/>
        <v>96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-41827</v>
      </c>
      <c r="O17" s="111">
        <f t="shared" si="3"/>
        <v>-41827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-41827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-1.9864579937863863E-7</v>
      </c>
      <c r="L18" s="99">
        <f>_xll.ohFilter($I$15:$I$18,$J$15:$J$18)-K18*_xll.ohFilter($P$15:$P$18,$J$15:$J$18)</f>
        <v>2.1448247756218675E-3</v>
      </c>
      <c r="M18" s="109"/>
      <c r="N18" s="111">
        <f t="shared" si="2"/>
        <v>-41827</v>
      </c>
      <c r="O18" s="111">
        <f t="shared" si="3"/>
        <v>-41827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-41827</v>
      </c>
      <c r="T18" s="122">
        <v>1</v>
      </c>
      <c r="V18" s="82">
        <f t="array" ref="V18:V20">_xll.ohFilter(R15:R24,$J15:$J24)</f>
        <v>12099</v>
      </c>
      <c r="W18" s="83">
        <f t="array" ref="W18:W20">_xll.ohFilter(S15:S24,$J15:$J24)</f>
        <v>96</v>
      </c>
      <c r="X18" s="84">
        <f t="array" ref="X18:X20">_xll.ohFilter(T15:T24,$J15:$J24)</f>
        <v>1</v>
      </c>
      <c r="Z18" s="67">
        <f t="array" ref="Z18:Z20">MMULT(AD18:AF20,AB18:AB20)</f>
        <v>-5.5698578397173622E-9</v>
      </c>
      <c r="AB18" s="67">
        <f t="array" ref="AB18:AB20">_xll.ohFilter(I15:I24,$J15:$J24)</f>
        <v>2.1066847821411688E-3</v>
      </c>
      <c r="AD18" s="73">
        <f t="array" ref="AD18:AF20">MINVERSE(V18:X20)</f>
        <v>6.6246614061947929E-4</v>
      </c>
      <c r="AE18" s="74">
        <v>-1.2807678718643268E-3</v>
      </c>
      <c r="AF18" s="75">
        <v>6.1830173124484736E-4</v>
      </c>
      <c r="AH18" s="70">
        <f t="array" ref="AH18:AH20">MMULT(V18:X20,Z18:Z20)-AB18:AB20</f>
        <v>-1.4311468676808659E-17</v>
      </c>
    </row>
    <row r="19" spans="1:34" x14ac:dyDescent="0.2">
      <c r="A19" s="43">
        <v>1</v>
      </c>
      <c r="B19" s="29" t="str">
        <f>_xll.qlMakeDatedOIS(,E19,F19,OvernightIndex,0,,,,EvaluationDate)</f>
        <v>obj_0042e#0010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41858</v>
      </c>
      <c r="F19" s="54">
        <f>_xll.qlInterestRateIndexMaturity($A$17,E19)</f>
        <v>42044</v>
      </c>
      <c r="G19" s="27">
        <f>_xll.qlQuoteValue(D19,AllTriggers)</f>
        <v>3.3199999999999996E-3</v>
      </c>
      <c r="H19" s="15">
        <f>_xll.qlOvernightIndexedSwapFairRate(B19,_xll.ohTrigger(C19,InterestRatesTrigger))</f>
        <v>1.2265642147046125E-3</v>
      </c>
      <c r="I19" s="16">
        <f t="shared" ref="I19:I24" si="11">G19-H19</f>
        <v>2.0934357852953871E-3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-2.3658922938895881E-7</v>
      </c>
      <c r="L19" s="15">
        <f>_xll.ohFilter($I$15:$I$18,$J$15:$J$18)-K19*_xll.ohFilter($P$15:$P$18,$J$15:$J$18)</f>
        <v>2.152109914183849E-3</v>
      </c>
      <c r="M19" s="5"/>
      <c r="N19" s="112">
        <f t="shared" si="2"/>
        <v>31</v>
      </c>
      <c r="O19" s="112">
        <f t="shared" si="3"/>
        <v>217</v>
      </c>
      <c r="P19" s="112">
        <f t="shared" si="7"/>
        <v>248</v>
      </c>
      <c r="R19" s="91">
        <f t="shared" si="8"/>
        <v>18259</v>
      </c>
      <c r="S19" s="91">
        <f t="shared" si="9"/>
        <v>124</v>
      </c>
      <c r="T19" s="91">
        <v>1</v>
      </c>
      <c r="V19" s="85">
        <v>18259</v>
      </c>
      <c r="W19" s="86">
        <v>124</v>
      </c>
      <c r="X19" s="87">
        <v>1</v>
      </c>
      <c r="Y19" s="58" t="s">
        <v>46</v>
      </c>
      <c r="Z19" s="68">
        <v>7.5219026595969418E-7</v>
      </c>
      <c r="AA19" s="58" t="s">
        <v>47</v>
      </c>
      <c r="AB19" s="68">
        <v>2.0934357852953871E-3</v>
      </c>
      <c r="AD19" s="76">
        <v>-0.18145683665057125</v>
      </c>
      <c r="AE19" s="77">
        <v>0.31748321752443764</v>
      </c>
      <c r="AF19" s="78">
        <v>-0.13602638087386645</v>
      </c>
      <c r="AH19" s="71">
        <v>-1.9949319973733282E-17</v>
      </c>
    </row>
    <row r="20" spans="1:34" x14ac:dyDescent="0.2">
      <c r="A20" s="43">
        <v>2</v>
      </c>
      <c r="B20" s="29" t="str">
        <f>_xll.qlMakeDatedOIS(,E20,F20,OvernightIndex,0,,,,EvaluationDate)</f>
        <v>obj_0043d#0010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41890</v>
      </c>
      <c r="F20" s="54">
        <f>_xll.qlInterestRateIndexMaturity($A$17,E20)</f>
        <v>42072</v>
      </c>
      <c r="G20" s="27">
        <f>_xll.qlQuoteValue(D20,AllTriggers)</f>
        <v>3.4099999999999998E-3</v>
      </c>
      <c r="H20" s="15">
        <f>_xll.qlOvernightIndexedSwapFairRate(B20,_xll.ohTrigger(C20,InterestRatesTrigger))</f>
        <v>1.3397678852140528E-3</v>
      </c>
      <c r="I20" s="16">
        <f t="shared" si="11"/>
        <v>2.0702321147859472E-3</v>
      </c>
      <c r="J20" s="1" t="b">
        <f t="shared" si="12"/>
        <v>1</v>
      </c>
      <c r="K20" s="15">
        <f>(I20-_xll.ohFilter($I$15:$I$18,$J$15:$J$18))/(P20-_xll.ohFilter($P$15:$P$18,$J$15:$J$18))</f>
        <v>-3.1424713237260013E-7</v>
      </c>
      <c r="L20" s="15">
        <f>_xll.ohFilter($I$15:$I$18,$J$15:$J$18)-K20*_xll.ohFilter($P$15:$P$18,$J$15:$J$18)</f>
        <v>2.1670202315567082E-3</v>
      </c>
      <c r="M20" s="5"/>
      <c r="N20" s="112">
        <f t="shared" si="2"/>
        <v>63</v>
      </c>
      <c r="O20" s="112">
        <f t="shared" si="3"/>
        <v>245</v>
      </c>
      <c r="P20" s="112">
        <f t="shared" si="7"/>
        <v>308</v>
      </c>
      <c r="R20" s="91">
        <f t="shared" si="8"/>
        <v>26476.333333333336</v>
      </c>
      <c r="S20" s="91">
        <f t="shared" si="9"/>
        <v>154</v>
      </c>
      <c r="T20" s="91">
        <v>1</v>
      </c>
      <c r="V20" s="88">
        <v>26476.333333333336</v>
      </c>
      <c r="W20" s="89">
        <v>154</v>
      </c>
      <c r="X20" s="90">
        <v>1</v>
      </c>
      <c r="Z20" s="69">
        <v>2.1018642266117642E-3</v>
      </c>
      <c r="AB20" s="69">
        <v>2.0702321147859472E-3</v>
      </c>
      <c r="AD20" s="79">
        <v>10.40467848309976</v>
      </c>
      <c r="AE20" s="80">
        <v>-14.982378400659531</v>
      </c>
      <c r="AF20" s="81">
        <v>5.5776999175597721</v>
      </c>
      <c r="AH20" s="72">
        <v>-2.688821387764051E-17</v>
      </c>
    </row>
    <row r="21" spans="1:34" x14ac:dyDescent="0.2">
      <c r="A21" s="43">
        <v>3</v>
      </c>
      <c r="B21" s="29" t="str">
        <f>_xll.qlMakeDatedOIS(,E21,F21,OvernightIndex,0,,,,EvaluationDate)</f>
        <v>obj_00437#0010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41919</v>
      </c>
      <c r="F21" s="54">
        <f>_xll.qlInterestRateIndexMaturity($A$17,E21)</f>
        <v>42101</v>
      </c>
      <c r="G21" s="27">
        <f>_xll.qlQuoteValue(D21,AllTriggers)</f>
        <v>3.5399999999999997E-3</v>
      </c>
      <c r="H21" s="15">
        <f>_xll.qlOvernightIndexedSwapFairRate(B21,_xll.ohTrigger(C21,InterestRatesTrigger))</f>
        <v>1.4411627981879692E-3</v>
      </c>
      <c r="I21" s="16">
        <f t="shared" si="11"/>
        <v>2.0988372018120307E-3</v>
      </c>
      <c r="J21" s="1" t="b">
        <f t="shared" si="12"/>
        <v>1</v>
      </c>
      <c r="K21" s="15">
        <f>(I21-_xll.ohFilter($I$15:$I$18,$J$15:$J$18))/(P21-_xll.ohFilter($P$15:$P$18,$J$15:$J$18))</f>
        <v>-4.5101036374356931E-8</v>
      </c>
      <c r="L21" s="15">
        <f>_xll.ohFilter($I$15:$I$18,$J$15:$J$18)-K21*_xll.ohFilter($P$15:$P$18,$J$15:$J$18)</f>
        <v>2.1153441811250454E-3</v>
      </c>
      <c r="M21" s="5"/>
      <c r="N21" s="112">
        <f t="shared" si="2"/>
        <v>92</v>
      </c>
      <c r="O21" s="112">
        <f t="shared" si="3"/>
        <v>274</v>
      </c>
      <c r="P21" s="112">
        <f t="shared" si="7"/>
        <v>366</v>
      </c>
      <c r="R21" s="91">
        <f t="shared" si="8"/>
        <v>36249.333333333336</v>
      </c>
      <c r="S21" s="91">
        <f t="shared" si="9"/>
        <v>183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obj_00436#0010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41950</v>
      </c>
      <c r="F22" s="54">
        <f>_xll.qlInterestRateIndexMaturity($A$17,E22)</f>
        <v>42131</v>
      </c>
      <c r="G22" s="27">
        <f>_xll.qlQuoteValue(D22,AllTriggers)</f>
        <v>3.7099999999999998E-3</v>
      </c>
      <c r="H22" s="15">
        <f>_xll.qlOvernightIndexedSwapFairRate(B22,_xll.ohTrigger(C22,InterestRatesTrigger))</f>
        <v>1.5968802267468877E-3</v>
      </c>
      <c r="I22" s="16">
        <f t="shared" si="11"/>
        <v>2.1131197732531118E-3</v>
      </c>
      <c r="J22" s="1" t="b">
        <f t="shared" si="12"/>
        <v>1</v>
      </c>
      <c r="K22" s="15">
        <f>(I22-_xll.ohFilter($I$15:$I$18,$J$15:$J$18))/(P22-_xll.ohFilter($P$15:$P$18,$J$15:$J$18))</f>
        <v>2.7382940901885066E-8</v>
      </c>
      <c r="L22" s="15">
        <f>_xll.ohFilter($I$15:$I$18,$J$15:$J$18)-K22*_xll.ohFilter($P$15:$P$18,$J$15:$J$18)</f>
        <v>2.1014272574880069E-3</v>
      </c>
      <c r="M22" s="5"/>
      <c r="N22" s="112">
        <f t="shared" si="2"/>
        <v>123</v>
      </c>
      <c r="O22" s="112">
        <f t="shared" si="3"/>
        <v>304</v>
      </c>
      <c r="P22" s="112">
        <f t="shared" si="7"/>
        <v>427</v>
      </c>
      <c r="R22" s="91">
        <f t="shared" si="8"/>
        <v>48312.333333333336</v>
      </c>
      <c r="S22" s="91">
        <f t="shared" si="9"/>
        <v>213.5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obj_00431#0010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41981</v>
      </c>
      <c r="F23" s="54">
        <f>_xll.qlInterestRateIndexMaturity($A$17,E23)</f>
        <v>42163</v>
      </c>
      <c r="G23" s="27">
        <f>_xll.qlQuoteValue(D23,AllTriggers)</f>
        <v>3.9500000000000004E-3</v>
      </c>
      <c r="H23" s="15">
        <f>_xll.qlOvernightIndexedSwapFairRate(B23,_xll.ohTrigger(C23,InterestRatesTrigger))</f>
        <v>1.846062299094918E-3</v>
      </c>
      <c r="I23" s="16">
        <f t="shared" si="11"/>
        <v>2.1039377009050824E-3</v>
      </c>
      <c r="J23" s="1" t="b">
        <f t="shared" si="12"/>
        <v>1</v>
      </c>
      <c r="K23" s="15">
        <f>(I23-_xll.ohFilter($I$15:$I$18,$J$15:$J$18))/(P23-_xll.ohFilter($P$15:$P$18,$J$15:$J$18))</f>
        <v>-9.2183934096859954E-9</v>
      </c>
      <c r="L23" s="15">
        <f>_xll.ohFilter($I$15:$I$18,$J$15:$J$18)-K23*_xll.ohFilter($P$15:$P$18,$J$15:$J$18)</f>
        <v>2.1084547136758286E-3</v>
      </c>
      <c r="M23" s="5"/>
      <c r="N23" s="112">
        <f t="shared" si="2"/>
        <v>154</v>
      </c>
      <c r="O23" s="112">
        <f t="shared" si="3"/>
        <v>336</v>
      </c>
      <c r="P23" s="112">
        <f t="shared" si="7"/>
        <v>490</v>
      </c>
      <c r="R23" s="91">
        <f t="shared" si="8"/>
        <v>62785.333333333328</v>
      </c>
      <c r="S23" s="91">
        <f t="shared" si="9"/>
        <v>245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obj_0042d#0010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42011</v>
      </c>
      <c r="F24" s="54">
        <f>_xll.qlInterestRateIndexMaturity($A$17,E24)</f>
        <v>42192</v>
      </c>
      <c r="G24" s="27">
        <f>_xll.qlQuoteValue(D24,AllTriggers)</f>
        <v>4.28E-3</v>
      </c>
      <c r="H24" s="15">
        <f>_xll.qlOvernightIndexedSwapFairRate(B24,_xll.ohTrigger(C24,InterestRatesTrigger))</f>
        <v>2.106728280758904E-3</v>
      </c>
      <c r="I24" s="16">
        <f t="shared" si="11"/>
        <v>2.173271719241096E-3</v>
      </c>
      <c r="J24" s="1" t="b">
        <f t="shared" si="12"/>
        <v>1</v>
      </c>
      <c r="K24" s="15">
        <f>(I24-_xll.ohFilter($I$15:$I$18,$J$15:$J$18))/(P24-_xll.ohFilter($P$15:$P$18,$J$15:$J$18))</f>
        <v>1.8651803109223295E-7</v>
      </c>
      <c r="L24" s="15">
        <f>_xll.ohFilter($I$15:$I$18,$J$15:$J$18)-K24*_xll.ohFilter($P$15:$P$18,$J$15:$J$18)</f>
        <v>2.0708733201714601E-3</v>
      </c>
      <c r="M24" s="5"/>
      <c r="N24" s="112">
        <f t="shared" si="2"/>
        <v>184</v>
      </c>
      <c r="O24" s="112">
        <f t="shared" si="3"/>
        <v>365</v>
      </c>
      <c r="P24" s="112">
        <f t="shared" si="7"/>
        <v>549</v>
      </c>
      <c r="R24" s="91">
        <f t="shared" si="8"/>
        <v>78080.333333333343</v>
      </c>
      <c r="S24" s="91">
        <f t="shared" si="9"/>
        <v>274.5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obj_0043f#0009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41827</v>
      </c>
      <c r="F25" s="104">
        <f>_xll.qlCalendarAdvance(Calendar,E25,A26,"mf")</f>
        <v>42192</v>
      </c>
      <c r="G25" s="105">
        <f>_xll.qlQuoteValue($D25,AllTriggers)</f>
        <v>5.4710000000000002E-3</v>
      </c>
      <c r="H25" s="106">
        <f>_xll.qlOvernightIndexedSwapFairRate(B25,_xll.ohTrigger(C25,InterestRatesTrigger))</f>
        <v>1.6199999999993344E-3</v>
      </c>
      <c r="I25" s="107">
        <f t="shared" si="1"/>
        <v>3.8510000000006655E-3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obj_00353#0011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41830</v>
      </c>
      <c r="F26" s="97">
        <f>_xll.qlInterestRateIndexMaturity(A27,E26)</f>
        <v>42195</v>
      </c>
      <c r="G26" s="98">
        <f>_xll.qlQuoteValue(D26,AllTriggers)</f>
        <v>5.5315273022654085E-3</v>
      </c>
      <c r="H26" s="99">
        <f>_xll.qlOvernightIndexedSwapFairRate(B26,_xll.ohTrigger(C26,InterestRatesTrigger))</f>
        <v>1.6380115686571446E-3</v>
      </c>
      <c r="I26" s="100">
        <f t="shared" si="1"/>
        <v>3.8935157336082637E-3</v>
      </c>
      <c r="J26" s="108" t="b">
        <f>NOT(ISERROR(I26))</f>
        <v>1</v>
      </c>
      <c r="K26" s="110">
        <f>K27</f>
        <v>2.9026189462267361E-7</v>
      </c>
      <c r="L26" s="99">
        <f>L27</f>
        <v>3.7858285707032518E-3</v>
      </c>
      <c r="M26" s="109"/>
      <c r="N26" s="111">
        <f t="shared" si="2"/>
        <v>3</v>
      </c>
      <c r="O26" s="111">
        <f t="shared" si="3"/>
        <v>368</v>
      </c>
      <c r="P26" s="111">
        <f t="shared" si="7"/>
        <v>371</v>
      </c>
      <c r="Q26" s="108"/>
      <c r="R26" s="122">
        <f t="shared" si="8"/>
        <v>45512.333333333328</v>
      </c>
      <c r="S26" s="122">
        <f t="shared" si="9"/>
        <v>185.5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obj_00438#0010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42192</v>
      </c>
      <c r="F27" s="54">
        <f>_xll.qlInterestRateIndexMaturity(A27,E27)</f>
        <v>42558</v>
      </c>
      <c r="G27" s="27">
        <f>_xll.qlQuoteValue(D27,AllTriggers)</f>
        <v>1.192E-2</v>
      </c>
      <c r="H27" s="15">
        <f>_xll.qlOvernightIndexedSwapFairRate(B27,_xll.ohTrigger(C27,InterestRatesTrigger))</f>
        <v>7.816044392790298E-3</v>
      </c>
      <c r="I27" s="16">
        <f t="shared" si="1"/>
        <v>4.1039556072097021E-3</v>
      </c>
      <c r="J27" s="1" t="b">
        <f>NOT(ISERROR(I27))</f>
        <v>1</v>
      </c>
      <c r="K27" s="15">
        <f>(I27-_xll.ohFilter($I$25:$I$26,$J$25:$J$26))/(P27-_xll.ohFilter($P$25:$P$26,$J$25:$J$26))</f>
        <v>2.9026189462267361E-7</v>
      </c>
      <c r="L27" s="15">
        <f>_xll.ohFilter($I$25:$I$26,$J$25:$J$26)-K27*_xll.ohFilter($P$25:$P$26,$J$25:$J$26)</f>
        <v>3.7858285707032518E-3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7.8150516070887566E-9</v>
      </c>
      <c r="W30" s="13">
        <f>Z18</f>
        <v>-5.5698578397173622E-9</v>
      </c>
    </row>
    <row r="31" spans="1:34" x14ac:dyDescent="0.2">
      <c r="F31" s="43" t="s">
        <v>32</v>
      </c>
      <c r="G31" s="37">
        <f>_xll.ohFilter(I2:I3,J2:J3)</f>
        <v>5.1625509185296693E-4</v>
      </c>
      <c r="H31" s="38">
        <f>_xll.ohFilter(I6:I9,J6:J9)</f>
        <v>1.278953194587539E-3</v>
      </c>
      <c r="I31" s="38">
        <f>_xll.ohFilter(I15:I18,J15:J18)</f>
        <v>2.1066847821411688E-3</v>
      </c>
      <c r="J31" s="39">
        <f>_xll.ohFilter(I25:I26,J25:J26)</f>
        <v>3.8935157336082637E-3</v>
      </c>
      <c r="M31" s="58" t="s">
        <v>45</v>
      </c>
      <c r="N31" s="57">
        <f>K4</f>
        <v>3.2833086634546756E-6</v>
      </c>
      <c r="O31" s="57">
        <f>K9</f>
        <v>-4.9761256467018639E-7</v>
      </c>
      <c r="P31" s="57">
        <f>AVERAGE(K19:K21)</f>
        <v>-1.9864579937863863E-7</v>
      </c>
      <c r="Q31" s="57">
        <f>K26</f>
        <v>2.9026189462267361E-7</v>
      </c>
      <c r="U31" s="118" t="s">
        <v>45</v>
      </c>
      <c r="V31" s="63">
        <f>Z10</f>
        <v>-1.8991438368830407E-6</v>
      </c>
      <c r="W31" s="16">
        <f>Z19</f>
        <v>7.5219026595969418E-7</v>
      </c>
    </row>
    <row r="32" spans="1:34" x14ac:dyDescent="0.2">
      <c r="F32" s="43" t="s">
        <v>31</v>
      </c>
      <c r="G32" s="37">
        <f>IF(G31&lt;H31,G31,H31)</f>
        <v>5.1625509185296693E-4</v>
      </c>
      <c r="H32" s="38">
        <f>H31</f>
        <v>1.278953194587539E-3</v>
      </c>
      <c r="I32" s="38">
        <f>IF(I31&lt;H31,H31,I31)</f>
        <v>2.1066847821411688E-3</v>
      </c>
      <c r="J32" s="39">
        <f>IF(J31&lt;I31,I31,J31)</f>
        <v>3.8935157336082637E-3</v>
      </c>
      <c r="M32" s="58" t="s">
        <v>44</v>
      </c>
      <c r="N32" s="57">
        <f>L4</f>
        <v>4.0462259729550796E-4</v>
      </c>
      <c r="O32" s="57">
        <f>L9</f>
        <v>1.3262263882312067E-3</v>
      </c>
      <c r="P32" s="57">
        <f>L18</f>
        <v>2.1448247756218675E-3</v>
      </c>
      <c r="Q32" s="57">
        <f>L26</f>
        <v>3.7858285707032518E-3</v>
      </c>
      <c r="U32" s="118" t="s">
        <v>44</v>
      </c>
      <c r="V32" s="63">
        <f>Z11</f>
        <v>1.346371231336014E-3</v>
      </c>
      <c r="W32" s="16">
        <f>Z20</f>
        <v>2.1018642266117642E-3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obj_006b8#0002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41827</v>
      </c>
      <c r="F34" s="22">
        <f>_xll.qlCalendarAdvance(Calendar,SettlementDate,D34,"Following")</f>
        <v>41828</v>
      </c>
      <c r="G34" s="32">
        <f t="shared" ref="G34:J38" si="14">$L34+IF(G$30,G$32,N34)</f>
        <v>1.3579059059623312E-3</v>
      </c>
      <c r="H34" s="32">
        <f t="shared" si="14"/>
        <v>2.2954242644381436E-3</v>
      </c>
      <c r="I34" s="32">
        <f t="shared" si="14"/>
        <v>3.0522384651288331E-3</v>
      </c>
      <c r="J34" s="32">
        <f t="shared" si="14"/>
        <v>4.843515733611632E-3</v>
      </c>
      <c r="K34" s="124">
        <f>F34-$E$6</f>
        <v>1</v>
      </c>
      <c r="L34" s="2">
        <f>L35</f>
        <v>9.5000000000336861E-4</v>
      </c>
      <c r="N34" s="62">
        <f>N$31*$K34+N$32</f>
        <v>4.0790590595896265E-4</v>
      </c>
      <c r="O34" s="63">
        <f t="shared" ref="O34:P40" si="15">IF(O$30,V34,O$31*$K34+O$32)</f>
        <v>1.3454242644347749E-3</v>
      </c>
      <c r="P34" s="63">
        <f t="shared" si="15"/>
        <v>2.1022384651254644E-3</v>
      </c>
      <c r="Q34" s="16">
        <f t="shared" ref="Q34:Q49" si="16">Q$31*$K34+Q$32</f>
        <v>3.7861188325978745E-3</v>
      </c>
      <c r="U34" s="21" t="s">
        <v>14</v>
      </c>
      <c r="V34" s="63">
        <f t="shared" ref="V34:W40" si="17">$K34*$K34/3*V$30+$K34/2*V$31+V$32</f>
        <v>1.3454242644347749E-3</v>
      </c>
      <c r="W34" s="16">
        <f t="shared" si="17"/>
        <v>2.1022384651254644E-3</v>
      </c>
    </row>
    <row r="35" spans="2:23" x14ac:dyDescent="0.2">
      <c r="B35" s="29" t="str">
        <f>_xll.qlMakeDatedOIS(,E35,F35,OvernightIndex,0,,,,EvaluationDate)</f>
        <v>obj_00422#0009</v>
      </c>
      <c r="C35" s="5" t="b">
        <f>_xll.qlInstrumentSetPricingEngine(B35,OisEngine)</f>
        <v>1</v>
      </c>
      <c r="D35" s="23" t="s">
        <v>4</v>
      </c>
      <c r="E35" s="53">
        <f t="shared" si="13"/>
        <v>41827</v>
      </c>
      <c r="F35" s="24">
        <f>_xll.qlCalendarAdvance(Calendar,SettlementDate,D35,"Following")</f>
        <v>41834</v>
      </c>
      <c r="G35" s="32">
        <f t="shared" si="14"/>
        <v>1.3776057579430593E-3</v>
      </c>
      <c r="H35" s="32">
        <f t="shared" si="14"/>
        <v>2.2898518737532077E-3</v>
      </c>
      <c r="I35" s="32">
        <f t="shared" si="14"/>
        <v>3.0544059182012764E-3</v>
      </c>
      <c r="J35" s="32">
        <f t="shared" si="14"/>
        <v>4.843515733611632E-3</v>
      </c>
      <c r="K35" s="125">
        <f t="shared" ref="K35:K49" si="18">F35-$E$6</f>
        <v>7</v>
      </c>
      <c r="L35" s="3">
        <f>_xll.qlOvernightIndexedSwapFairRate(B35,_xll.ohTrigger(C35,InterestRatesTrigger))</f>
        <v>9.5000000000336861E-4</v>
      </c>
      <c r="N35" s="62">
        <f>N$31*$K35+N$32</f>
        <v>4.2760575793969067E-4</v>
      </c>
      <c r="O35" s="63">
        <f t="shared" si="15"/>
        <v>1.3398518737498392E-3</v>
      </c>
      <c r="P35" s="63">
        <f t="shared" si="15"/>
        <v>2.1044059181979076E-3</v>
      </c>
      <c r="Q35" s="16">
        <f t="shared" si="16"/>
        <v>3.7878604039656106E-3</v>
      </c>
      <c r="U35" s="23" t="s">
        <v>4</v>
      </c>
      <c r="V35" s="63">
        <f t="shared" si="17"/>
        <v>1.3398518737498392E-3</v>
      </c>
      <c r="W35" s="16">
        <f t="shared" si="17"/>
        <v>2.1044059181979076E-3</v>
      </c>
    </row>
    <row r="36" spans="2:23" x14ac:dyDescent="0.2">
      <c r="B36" s="29" t="str">
        <f>_xll.qlMakeDatedOIS(,E36,F36,OvernightIndex,0,,,,EvaluationDate)</f>
        <v>obj_003f4#0009</v>
      </c>
      <c r="C36" s="5" t="b">
        <f>_xll.qlInstrumentSetPricingEngine(B36,OisEngine)</f>
        <v>1</v>
      </c>
      <c r="D36" s="23" t="s">
        <v>5</v>
      </c>
      <c r="E36" s="53">
        <f t="shared" si="13"/>
        <v>41827</v>
      </c>
      <c r="F36" s="24">
        <f>_xll.qlCalendarAdvance(Calendar,SettlementDate,D36,"Following")</f>
        <v>41841</v>
      </c>
      <c r="G36" s="32">
        <f t="shared" si="14"/>
        <v>1.4105889232116085E-3</v>
      </c>
      <c r="H36" s="32">
        <f t="shared" si="14"/>
        <v>2.293587812477231E-3</v>
      </c>
      <c r="I36" s="32">
        <f t="shared" si="14"/>
        <v>3.0667656657223557E-3</v>
      </c>
      <c r="J36" s="32">
        <f t="shared" si="14"/>
        <v>4.8535157382359985E-3</v>
      </c>
      <c r="K36" s="125">
        <f t="shared" si="18"/>
        <v>14</v>
      </c>
      <c r="L36" s="3">
        <f>_xll.qlOvernightIndexedSwapFairRate(B36,_xll.ohTrigger(C36,InterestRatesTrigger))</f>
        <v>9.6000000462773507E-4</v>
      </c>
      <c r="N36" s="62">
        <f>N$31*$K36+N$32</f>
        <v>4.5058891858387344E-4</v>
      </c>
      <c r="O36" s="63">
        <f t="shared" si="15"/>
        <v>1.3335878078494959E-3</v>
      </c>
      <c r="P36" s="63">
        <f t="shared" si="15"/>
        <v>2.1067656610946205E-3</v>
      </c>
      <c r="Q36" s="16">
        <f t="shared" si="16"/>
        <v>3.789892237227969E-3</v>
      </c>
      <c r="U36" s="23" t="s">
        <v>5</v>
      </c>
      <c r="V36" s="63">
        <f t="shared" si="17"/>
        <v>1.3335878078494959E-3</v>
      </c>
      <c r="W36" s="16">
        <f t="shared" si="17"/>
        <v>2.1067656610946205E-3</v>
      </c>
    </row>
    <row r="37" spans="2:23" x14ac:dyDescent="0.2">
      <c r="B37" s="30" t="str">
        <f>_xll.qlMakeDatedOIS(,E37,F37,OvernightIndex,0,,,,EvaluationDate)</f>
        <v>obj_003e9#0009</v>
      </c>
      <c r="C37" s="10" t="b">
        <f>_xll.qlInstrumentSetPricingEngine(B37,OisEngine)</f>
        <v>1</v>
      </c>
      <c r="D37" s="31" t="s">
        <v>8</v>
      </c>
      <c r="E37" s="52">
        <f t="shared" si="13"/>
        <v>41827</v>
      </c>
      <c r="F37" s="26">
        <f>_xll.qlCalendarAdvance(Calendar,SettlementDate,D37,"Following")</f>
        <v>41848</v>
      </c>
      <c r="G37" s="35">
        <f t="shared" si="14"/>
        <v>1.4335720766900947E-3</v>
      </c>
      <c r="H37" s="35">
        <f t="shared" si="14"/>
        <v>2.2875790310970226E-3</v>
      </c>
      <c r="I37" s="35">
        <f t="shared" si="14"/>
        <v>3.0689434527639411E-3</v>
      </c>
      <c r="J37" s="35">
        <f t="shared" si="14"/>
        <v>4.8535157310703025E-3</v>
      </c>
      <c r="K37" s="126">
        <f t="shared" si="18"/>
        <v>21</v>
      </c>
      <c r="L37" s="4">
        <f>_xll.qlOvernightIndexedSwapFairRate(B37,_xll.ohTrigger(C37,InterestRatesTrigger))</f>
        <v>9.5999999746203865E-4</v>
      </c>
      <c r="N37" s="92">
        <f>N$31*$K37+N$32</f>
        <v>4.7357207922805615E-4</v>
      </c>
      <c r="O37" s="93">
        <f t="shared" si="15"/>
        <v>1.3275790336349841E-3</v>
      </c>
      <c r="P37" s="93">
        <f t="shared" si="15"/>
        <v>2.1089434553019024E-3</v>
      </c>
      <c r="Q37" s="14">
        <f t="shared" si="16"/>
        <v>3.7919240704903279E-3</v>
      </c>
      <c r="U37" s="31" t="s">
        <v>8</v>
      </c>
      <c r="V37" s="93">
        <f t="shared" si="17"/>
        <v>1.3275790336349841E-3</v>
      </c>
      <c r="W37" s="14">
        <f t="shared" si="17"/>
        <v>2.1089434553019024E-3</v>
      </c>
    </row>
    <row r="38" spans="2:23" x14ac:dyDescent="0.2">
      <c r="B38" s="29" t="str">
        <f>_xll.qlMakeDatedOIS(,E38,F38,OvernightIndex,0,,,,EvaluationDate)</f>
        <v>obj_0040f#0009</v>
      </c>
      <c r="C38" s="5" t="b">
        <f>_xll.qlInstrumentSetPricingEngine(B38,OisEngine)</f>
        <v>1</v>
      </c>
      <c r="D38" s="23" t="s">
        <v>9</v>
      </c>
      <c r="E38" s="53">
        <f t="shared" si="13"/>
        <v>41827</v>
      </c>
      <c r="F38" s="24">
        <f>_xll.qlCalendarAdvance(Calendar,SettlementDate,D38,"mf",TRUE)</f>
        <v>41858</v>
      </c>
      <c r="G38" s="34">
        <f t="shared" si="14"/>
        <v>1.4764051645395691E-3</v>
      </c>
      <c r="H38" s="34">
        <f t="shared" si="14"/>
        <v>2.2894379220727641E-3</v>
      </c>
      <c r="I38" s="34">
        <f t="shared" si="14"/>
        <v>3.0817389632831161E-3</v>
      </c>
      <c r="J38" s="34">
        <f t="shared" si="14"/>
        <v>4.8635157322852304E-3</v>
      </c>
      <c r="K38" s="124">
        <f t="shared" si="18"/>
        <v>31</v>
      </c>
      <c r="L38" s="3">
        <f>_xll.qlOvernightIndexedSwapFairRate(B38,_xll.ohTrigger(C38,InterestRatesTrigger))</f>
        <v>9.6999999867696635E-4</v>
      </c>
      <c r="N38" s="62">
        <f>N$31*$K38+N$32</f>
        <v>5.0640516586260287E-4</v>
      </c>
      <c r="O38" s="63">
        <f t="shared" si="15"/>
        <v>1.3194379233957977E-3</v>
      </c>
      <c r="P38" s="63">
        <f t="shared" si="15"/>
        <v>2.1117389646061499E-3</v>
      </c>
      <c r="Q38" s="16">
        <f t="shared" si="16"/>
        <v>3.7948266894365546E-3</v>
      </c>
      <c r="U38" s="23" t="s">
        <v>9</v>
      </c>
      <c r="V38" s="63">
        <f t="shared" si="17"/>
        <v>1.3194379233957977E-3</v>
      </c>
      <c r="W38" s="16">
        <f t="shared" si="17"/>
        <v>2.1117389646061499E-3</v>
      </c>
    </row>
    <row r="39" spans="2:23" x14ac:dyDescent="0.2">
      <c r="B39" s="29" t="str">
        <f>_xll.qlMakeDatedOIS(,E39,F39,OvernightIndex,0,,,,EvaluationDate)</f>
        <v>obj_00428#0009</v>
      </c>
      <c r="C39" s="5" t="b">
        <f>_xll.qlInstrumentSetPricingEngine(B39,OisEngine)</f>
        <v>1</v>
      </c>
      <c r="D39" s="23" t="s">
        <v>10</v>
      </c>
      <c r="E39" s="53">
        <f t="shared" si="13"/>
        <v>41827</v>
      </c>
      <c r="F39" s="24">
        <f>_xll.qlCalendarAdvance(Calendar,SettlementDate,D39,"mf",TRUE)</f>
        <v>41890</v>
      </c>
      <c r="G39" s="47"/>
      <c r="H39" s="32">
        <f t="shared" ref="H39:J40" si="19">$L39+IF(H$30,H$32,O39)</f>
        <v>2.286887513750455E-3</v>
      </c>
      <c r="I39" s="32">
        <f t="shared" si="19"/>
        <v>3.1081892980676269E-3</v>
      </c>
      <c r="J39" s="32">
        <f t="shared" si="19"/>
        <v>4.8835157336083422E-3</v>
      </c>
      <c r="K39" s="125">
        <f t="shared" si="18"/>
        <v>63</v>
      </c>
      <c r="L39" s="3">
        <f>_xll.qlOvernightIndexedSwapFairRate(B39,_xll.ohTrigger(C39,InterestRatesTrigger))</f>
        <v>9.9000000000007849E-4</v>
      </c>
      <c r="N39" s="47"/>
      <c r="O39" s="63">
        <f t="shared" si="15"/>
        <v>1.2968875137503767E-3</v>
      </c>
      <c r="P39" s="63">
        <f t="shared" si="15"/>
        <v>2.1181892980675484E-3</v>
      </c>
      <c r="Q39" s="16">
        <f t="shared" si="16"/>
        <v>3.8041150700644801E-3</v>
      </c>
      <c r="U39" s="23" t="s">
        <v>10</v>
      </c>
      <c r="V39" s="63">
        <f t="shared" si="17"/>
        <v>1.2968875137503767E-3</v>
      </c>
      <c r="W39" s="16">
        <f t="shared" si="17"/>
        <v>2.1181892980675484E-3</v>
      </c>
    </row>
    <row r="40" spans="2:23" x14ac:dyDescent="0.2">
      <c r="B40" s="29" t="str">
        <f>_xll.qlMakeDatedOIS(,E40,F40,OvernightIndex,0,,,,EvaluationDate)</f>
        <v>obj_003fd#0009</v>
      </c>
      <c r="C40" s="5" t="b">
        <f>_xll.qlInstrumentSetPricingEngine(B40,OisEngine)</f>
        <v>1</v>
      </c>
      <c r="D40" s="23" t="s">
        <v>3</v>
      </c>
      <c r="E40" s="53">
        <f t="shared" si="13"/>
        <v>41827</v>
      </c>
      <c r="F40" s="24">
        <f>_xll.qlCalendarAdvance(Calendar,SettlementDate,D40,"mf",TRUE)</f>
        <v>41919</v>
      </c>
      <c r="G40" s="45"/>
      <c r="H40" s="32">
        <f t="shared" si="19"/>
        <v>2.3010594809294467E-3</v>
      </c>
      <c r="I40" s="32">
        <f t="shared" si="19"/>
        <v>3.1407505537500405E-3</v>
      </c>
      <c r="J40" s="32">
        <f t="shared" si="19"/>
        <v>4.9135157340975165E-3</v>
      </c>
      <c r="K40" s="125">
        <f t="shared" si="18"/>
        <v>92</v>
      </c>
      <c r="L40" s="3">
        <f>_xll.qlOvernightIndexedSwapFairRate(B40,_xll.ohTrigger(C40,InterestRatesTrigger))</f>
        <v>1.0200000004892528E-3</v>
      </c>
      <c r="N40" s="45"/>
      <c r="O40" s="63">
        <f t="shared" si="15"/>
        <v>1.2810594804401939E-3</v>
      </c>
      <c r="P40" s="63">
        <f t="shared" si="15"/>
        <v>2.1207505532607877E-3</v>
      </c>
      <c r="Q40" s="16">
        <f t="shared" si="16"/>
        <v>3.8125326650085378E-3</v>
      </c>
      <c r="U40" s="23" t="s">
        <v>3</v>
      </c>
      <c r="V40" s="63">
        <f t="shared" si="17"/>
        <v>1.2810594804401939E-3</v>
      </c>
      <c r="W40" s="16">
        <f t="shared" si="17"/>
        <v>2.1207505532607877E-3</v>
      </c>
    </row>
    <row r="41" spans="2:23" x14ac:dyDescent="0.2">
      <c r="B41" s="29" t="str">
        <f>_xll.qlMakeDatedOIS(,E41,F41,OvernightIndex,0,,,,EvaluationDate)</f>
        <v>obj_003f0#0009</v>
      </c>
      <c r="C41" s="5" t="b">
        <f>_xll.qlInstrumentSetPricingEngine(B41,OisEngine)</f>
        <v>1</v>
      </c>
      <c r="D41" s="23" t="s">
        <v>12</v>
      </c>
      <c r="E41" s="53">
        <f t="shared" si="13"/>
        <v>41827</v>
      </c>
      <c r="F41" s="24">
        <f>_xll.qlCalendarAdvance(Calendar,SettlementDate,D41,"mf",TRUE)</f>
        <v>41950</v>
      </c>
      <c r="G41" s="36"/>
      <c r="H41" s="46"/>
      <c r="I41" s="32">
        <f t="shared" ref="I41:J43" si="20">$L41+IF(I$30,I$32,P41)</f>
        <v>3.1800351348825816E-3</v>
      </c>
      <c r="J41" s="32">
        <f t="shared" si="20"/>
        <v>4.9535157336082544E-3</v>
      </c>
      <c r="K41" s="125">
        <f t="shared" si="18"/>
        <v>123</v>
      </c>
      <c r="L41" s="3">
        <f>_xll.qlOvernightIndexedSwapFairRate(B41,_xll.ohTrigger(C41,InterestRatesTrigger))</f>
        <v>1.0599999999999906E-3</v>
      </c>
      <c r="N41" s="36"/>
      <c r="O41" s="46"/>
      <c r="P41" s="63">
        <f>IF(P$30,W41,P$31*$K41+P$32)</f>
        <v>2.1200351348825909E-3</v>
      </c>
      <c r="Q41" s="16">
        <f t="shared" si="16"/>
        <v>3.8215307837418406E-3</v>
      </c>
      <c r="U41" s="23" t="s">
        <v>12</v>
      </c>
      <c r="V41" s="63"/>
      <c r="W41" s="16">
        <f>$K41*$K41/3*W$30+$K41/2*W$31+W$32</f>
        <v>2.1200351348825909E-3</v>
      </c>
    </row>
    <row r="42" spans="2:23" x14ac:dyDescent="0.2">
      <c r="B42" s="29" t="str">
        <f>_xll.qlMakeDatedOIS(,E42,F42,OvernightIndex,0,,,,EvaluationDate)</f>
        <v>obj_00404#0009</v>
      </c>
      <c r="C42" s="5" t="b">
        <f>_xll.qlInstrumentSetPricingEngine(B42,OisEngine)</f>
        <v>1</v>
      </c>
      <c r="D42" s="23" t="s">
        <v>13</v>
      </c>
      <c r="E42" s="53">
        <f t="shared" si="13"/>
        <v>41827</v>
      </c>
      <c r="F42" s="24">
        <f>_xll.qlCalendarAdvance(Calendar,SettlementDate,D42,"mf",TRUE)</f>
        <v>41981</v>
      </c>
      <c r="G42" s="36"/>
      <c r="H42" s="44"/>
      <c r="I42" s="32">
        <f t="shared" si="20"/>
        <v>3.2057512942488603E-3</v>
      </c>
      <c r="J42" s="32">
        <f t="shared" si="20"/>
        <v>4.9835157336087094E-3</v>
      </c>
      <c r="K42" s="125">
        <f t="shared" si="18"/>
        <v>154</v>
      </c>
      <c r="L42" s="3">
        <f>_xll.qlOvernightIndexedSwapFairRate(B42,_xll.ohTrigger(C42,InterestRatesTrigger))</f>
        <v>1.0900000000004452E-3</v>
      </c>
      <c r="N42" s="36"/>
      <c r="O42" s="44"/>
      <c r="P42" s="63">
        <f>IF(P$30,W42,P$31*$K42+P$32)</f>
        <v>2.115751294248415E-3</v>
      </c>
      <c r="Q42" s="16">
        <f t="shared" si="16"/>
        <v>3.8305289024751434E-3</v>
      </c>
      <c r="U42" s="23" t="s">
        <v>13</v>
      </c>
      <c r="V42" s="63"/>
      <c r="W42" s="16">
        <f>$K42*$K42/3*W$30+$K42/2*W$31+W$32</f>
        <v>2.115751294248415E-3</v>
      </c>
    </row>
    <row r="43" spans="2:23" x14ac:dyDescent="0.2">
      <c r="B43" s="29" t="str">
        <f>_xll.qlMakeDatedOIS(,E43,F43,OvernightIndex,0,,,,EvaluationDate)</f>
        <v>obj_003ff#0009</v>
      </c>
      <c r="C43" s="5" t="b">
        <f>_xll.qlInstrumentSetPricingEngine(B43,OisEngine)</f>
        <v>1</v>
      </c>
      <c r="D43" s="25" t="s">
        <v>15</v>
      </c>
      <c r="E43" s="53">
        <f t="shared" si="13"/>
        <v>41827</v>
      </c>
      <c r="F43" s="24">
        <f>_xll.qlCalendarAdvance(Calendar,SettlementDate,D43,"mf",TRUE)</f>
        <v>42011</v>
      </c>
      <c r="G43" s="36"/>
      <c r="H43" s="44"/>
      <c r="I43" s="32">
        <f t="shared" si="20"/>
        <v>3.248208028739475E-3</v>
      </c>
      <c r="J43" s="32">
        <f t="shared" si="20"/>
        <v>5.033515733608173E-3</v>
      </c>
      <c r="K43" s="125">
        <f t="shared" si="18"/>
        <v>184</v>
      </c>
      <c r="L43" s="3">
        <f>_xll.qlOvernightIndexedSwapFairRate(B43,_xll.ohTrigger(C43,InterestRatesTrigger))</f>
        <v>1.1399999999999091E-3</v>
      </c>
      <c r="N43" s="36"/>
      <c r="O43" s="44"/>
      <c r="P43" s="63">
        <f>IF(P$30,W43,P$31*$K43+P$32)</f>
        <v>2.1082080287395657E-3</v>
      </c>
      <c r="Q43" s="16">
        <f t="shared" si="16"/>
        <v>3.8392367593138238E-3</v>
      </c>
      <c r="U43" s="120" t="s">
        <v>15</v>
      </c>
      <c r="V43" s="93"/>
      <c r="W43" s="14">
        <f>$K43*$K43/3*W$30+$K43/2*W$31+W$32</f>
        <v>2.1082080287395657E-3</v>
      </c>
    </row>
    <row r="44" spans="2:23" x14ac:dyDescent="0.2">
      <c r="B44" s="29" t="str">
        <f>_xll.qlMakeDatedOIS(,E44,F44,OvernightIndex,0,,,,EvaluationDate)</f>
        <v>obj_003f7#0009</v>
      </c>
      <c r="C44" s="5" t="b">
        <f>_xll.qlInstrumentSetPricingEngine(B44,OisEngine)</f>
        <v>1</v>
      </c>
      <c r="D44" s="25" t="s">
        <v>18</v>
      </c>
      <c r="E44" s="53">
        <f t="shared" si="13"/>
        <v>41827</v>
      </c>
      <c r="F44" s="24">
        <f>_xll.qlCalendarAdvance(Calendar,SettlementDate,D44,"mf",TRUE)</f>
        <v>42044</v>
      </c>
      <c r="G44" s="36"/>
      <c r="H44" s="33"/>
      <c r="I44" s="46"/>
      <c r="J44" s="32">
        <f t="shared" ref="J44:J49" si="21">$L44+IF(J$30,J$32,Q44)</f>
        <v>5.0835157336083427E-3</v>
      </c>
      <c r="K44" s="125">
        <f t="shared" si="18"/>
        <v>217</v>
      </c>
      <c r="L44" s="3">
        <f>_xll.qlOvernightIndexedSwapFairRate(B44,_xll.ohTrigger(C44,InterestRatesTrigger))</f>
        <v>1.1900000000000788E-3</v>
      </c>
      <c r="N44" s="36"/>
      <c r="O44" s="33"/>
      <c r="P44" s="46"/>
      <c r="Q44" s="16">
        <f t="shared" si="16"/>
        <v>3.8488154018363721E-3</v>
      </c>
    </row>
    <row r="45" spans="2:23" x14ac:dyDescent="0.2">
      <c r="B45" s="29" t="str">
        <f>_xll.qlMakeDatedOIS(,E45,F45,OvernightIndex,0,,,,EvaluationDate)</f>
        <v>obj_00429#0009</v>
      </c>
      <c r="C45" s="5" t="b">
        <f>_xll.qlInstrumentSetPricingEngine(B45,OisEngine)</f>
        <v>1</v>
      </c>
      <c r="D45" s="25" t="s">
        <v>19</v>
      </c>
      <c r="E45" s="53">
        <f t="shared" si="13"/>
        <v>41827</v>
      </c>
      <c r="F45" s="24">
        <f>_xll.qlCalendarAdvance(Calendar,SettlementDate,D45,"mf",TRUE)</f>
        <v>42072</v>
      </c>
      <c r="G45" s="36"/>
      <c r="H45" s="33"/>
      <c r="I45" s="44"/>
      <c r="J45" s="32">
        <f t="shared" si="21"/>
        <v>5.1435157336082145E-3</v>
      </c>
      <c r="K45" s="125">
        <f t="shared" si="18"/>
        <v>245</v>
      </c>
      <c r="L45" s="3">
        <f>_xll.qlOvernightIndexedSwapFairRate(B45,_xll.ohTrigger(C45,InterestRatesTrigger))</f>
        <v>1.2499999999999506E-3</v>
      </c>
      <c r="N45" s="36"/>
      <c r="O45" s="33"/>
      <c r="P45" s="44"/>
      <c r="Q45" s="16">
        <f t="shared" si="16"/>
        <v>3.8569427348858066E-3</v>
      </c>
    </row>
    <row r="46" spans="2:23" x14ac:dyDescent="0.2">
      <c r="B46" s="29" t="str">
        <f>_xll.qlMakeDatedOIS(,E46,F46,OvernightIndex,0,,,,EvaluationDate)</f>
        <v>obj_0041a#0009</v>
      </c>
      <c r="C46" s="5" t="b">
        <f>_xll.qlInstrumentSetPricingEngine(B46,OisEngine)</f>
        <v>1</v>
      </c>
      <c r="D46" s="25" t="s">
        <v>20</v>
      </c>
      <c r="E46" s="53">
        <f t="shared" si="13"/>
        <v>41827</v>
      </c>
      <c r="F46" s="24">
        <f>_xll.qlCalendarAdvance(Calendar,SettlementDate,D46,"mf",TRUE)</f>
        <v>42101</v>
      </c>
      <c r="G46" s="36"/>
      <c r="H46" s="33"/>
      <c r="I46" s="44"/>
      <c r="J46" s="32">
        <f t="shared" si="21"/>
        <v>5.19351573360832E-3</v>
      </c>
      <c r="K46" s="125">
        <f t="shared" si="18"/>
        <v>274</v>
      </c>
      <c r="L46" s="3">
        <f>_xll.qlOvernightIndexedSwapFairRate(B46,_xll.ohTrigger(C46,InterestRatesTrigger))</f>
        <v>1.3000000000000561E-3</v>
      </c>
      <c r="N46" s="36"/>
      <c r="O46" s="33"/>
      <c r="P46" s="44"/>
      <c r="Q46" s="16">
        <f t="shared" si="16"/>
        <v>3.8653603298298644E-3</v>
      </c>
    </row>
    <row r="47" spans="2:23" x14ac:dyDescent="0.2">
      <c r="B47" s="29" t="str">
        <f>_xll.qlMakeDatedOIS(,E47,F47,OvernightIndex,0,,,,EvaluationDate)</f>
        <v>obj_003f5#0009</v>
      </c>
      <c r="C47" s="5" t="b">
        <f>_xll.qlInstrumentSetPricingEngine(B47,OisEngine)</f>
        <v>1</v>
      </c>
      <c r="D47" s="25" t="s">
        <v>21</v>
      </c>
      <c r="E47" s="53">
        <f t="shared" si="13"/>
        <v>41827</v>
      </c>
      <c r="F47" s="24">
        <f>_xll.qlCalendarAdvance(Calendar,SettlementDate,D47,"mf",TRUE)</f>
        <v>42131</v>
      </c>
      <c r="G47" s="36"/>
      <c r="H47" s="33"/>
      <c r="I47" s="44"/>
      <c r="J47" s="32">
        <f t="shared" si="21"/>
        <v>5.2735157336078909E-3</v>
      </c>
      <c r="K47" s="125">
        <f t="shared" si="18"/>
        <v>304</v>
      </c>
      <c r="L47" s="3">
        <f>_xll.qlOvernightIndexedSwapFairRate(B47,_xll.ohTrigger(C47,InterestRatesTrigger))</f>
        <v>1.3799999999996268E-3</v>
      </c>
      <c r="N47" s="36"/>
      <c r="O47" s="33"/>
      <c r="P47" s="44"/>
      <c r="Q47" s="16">
        <f t="shared" si="16"/>
        <v>3.8740681866685444E-3</v>
      </c>
    </row>
    <row r="48" spans="2:23" x14ac:dyDescent="0.2">
      <c r="B48" s="29" t="str">
        <f>_xll.qlMakeDatedOIS(,E48,F48,OvernightIndex,0,,,,EvaluationDate)</f>
        <v>obj_003eb#0009</v>
      </c>
      <c r="C48" s="5" t="b">
        <f>_xll.qlInstrumentSetPricingEngine(B48,OisEngine)</f>
        <v>1</v>
      </c>
      <c r="D48" s="25" t="s">
        <v>22</v>
      </c>
      <c r="E48" s="53">
        <f t="shared" si="13"/>
        <v>41827</v>
      </c>
      <c r="F48" s="24">
        <f>_xll.qlCalendarAdvance(Calendar,SettlementDate,D48,"mf",TRUE)</f>
        <v>42163</v>
      </c>
      <c r="G48" s="36"/>
      <c r="H48" s="33"/>
      <c r="I48" s="44"/>
      <c r="J48" s="32">
        <f t="shared" si="21"/>
        <v>5.3935157336073847E-3</v>
      </c>
      <c r="K48" s="125">
        <f t="shared" si="18"/>
        <v>336</v>
      </c>
      <c r="L48" s="3">
        <f>_xll.qlOvernightIndexedSwapFairRate(B48,_xll.ohTrigger(C48,InterestRatesTrigger))</f>
        <v>1.4999999999991212E-3</v>
      </c>
      <c r="N48" s="36"/>
      <c r="O48" s="33"/>
      <c r="P48" s="44"/>
      <c r="Q48" s="16">
        <f t="shared" si="16"/>
        <v>3.8833565672964699E-3</v>
      </c>
    </row>
    <row r="49" spans="2:17" x14ac:dyDescent="0.2">
      <c r="B49" s="30" t="str">
        <f>_xll.qlMakeDatedOIS(,E49,F49,OvernightIndex,0,,,,EvaluationDate)</f>
        <v>obj_003fc#0009</v>
      </c>
      <c r="C49" s="10" t="b">
        <f>_xll.qlInstrumentSetPricingEngine(B49,OisEngine)</f>
        <v>1</v>
      </c>
      <c r="D49" s="25" t="s">
        <v>23</v>
      </c>
      <c r="E49" s="53">
        <f t="shared" si="13"/>
        <v>41827</v>
      </c>
      <c r="F49" s="24">
        <f>_xll.qlCalendarAdvance(Calendar,SettlementDate,D49,"mf",TRUE)</f>
        <v>42192</v>
      </c>
      <c r="G49" s="36"/>
      <c r="H49" s="33"/>
      <c r="I49" s="44"/>
      <c r="J49" s="32">
        <f t="shared" si="21"/>
        <v>5.5135157336075984E-3</v>
      </c>
      <c r="K49" s="125">
        <f t="shared" si="18"/>
        <v>365</v>
      </c>
      <c r="L49" s="3">
        <f>_xll.qlOvernightIndexedSwapFairRate(B49,_xll.ohTrigger(C49,InterestRatesTrigger))</f>
        <v>1.6199999999993344E-3</v>
      </c>
      <c r="N49" s="64"/>
      <c r="O49" s="65"/>
      <c r="P49" s="66"/>
      <c r="Q49" s="14">
        <f t="shared" si="16"/>
        <v>3.8917741622405276E-3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>
      <selection activeCell="C24" sqref="C24"/>
    </sheetView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_xll.qlIborIndex(,Currency,"1D",2,Currency,Calendar,"f",FALSE,"act/360",,,Trigger)</f>
        <v>obj_00354#0018</v>
      </c>
      <c r="D2" s="343" t="s">
        <v>97</v>
      </c>
      <c r="E2" s="343" t="str">
        <f>Contribution!D15</f>
        <v>USDSND_SYNTH6M_Quote#0010</v>
      </c>
      <c r="F2" s="343" t="str">
        <f>_xll.qlDepositRateHelper(,E2,$C2)</f>
        <v>obj_003d9#0014</v>
      </c>
      <c r="G2" s="344">
        <f>_xll.qlRateHelperQuoteValue(F2,InterestRatesTrigger)</f>
        <v>3.107E-3</v>
      </c>
      <c r="H2" s="343" t="b">
        <v>1</v>
      </c>
      <c r="I2" s="342">
        <v>70</v>
      </c>
      <c r="J2" s="342">
        <v>1</v>
      </c>
      <c r="K2" s="341">
        <f>_xll.qlRateHelperEarliestDate($F2)</f>
        <v>41827</v>
      </c>
      <c r="L2" s="355">
        <f>_xll.qlRateHelperLatestDate($F2)</f>
        <v>41828</v>
      </c>
      <c r="M2" s="325"/>
    </row>
    <row r="3" spans="1:13" x14ac:dyDescent="0.2">
      <c r="A3" s="345"/>
      <c r="B3" s="339" t="s">
        <v>215</v>
      </c>
      <c r="C3" s="338" t="str">
        <f>_xll.qlIborIndex(,Currency,"1W",2,Currency,Calendar,"f",FALSE,"act/360",,,Trigger)</f>
        <v>obj_0035e#0011</v>
      </c>
      <c r="D3" s="336" t="s">
        <v>97</v>
      </c>
      <c r="E3" s="336" t="str">
        <f>Contribution!D16</f>
        <v>USDSWD_SYNTH6M_Quote#0010</v>
      </c>
      <c r="F3" s="336" t="str">
        <f>_xll.qlDepositRateHelper(,E3,$C3)</f>
        <v>obj_003d4#0014</v>
      </c>
      <c r="G3" s="337">
        <f>_xll.qlRateHelperQuoteValue(F3,InterestRatesTrigger)</f>
        <v>3.107E-3</v>
      </c>
      <c r="H3" s="336" t="b">
        <v>1</v>
      </c>
      <c r="I3" s="335">
        <v>70</v>
      </c>
      <c r="J3" s="335">
        <v>1</v>
      </c>
      <c r="K3" s="334">
        <f>_xll.qlRateHelperEarliestDate($F3)</f>
        <v>41827</v>
      </c>
      <c r="L3" s="333">
        <f>_xll.qlRateHelperLatestDate($F3)</f>
        <v>41834</v>
      </c>
      <c r="M3" s="325"/>
    </row>
    <row r="4" spans="1:13" x14ac:dyDescent="0.2">
      <c r="A4" s="338"/>
      <c r="B4" s="339" t="s">
        <v>5</v>
      </c>
      <c r="C4" s="338" t="str">
        <f>_xll.qlIborIndex(,Currency,B4,2,Currency,Calendar,"f",FALSE,"act/360",,,Trigger)</f>
        <v>obj_0035d#0010</v>
      </c>
      <c r="D4" s="336" t="s">
        <v>97</v>
      </c>
      <c r="E4" s="336" t="str">
        <f>Contribution!D17</f>
        <v>USD2WD_SYNTH6M_Quote#0010</v>
      </c>
      <c r="F4" s="336" t="str">
        <f>_xll.qlDepositRateHelper(,E4,$C4)</f>
        <v>obj_003d1#0013</v>
      </c>
      <c r="G4" s="337">
        <f>_xll.qlRateHelperQuoteValue(F4,InterestRatesTrigger)</f>
        <v>3.127E-3</v>
      </c>
      <c r="H4" s="336" t="b">
        <v>1</v>
      </c>
      <c r="I4" s="335">
        <v>70</v>
      </c>
      <c r="J4" s="335">
        <v>1</v>
      </c>
      <c r="K4" s="334">
        <f>_xll.qlRateHelperEarliestDate($F4)</f>
        <v>41827</v>
      </c>
      <c r="L4" s="333">
        <f>_xll.qlRateHelperLatestDate($F4)</f>
        <v>41841</v>
      </c>
      <c r="M4" s="325"/>
    </row>
    <row r="5" spans="1:13" x14ac:dyDescent="0.2">
      <c r="A5" s="356"/>
      <c r="B5" s="339" t="s">
        <v>8</v>
      </c>
      <c r="C5" s="338" t="str">
        <f>_xll.qlIborIndex(,Currency,B5,2,Currency,Calendar,"f",FALSE,"act/360",,,Trigger)</f>
        <v>obj_0035c#0011</v>
      </c>
      <c r="D5" s="336" t="s">
        <v>97</v>
      </c>
      <c r="E5" s="336" t="str">
        <f>Contribution!D18</f>
        <v>USD3WD_SYNTH6M_Quote#0010</v>
      </c>
      <c r="F5" s="336" t="str">
        <f>_xll.qlDepositRateHelper(,E5,$C5)</f>
        <v>obj_003d0#0014</v>
      </c>
      <c r="G5" s="337">
        <f>_xll.qlRateHelperQuoteValue(F5,InterestRatesTrigger)</f>
        <v>3.127E-3</v>
      </c>
      <c r="H5" s="336" t="b">
        <v>1</v>
      </c>
      <c r="I5" s="335">
        <v>70</v>
      </c>
      <c r="J5" s="335">
        <v>1</v>
      </c>
      <c r="K5" s="334">
        <f>_xll.qlRateHelperEarliestDate($F5)</f>
        <v>41827</v>
      </c>
      <c r="L5" s="333">
        <f>_xll.qlRateHelperLatestDate($F5)</f>
        <v>41848</v>
      </c>
      <c r="M5" s="325"/>
    </row>
    <row r="6" spans="1:13" x14ac:dyDescent="0.2">
      <c r="A6" s="340"/>
      <c r="B6" s="339" t="s">
        <v>9</v>
      </c>
      <c r="C6" s="338" t="str">
        <f>_xll.qlIborIndex(,Currency,B6,2,Currency,Calendar,"f",FALSE,"act/360",,,Trigger)</f>
        <v>obj_0035f#0011</v>
      </c>
      <c r="D6" s="336" t="s">
        <v>97</v>
      </c>
      <c r="E6" s="336" t="str">
        <f>Contribution!D19</f>
        <v>USD1MD_SYNTH6M_Quote#0010</v>
      </c>
      <c r="F6" s="336" t="str">
        <f>_xll.qlDepositRateHelper(,E6,$C6)</f>
        <v>obj_003d7#0014</v>
      </c>
      <c r="G6" s="337">
        <f>_xll.qlRateHelperQuoteValue(F6,InterestRatesTrigger)</f>
        <v>3.137E-3</v>
      </c>
      <c r="H6" s="336" t="b">
        <v>1</v>
      </c>
      <c r="I6" s="335">
        <v>70</v>
      </c>
      <c r="J6" s="335">
        <v>1</v>
      </c>
      <c r="K6" s="334">
        <f>_xll.qlRateHelperEarliestDate($F6)</f>
        <v>41827</v>
      </c>
      <c r="L6" s="333">
        <f>_xll.qlRateHelperLatestDate($F6)</f>
        <v>41858</v>
      </c>
      <c r="M6" s="325"/>
    </row>
    <row r="7" spans="1:13" x14ac:dyDescent="0.2">
      <c r="A7" s="340"/>
      <c r="B7" s="339" t="s">
        <v>10</v>
      </c>
      <c r="C7" s="338" t="str">
        <f>_xll.qlIborIndex(,Currency,B7,2,Currency,Calendar,"f",FALSE,"act/360",,,Trigger)</f>
        <v>obj_0035b#0011</v>
      </c>
      <c r="D7" s="336" t="s">
        <v>97</v>
      </c>
      <c r="E7" s="336" t="str">
        <f>Contribution!D20</f>
        <v>USD2MD_SYNTH6M_Quote#0010</v>
      </c>
      <c r="F7" s="336" t="str">
        <f>_xll.qlDepositRateHelper(,E7,$C7)</f>
        <v>obj_003d6#0014</v>
      </c>
      <c r="G7" s="337">
        <f>_xll.qlRateHelperQuoteValue(F7,InterestRatesTrigger)</f>
        <v>3.156E-3</v>
      </c>
      <c r="H7" s="336" t="b">
        <v>1</v>
      </c>
      <c r="I7" s="335">
        <v>70</v>
      </c>
      <c r="J7" s="335">
        <v>1</v>
      </c>
      <c r="K7" s="334">
        <f>_xll.qlRateHelperEarliestDate($F7)</f>
        <v>41827</v>
      </c>
      <c r="L7" s="333">
        <f>_xll.qlRateHelperLatestDate($F7)</f>
        <v>41890</v>
      </c>
      <c r="M7" s="325"/>
    </row>
    <row r="8" spans="1:13" x14ac:dyDescent="0.2">
      <c r="A8" s="340"/>
      <c r="B8" s="339" t="s">
        <v>3</v>
      </c>
      <c r="C8" s="338" t="str">
        <f>_xll.qlIborIndex(,Currency,B8,2,Currency,Calendar,"f",FALSE,"act/360",,,Trigger)</f>
        <v>obj_00359#0011</v>
      </c>
      <c r="D8" s="336" t="s">
        <v>97</v>
      </c>
      <c r="E8" s="336" t="str">
        <f>Contribution!D21</f>
        <v>USD3MD_SYNTH6M_Quote#0010</v>
      </c>
      <c r="F8" s="336" t="str">
        <f>_xll.qlDepositRateHelper(,E8,$C8)</f>
        <v>obj_003cf#0014</v>
      </c>
      <c r="G8" s="337">
        <f>_xll.qlRateHelperQuoteValue(F8,InterestRatesTrigger)</f>
        <v>3.1740000000000002E-3</v>
      </c>
      <c r="H8" s="336" t="b">
        <v>1</v>
      </c>
      <c r="I8" s="335">
        <v>70</v>
      </c>
      <c r="J8" s="335">
        <v>1</v>
      </c>
      <c r="K8" s="334">
        <f>_xll.qlRateHelperEarliestDate($F8)</f>
        <v>41827</v>
      </c>
      <c r="L8" s="333">
        <f>_xll.qlRateHelperLatestDate($F8)</f>
        <v>41919</v>
      </c>
      <c r="M8" s="325"/>
    </row>
    <row r="9" spans="1:13" x14ac:dyDescent="0.2">
      <c r="A9" s="340"/>
      <c r="B9" s="339" t="s">
        <v>12</v>
      </c>
      <c r="C9" s="338" t="str">
        <f>_xll.qlIborIndex(,Currency,B9,2,Currency,Calendar,"f",FALSE,"act/360",,,Trigger)</f>
        <v>obj_0035a#0011</v>
      </c>
      <c r="D9" s="336" t="s">
        <v>97</v>
      </c>
      <c r="E9" s="336" t="str">
        <f>Contribution!D22</f>
        <v>USD4MD_SYNTH6M_Quote#0010</v>
      </c>
      <c r="F9" s="336" t="str">
        <f>_xll.qlDepositRateHelper(,E9,$C9)</f>
        <v>obj_003d2#0014</v>
      </c>
      <c r="G9" s="337">
        <f>_xll.qlRateHelperQuoteValue(F9,InterestRatesTrigger)</f>
        <v>3.2000000000000002E-3</v>
      </c>
      <c r="H9" s="336" t="b">
        <v>1</v>
      </c>
      <c r="I9" s="335">
        <v>70</v>
      </c>
      <c r="J9" s="335">
        <v>1</v>
      </c>
      <c r="K9" s="334">
        <f>_xll.qlRateHelperEarliestDate($F9)</f>
        <v>41827</v>
      </c>
      <c r="L9" s="333">
        <f>_xll.qlRateHelperLatestDate($F9)</f>
        <v>41950</v>
      </c>
      <c r="M9" s="325"/>
    </row>
    <row r="10" spans="1:13" x14ac:dyDescent="0.2">
      <c r="A10" s="340"/>
      <c r="B10" s="339" t="s">
        <v>13</v>
      </c>
      <c r="C10" s="338" t="str">
        <f>_xll.qlIborIndex(,Currency,B10,2,Currency,Calendar,"f",FALSE,"act/360",,,Trigger)</f>
        <v>obj_00373#0011</v>
      </c>
      <c r="D10" s="336" t="s">
        <v>97</v>
      </c>
      <c r="E10" s="336" t="str">
        <f>Contribution!D23</f>
        <v>USD5MD_SYNTH6M_Quote#0010</v>
      </c>
      <c r="F10" s="336" t="str">
        <f>_xll.qlDepositRateHelper(,E10,$C10)</f>
        <v>obj_003d5#0014</v>
      </c>
      <c r="G10" s="337">
        <f>_xll.qlRateHelperQuoteValue(F10,InterestRatesTrigger)</f>
        <v>3.2330000000000002E-3</v>
      </c>
      <c r="H10" s="336" t="b">
        <v>1</v>
      </c>
      <c r="I10" s="335">
        <v>70</v>
      </c>
      <c r="J10" s="335">
        <v>1</v>
      </c>
      <c r="K10" s="334">
        <f>_xll.qlRateHelperEarliestDate($F10)</f>
        <v>41827</v>
      </c>
      <c r="L10" s="333">
        <f>_xll.qlRateHelperLatestDate($F10)</f>
        <v>41981</v>
      </c>
      <c r="M10" s="325"/>
    </row>
    <row r="11" spans="1:13" x14ac:dyDescent="0.2">
      <c r="A11" s="338"/>
      <c r="B11" s="339" t="s">
        <v>15</v>
      </c>
      <c r="C11" s="338" t="str">
        <f>_xll.qlIborIndex(,Currency,B11,2,Currency,Calendar,"f",FALSE,"act/360",,,Trigger)</f>
        <v>obj_00357#0011</v>
      </c>
      <c r="D11" s="336" t="s">
        <v>97</v>
      </c>
      <c r="E11" s="336" t="str">
        <f>Contribution!D24</f>
        <v>USD6MD_SYNTH6M_Quote#0010</v>
      </c>
      <c r="F11" s="336" t="str">
        <f>_xll.qlDepositRateHelper(,E11,$C11)</f>
        <v>obj_003d3#0014</v>
      </c>
      <c r="G11" s="337">
        <f>_xll.qlRateHelperQuoteValue(F11,InterestRatesTrigger)</f>
        <v>3.2460000000000002E-3</v>
      </c>
      <c r="H11" s="336" t="b">
        <v>1</v>
      </c>
      <c r="I11" s="335">
        <v>70</v>
      </c>
      <c r="J11" s="335">
        <v>1</v>
      </c>
      <c r="K11" s="334">
        <f>_xll.qlRateHelperEarliestDate($F11)</f>
        <v>41827</v>
      </c>
      <c r="L11" s="333">
        <f>_xll.qlRateHelperLatestDate($F11)</f>
        <v>42011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obj_0036b#0012</v>
      </c>
      <c r="G12" s="344">
        <f>_xll.qlRateHelperQuoteValue(F12,InterestRatesTrigger)</f>
        <v>3.3199999999999996E-3</v>
      </c>
      <c r="H12" s="343" t="b">
        <v>1</v>
      </c>
      <c r="I12" s="342">
        <v>70</v>
      </c>
      <c r="J12" s="342">
        <v>1</v>
      </c>
      <c r="K12" s="341">
        <f>_xll.qlRateHelperEarliestDate($F12)</f>
        <v>41858</v>
      </c>
      <c r="L12" s="355">
        <f>_xll.qlRateHelperLatestDate($F12)</f>
        <v>42044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obj_00372#0012</v>
      </c>
      <c r="G13" s="337">
        <f>_xll.qlRateHelperQuoteValue(F13,InterestRatesTrigger)</f>
        <v>3.4099999999999998E-3</v>
      </c>
      <c r="H13" s="336" t="b">
        <v>1</v>
      </c>
      <c r="I13" s="335">
        <v>70</v>
      </c>
      <c r="J13" s="335">
        <v>1</v>
      </c>
      <c r="K13" s="334">
        <f>_xll.qlRateHelperEarliestDate($F13)</f>
        <v>41890</v>
      </c>
      <c r="L13" s="334">
        <f>_xll.qlRateHelperLatestDate($F13)</f>
        <v>42072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obj_00358#0012</v>
      </c>
      <c r="G14" s="337">
        <f>_xll.qlRateHelperQuoteValue(F14,InterestRatesTrigger)</f>
        <v>3.5399999999999997E-3</v>
      </c>
      <c r="H14" s="336" t="b">
        <v>1</v>
      </c>
      <c r="I14" s="335">
        <v>70</v>
      </c>
      <c r="J14" s="335">
        <v>1</v>
      </c>
      <c r="K14" s="334">
        <f>_xll.qlRateHelperEarliestDate($F14)</f>
        <v>41919</v>
      </c>
      <c r="L14" s="334">
        <f>_xll.qlRateHelperLatestDate($F14)</f>
        <v>42101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obj_00371#0012</v>
      </c>
      <c r="G15" s="337">
        <f>_xll.qlRateHelperQuoteValue(F15,InterestRatesTrigger)</f>
        <v>3.7099999999999998E-3</v>
      </c>
      <c r="H15" s="336" t="b">
        <v>1</v>
      </c>
      <c r="I15" s="335">
        <v>70</v>
      </c>
      <c r="J15" s="335">
        <v>1</v>
      </c>
      <c r="K15" s="334">
        <f>_xll.qlRateHelperEarliestDate($F15)</f>
        <v>41950</v>
      </c>
      <c r="L15" s="334">
        <f>_xll.qlRateHelperLatestDate($F15)</f>
        <v>42131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obj_0036d#0012</v>
      </c>
      <c r="G16" s="337">
        <f>_xll.qlRateHelperQuoteValue(F16,InterestRatesTrigger)</f>
        <v>3.9500000000000004E-3</v>
      </c>
      <c r="H16" s="336" t="b">
        <v>1</v>
      </c>
      <c r="I16" s="335">
        <v>70</v>
      </c>
      <c r="J16" s="335">
        <v>1</v>
      </c>
      <c r="K16" s="334">
        <f>_xll.qlRateHelperEarliestDate($F16)</f>
        <v>41981</v>
      </c>
      <c r="L16" s="334">
        <f>_xll.qlRateHelperLatestDate($F16)</f>
        <v>42163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obj_0036c#0012</v>
      </c>
      <c r="G17" s="337">
        <f>_xll.qlRateHelperQuoteValue(F17,InterestRatesTrigger)</f>
        <v>4.28E-3</v>
      </c>
      <c r="H17" s="336" t="b">
        <v>1</v>
      </c>
      <c r="I17" s="335">
        <v>70</v>
      </c>
      <c r="J17" s="335">
        <v>1</v>
      </c>
      <c r="K17" s="334">
        <f>_xll.qlRateHelperEarliestDate($F17)</f>
        <v>42011</v>
      </c>
      <c r="L17" s="334">
        <f>_xll.qlRateHelperLatestDate($F17)</f>
        <v>42192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obj_0036f#0012</v>
      </c>
      <c r="G18" s="337">
        <f>_xll.qlRateHelperQuoteValue(F18,InterestRatesTrigger)</f>
        <v>5.7000000000000002E-3</v>
      </c>
      <c r="H18" s="336" t="b">
        <v>1</v>
      </c>
      <c r="I18" s="335">
        <v>70</v>
      </c>
      <c r="J18" s="335">
        <v>1</v>
      </c>
      <c r="K18" s="334">
        <f>_xll.qlRateHelperEarliestDate($F18)</f>
        <v>42101</v>
      </c>
      <c r="L18" s="334">
        <f>_xll.qlRateHelperLatestDate($F18)</f>
        <v>42284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obj_00370#0012</v>
      </c>
      <c r="G19" s="337">
        <f>_xll.qlRateHelperQuoteValue(F19,InterestRatesTrigger)</f>
        <v>7.7600000000000004E-3</v>
      </c>
      <c r="H19" s="336" t="b">
        <v>1</v>
      </c>
      <c r="I19" s="335">
        <v>70</v>
      </c>
      <c r="J19" s="335">
        <v>1</v>
      </c>
      <c r="K19" s="334">
        <f>_xll.qlRateHelperEarliestDate($F19)</f>
        <v>42192</v>
      </c>
      <c r="L19" s="334">
        <f>_xll.qlRateHelperLatestDate($F19)</f>
        <v>42376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obj_0036e#0012</v>
      </c>
      <c r="G20" s="330">
        <f>_xll.qlRateHelperQuoteValue(F20,InterestRatesTrigger)</f>
        <v>1.268E-2</v>
      </c>
      <c r="H20" s="329" t="b">
        <v>1</v>
      </c>
      <c r="I20" s="328">
        <v>70</v>
      </c>
      <c r="J20" s="328">
        <v>1</v>
      </c>
      <c r="K20" s="327">
        <f>_xll.qlRateHelperEarliestDate($F20)</f>
        <v>42376</v>
      </c>
      <c r="L20" s="327">
        <f>_xll.qlRateHelperLatestDate($F20)</f>
        <v>42558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USDAM3L3Y_S6L3L_Quote#0011</v>
      </c>
      <c r="F21" s="336" t="str">
        <f>_xll.qlSwapRateHelper2(,E21,B21,Calendar,"annual","mf","30/360 (Bond Basis)",$C$11,0,"0D",OisCurve)</f>
        <v>obj_0043e#0015</v>
      </c>
      <c r="G21" s="337">
        <f>_xll.qlRateHelperQuoteValue(F21,InterestRatesTrigger)</f>
        <v>1.1333301395503426E-2</v>
      </c>
      <c r="H21" s="336" t="b">
        <v>1</v>
      </c>
      <c r="I21" s="335">
        <v>50</v>
      </c>
      <c r="J21" s="335">
        <v>1</v>
      </c>
      <c r="K21" s="334">
        <f>_xll.qlRateHelperEarliestDate($F21)</f>
        <v>41827</v>
      </c>
      <c r="L21" s="333">
        <f>_xll.qlRateHelperLatestDate($F21)</f>
        <v>42923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USDAM3L4Y_S6L3L_Quote#0011</v>
      </c>
      <c r="F22" s="336" t="str">
        <f>_xll.qlSwapRateHelper2(,E22,B22,Calendar,"annual","mf","30/360 (Bond Basis)",$C$11,0,"0D",OisCurve)</f>
        <v>obj_0043a#0015</v>
      </c>
      <c r="G22" s="337">
        <f>_xll.qlRateHelperQuoteValue(F22,InterestRatesTrigger)</f>
        <v>1.534453546111816E-2</v>
      </c>
      <c r="H22" s="336" t="b">
        <v>1</v>
      </c>
      <c r="I22" s="335">
        <v>50</v>
      </c>
      <c r="J22" s="335">
        <v>1</v>
      </c>
      <c r="K22" s="334">
        <f>_xll.qlRateHelperEarliestDate($F22)</f>
        <v>41827</v>
      </c>
      <c r="L22" s="333">
        <f>_xll.qlRateHelperLatestDate($F22)</f>
        <v>43290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USDAM3L5Y_S6L3L_Quote#0011</v>
      </c>
      <c r="F23" s="336" t="str">
        <f>_xll.qlSwapRateHelper2(,E23,B23,Calendar,"annual","mf","30/360 (Bond Basis)",$C$11,0,"0D",OisCurve)</f>
        <v>obj_00439#0015</v>
      </c>
      <c r="G23" s="337">
        <f>_xll.qlRateHelperQuoteValue(F23,InterestRatesTrigger)</f>
        <v>1.8545472672845183E-2</v>
      </c>
      <c r="H23" s="336" t="b">
        <v>1</v>
      </c>
      <c r="I23" s="335">
        <v>50</v>
      </c>
      <c r="J23" s="335">
        <v>1</v>
      </c>
      <c r="K23" s="334">
        <f>_xll.qlRateHelperEarliestDate($F23)</f>
        <v>41827</v>
      </c>
      <c r="L23" s="333">
        <f>_xll.qlRateHelperLatestDate($F23)</f>
        <v>43654</v>
      </c>
      <c r="M23" s="325"/>
    </row>
    <row r="24" spans="1:13" x14ac:dyDescent="0.2">
      <c r="A24" s="353" t="s">
        <v>24</v>
      </c>
      <c r="B24" s="352"/>
      <c r="C24" s="351" t="str">
        <f>_xll.qlIborIndex(,Currency,A24,2,Currency,Calendar,"f",FALSE,"act/360",,,Trigger)</f>
        <v>obj_00355#0009</v>
      </c>
      <c r="D24" s="349" t="s">
        <v>97</v>
      </c>
      <c r="E24" s="349" t="str">
        <f>Contribution!D55</f>
        <v>USD1YD_SYNTH1Y_Quote#0010</v>
      </c>
      <c r="F24" s="349" t="str">
        <f>_xll.qlDepositRateHelper(,E24,$C$24)</f>
        <v>obj_003d8#0011</v>
      </c>
      <c r="G24" s="350">
        <f>_xll.qlRateHelperQuoteValue(F24,InterestRatesTrigger)</f>
        <v>5.5100000000000001E-3</v>
      </c>
      <c r="H24" s="349" t="b">
        <v>1</v>
      </c>
      <c r="I24" s="348">
        <v>70</v>
      </c>
      <c r="J24" s="348">
        <v>1</v>
      </c>
      <c r="K24" s="347">
        <f>_xll.qlRateHelperEarliestDate($F24)</f>
        <v>41827</v>
      </c>
      <c r="L24" s="347">
        <f>_xll.qlRateHelperLatestDate($F24)</f>
        <v>42192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obj_00364#0009</v>
      </c>
      <c r="G25" s="344">
        <f>_xll.qlRateHelperQuoteValue(F25,InterestRatesTrigger)</f>
        <v>5.7600000000000004E-3</v>
      </c>
      <c r="H25" s="343" t="b">
        <v>1</v>
      </c>
      <c r="I25" s="342">
        <v>70</v>
      </c>
      <c r="J25" s="342">
        <v>1</v>
      </c>
      <c r="K25" s="341">
        <f>_xll.qlRateHelperEarliestDate($F25)</f>
        <v>41858</v>
      </c>
      <c r="L25" s="341">
        <f>_xll.qlRateHelperLatestDate($F25)</f>
        <v>42223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obj_00363#0009</v>
      </c>
      <c r="G26" s="337">
        <f>_xll.qlRateHelperQuoteValue(F26,InterestRatesTrigger)</f>
        <v>6.0999999999999995E-3</v>
      </c>
      <c r="H26" s="336" t="b">
        <v>1</v>
      </c>
      <c r="I26" s="335">
        <v>70</v>
      </c>
      <c r="J26" s="335">
        <v>1</v>
      </c>
      <c r="K26" s="334">
        <f>_xll.qlRateHelperEarliestDate($F26)</f>
        <v>41890</v>
      </c>
      <c r="L26" s="334">
        <f>_xll.qlRateHelperLatestDate($F26)</f>
        <v>42255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obj_00356#0009</v>
      </c>
      <c r="G27" s="337">
        <f>_xll.qlRateHelperQuoteValue(F27,InterestRatesTrigger)</f>
        <v>6.5100000000000002E-3</v>
      </c>
      <c r="H27" s="336" t="b">
        <v>0</v>
      </c>
      <c r="I27" s="335">
        <v>70</v>
      </c>
      <c r="J27" s="335">
        <v>1</v>
      </c>
      <c r="K27" s="334">
        <f>_xll.qlRateHelperEarliestDate($F27)</f>
        <v>41919</v>
      </c>
      <c r="L27" s="334">
        <f>_xll.qlRateHelperLatestDate($F27)</f>
        <v>42284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obj_00365#0009</v>
      </c>
      <c r="G28" s="337">
        <f>_xll.qlRateHelperQuoteValue(F28,InterestRatesTrigger)</f>
        <v>6.9100000000000003E-3</v>
      </c>
      <c r="H28" s="336" t="b">
        <v>1</v>
      </c>
      <c r="I28" s="335">
        <v>70</v>
      </c>
      <c r="J28" s="335">
        <v>1</v>
      </c>
      <c r="K28" s="334">
        <f>_xll.qlRateHelperEarliestDate($F28)</f>
        <v>41950</v>
      </c>
      <c r="L28" s="334">
        <f>_xll.qlRateHelperLatestDate($F28)</f>
        <v>42317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obj_00361#0009</v>
      </c>
      <c r="G29" s="337">
        <f>_xll.qlRateHelperQuoteValue(F29,InterestRatesTrigger)</f>
        <v>7.3800000000000003E-3</v>
      </c>
      <c r="H29" s="336" t="b">
        <v>1</v>
      </c>
      <c r="I29" s="335">
        <v>70</v>
      </c>
      <c r="J29" s="335">
        <v>1</v>
      </c>
      <c r="K29" s="334">
        <f>_xll.qlRateHelperEarliestDate($F29)</f>
        <v>41981</v>
      </c>
      <c r="L29" s="334">
        <f>_xll.qlRateHelperLatestDate($F29)</f>
        <v>42346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obj_00366#0009</v>
      </c>
      <c r="G30" s="337">
        <f>_xll.qlRateHelperQuoteValue(F30,InterestRatesTrigger)</f>
        <v>7.9299999999999995E-3</v>
      </c>
      <c r="H30" s="336" t="b">
        <v>1</v>
      </c>
      <c r="I30" s="335">
        <v>70</v>
      </c>
      <c r="J30" s="335">
        <v>1</v>
      </c>
      <c r="K30" s="334">
        <f>_xll.qlRateHelperEarliestDate($F30)</f>
        <v>42011</v>
      </c>
      <c r="L30" s="334">
        <f>_xll.qlRateHelperLatestDate($F30)</f>
        <v>42376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obj_00362#0009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42044</v>
      </c>
      <c r="L31" s="334">
        <f>_xll.qlRateHelperLatestDate($F31)</f>
        <v>42409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obj_00360#0009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42072</v>
      </c>
      <c r="L32" s="334">
        <f>_xll.qlRateHelperLatestDate($F32)</f>
        <v>42438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obj_0036a#0009</v>
      </c>
      <c r="G33" s="337">
        <f>_xll.qlRateHelperQuoteValue(F33,InterestRatesTrigger)</f>
        <v>9.7099999999999999E-3</v>
      </c>
      <c r="H33" s="336" t="b">
        <v>1</v>
      </c>
      <c r="I33" s="335">
        <v>70</v>
      </c>
      <c r="J33" s="335">
        <v>1</v>
      </c>
      <c r="K33" s="334">
        <f>_xll.qlRateHelperEarliestDate($F33)</f>
        <v>42101</v>
      </c>
      <c r="L33" s="334">
        <f>_xll.qlRateHelperLatestDate($F33)</f>
        <v>42467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obj_00369#0009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42131</v>
      </c>
      <c r="L34" s="334">
        <f>_xll.qlRateHelperLatestDate($F34)</f>
        <v>42499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obj_00367#0009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42163</v>
      </c>
      <c r="L35" s="334">
        <f>_xll.qlRateHelperLatestDate($F35)</f>
        <v>42529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obj_00368#0009</v>
      </c>
      <c r="G36" s="330">
        <f>_xll.qlRateHelperQuoteValue(F36,InterestRatesTrigger)</f>
        <v>1.192E-2</v>
      </c>
      <c r="H36" s="329" t="b">
        <v>1</v>
      </c>
      <c r="I36" s="328">
        <v>70</v>
      </c>
      <c r="J36" s="328">
        <v>1</v>
      </c>
      <c r="K36" s="327">
        <f>_xll.qlRateHelperEarliestDate($F36)</f>
        <v>42192</v>
      </c>
      <c r="L36" s="327">
        <f>_xll.qlRateHelperLatestDate($F36)</f>
        <v>42558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USDAM3L3Y_S12L3L_Quote#0011</v>
      </c>
      <c r="F37" s="336" t="str">
        <f>_xll.qlSwapRateHelper2(,E37,B37,Calendar,"annual","mf","30/360 (Bond Basis)",$C$24,0,"0D",OisCurve)</f>
        <v>obj_0043c#0012</v>
      </c>
      <c r="G37" s="337">
        <f>_xll.qlRateHelperQuoteValue(F37,InterestRatesTrigger)</f>
        <v>1.3039982791999336E-2</v>
      </c>
      <c r="H37" s="336" t="b">
        <v>1</v>
      </c>
      <c r="I37" s="335">
        <v>50</v>
      </c>
      <c r="J37" s="335">
        <v>1</v>
      </c>
      <c r="K37" s="334">
        <f>_xll.qlRateHelperEarliestDate($F37)</f>
        <v>41827</v>
      </c>
      <c r="L37" s="333">
        <f>_xll.qlRateHelperLatestDate($F37)</f>
        <v>42923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USDAM3L4Y_S12L3L_Quote#0011</v>
      </c>
      <c r="F38" s="336" t="str">
        <f>_xll.qlSwapRateHelper2(,E38,B38,Calendar,"annual","mf","30/360 (Bond Basis)",$C$24,0,"0D",OisCurve)</f>
        <v>obj_0043b#0012</v>
      </c>
      <c r="G38" s="337">
        <f>_xll.qlRateHelperQuoteValue(F38,InterestRatesTrigger)</f>
        <v>1.7033605461519837E-2</v>
      </c>
      <c r="H38" s="336" t="b">
        <v>1</v>
      </c>
      <c r="I38" s="335">
        <v>50</v>
      </c>
      <c r="J38" s="335">
        <v>1</v>
      </c>
      <c r="K38" s="334">
        <f>_xll.qlRateHelperEarliestDate($F38)</f>
        <v>41827</v>
      </c>
      <c r="L38" s="333">
        <f>_xll.qlRateHelperLatestDate($F38)</f>
        <v>43290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USDAM3L5Y_S12L3L_Quote#0011</v>
      </c>
      <c r="F39" s="329" t="str">
        <f>_xll.qlSwapRateHelper2(,E39,B39,Calendar,"annual","mf","30/360 (Bond Basis)",$C$24,0,"0D",OisCurve)</f>
        <v>obj_00434#0012</v>
      </c>
      <c r="G39" s="330">
        <f>_xll.qlRateHelperQuoteValue(F39,InterestRatesTrigger)</f>
        <v>2.0226352196953578E-2</v>
      </c>
      <c r="H39" s="329" t="b">
        <v>1</v>
      </c>
      <c r="I39" s="328">
        <v>50</v>
      </c>
      <c r="J39" s="328">
        <v>1</v>
      </c>
      <c r="K39" s="327">
        <f>_xll.qlRateHelperEarliestDate($F39)</f>
        <v>41827</v>
      </c>
      <c r="L39" s="326">
        <f>_xll.qlRateHelperLatestDate($F39)</f>
        <v>43654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41827</v>
      </c>
      <c r="E2" s="297">
        <f t="array" ref="E2:E127">_xll.qlPiecewiseYieldCurveData(YieldCurve6M,InterestRatesTrigger)</f>
        <v>1</v>
      </c>
      <c r="F2" s="282">
        <v>0</v>
      </c>
      <c r="G2" s="282" t="str">
        <f>"x"&amp;F2+6</f>
        <v>x6</v>
      </c>
      <c r="H2" s="294">
        <f>_xll.qlInterestRateIndexFixingDate(IborIndex6M,J2)</f>
        <v>41823</v>
      </c>
      <c r="I2" s="282" t="str">
        <f>_xll.qlMakeDatedOIS(,J2,K2,OvernightIndex,0,"Act/360",0)</f>
        <v>obj_0047e#0022</v>
      </c>
      <c r="J2" s="294">
        <f>_xll.qlCalendarAdvance(Calendar,$D$2,F2&amp;"M","mf")</f>
        <v>41827</v>
      </c>
      <c r="K2" s="294">
        <f>_xll.qlInterestRateIndexMaturity(IborIndex6M,J2)</f>
        <v>42011</v>
      </c>
      <c r="L2" s="297">
        <f>_xll.qlIndexFixing(IborIndex6M,H2,TRUE,InterestRatesTrigger)</f>
        <v>3.2459999995161216E-3</v>
      </c>
      <c r="M2" s="297">
        <f>_xll.qlOvernightIndexedSwapFairRate(I2,Contribution!$P$40)</f>
        <v>1.1399999999999091E-3</v>
      </c>
      <c r="N2" s="298">
        <f>L2-M2</f>
        <v>2.1059999995162127E-3</v>
      </c>
      <c r="O2" s="297"/>
    </row>
    <row r="3" spans="1:15" x14ac:dyDescent="0.2">
      <c r="A3" s="283" t="str">
        <f t="array" ref="A3:A126">_xll.ohFilter(FRA_RateHelpers!F2:F23,FRA_RateHelpers!H2:H23)</f>
        <v>obj_003d9#0014</v>
      </c>
      <c r="B3" s="284">
        <f>_xll.qlRateHelperRate($A3,InterestRatesTrigger)</f>
        <v>3.107E-3</v>
      </c>
      <c r="C3" s="287">
        <f>_xll.qlRateHelperEarliestDate($A3)</f>
        <v>41827</v>
      </c>
      <c r="D3" s="288">
        <f>_xll.qlRateHelperLatestDate($A3)</f>
        <v>41828</v>
      </c>
      <c r="E3" s="297">
        <v>0.9999913695189302</v>
      </c>
      <c r="F3" s="282">
        <v>1</v>
      </c>
      <c r="G3" s="282" t="str">
        <f t="shared" ref="G3:G14" si="0">"x"&amp;F3+6</f>
        <v>x7</v>
      </c>
      <c r="H3" s="294">
        <f>_xll.qlInterestRateIndexFixingDate(IborIndex6M,J3)</f>
        <v>41856</v>
      </c>
      <c r="I3" s="282" t="str">
        <f>_xll.qlMakeDatedOIS(,J3,K3,OvernightIndex,0,"Act/360",0)</f>
        <v>obj_0048a#0021</v>
      </c>
      <c r="J3" s="294">
        <f>_xll.qlCalendarAdvance(Calendar,$D$2,F3&amp;"M","mf")</f>
        <v>41858</v>
      </c>
      <c r="K3" s="294">
        <f>_xll.qlInterestRateIndexMaturity(IborIndex6M,J3)</f>
        <v>42044</v>
      </c>
      <c r="L3" s="297">
        <f>_xll.qlIndexFixing(IborIndex6M,H3,TRUE,InterestRatesTrigger)</f>
        <v>3.3199999999999176E-3</v>
      </c>
      <c r="M3" s="297">
        <f>_xll.qlOvernightIndexedSwapFairRate(I3,Contribution!$P$40)</f>
        <v>1.2265642147046125E-3</v>
      </c>
      <c r="N3" s="298">
        <f t="shared" ref="N3:N11" si="1">L3-M3</f>
        <v>2.0934357852953052E-3</v>
      </c>
      <c r="O3" s="297"/>
    </row>
    <row r="4" spans="1:15" x14ac:dyDescent="0.2">
      <c r="A4" s="283" t="str">
        <v>obj_003d4#0014</v>
      </c>
      <c r="B4" s="284">
        <f>_xll.qlRateHelperRate($A4,InterestRatesTrigger)</f>
        <v>3.107E-3</v>
      </c>
      <c r="C4" s="287">
        <f>_xll.qlRateHelperEarliestDate($A4)</f>
        <v>41827</v>
      </c>
      <c r="D4" s="288">
        <f>_xll.qlRateHelperLatestDate($A4)</f>
        <v>41834</v>
      </c>
      <c r="E4" s="297">
        <v>0.99993958976072861</v>
      </c>
      <c r="F4" s="282">
        <v>2</v>
      </c>
      <c r="G4" s="282" t="str">
        <f t="shared" si="0"/>
        <v>x8</v>
      </c>
      <c r="H4" s="294">
        <f>_xll.qlInterestRateIndexFixingDate(IborIndex6M,J4)</f>
        <v>41886</v>
      </c>
      <c r="I4" s="282" t="str">
        <f>_xll.qlMakeDatedOIS(,J4,K4,OvernightIndex,0,"Act/360",0)</f>
        <v>obj_00493#0021</v>
      </c>
      <c r="J4" s="294">
        <f>_xll.qlCalendarAdvance(Calendar,$D$2,F4&amp;"M","mf")</f>
        <v>41890</v>
      </c>
      <c r="K4" s="294">
        <f>_xll.qlInterestRateIndexMaturity(IborIndex6M,J4)</f>
        <v>42072</v>
      </c>
      <c r="L4" s="297">
        <f>_xll.qlIndexFixing(IborIndex6M,H4,TRUE,InterestRatesTrigger)</f>
        <v>3.4099999999998081E-3</v>
      </c>
      <c r="M4" s="297">
        <f>_xll.qlOvernightIndexedSwapFairRate(I4,Contribution!$P$40)</f>
        <v>1.3397678852140528E-3</v>
      </c>
      <c r="N4" s="298">
        <f t="shared" si="1"/>
        <v>2.0702321147857555E-3</v>
      </c>
      <c r="O4" s="297"/>
    </row>
    <row r="5" spans="1:15" x14ac:dyDescent="0.2">
      <c r="A5" s="283" t="str">
        <v>obj_003d1#0013</v>
      </c>
      <c r="B5" s="284">
        <f>_xll.qlRateHelperRate($A5,InterestRatesTrigger)</f>
        <v>3.127E-3</v>
      </c>
      <c r="C5" s="287">
        <f>_xll.qlRateHelperEarliestDate($A5)</f>
        <v>41827</v>
      </c>
      <c r="D5" s="288">
        <f>_xll.qlRateHelperLatestDate($A5)</f>
        <v>41841</v>
      </c>
      <c r="E5" s="297">
        <v>0.99987840923055737</v>
      </c>
      <c r="F5" s="282">
        <v>3</v>
      </c>
      <c r="G5" s="282" t="str">
        <f t="shared" si="0"/>
        <v>x9</v>
      </c>
      <c r="H5" s="294">
        <f>_xll.qlInterestRateIndexFixingDate(IborIndex6M,J5)</f>
        <v>41915</v>
      </c>
      <c r="I5" s="282" t="str">
        <f>_xll.qlMakeDatedOIS(,J5,K5,OvernightIndex,0,"Act/360",0)</f>
        <v>obj_0048f#0021</v>
      </c>
      <c r="J5" s="294">
        <f>_xll.qlCalendarAdvance(Calendar,$D$2,F5&amp;"M","mf")</f>
        <v>41919</v>
      </c>
      <c r="K5" s="294">
        <f>_xll.qlInterestRateIndexMaturity(IborIndex6M,J5)</f>
        <v>42101</v>
      </c>
      <c r="L5" s="297">
        <f>_xll.qlIndexFixing(IborIndex6M,H5,TRUE,InterestRatesTrigger)</f>
        <v>3.5399999999998254E-3</v>
      </c>
      <c r="M5" s="297">
        <f>_xll.qlOvernightIndexedSwapFairRate(I5,Contribution!$P$40)</f>
        <v>1.4411627981879692E-3</v>
      </c>
      <c r="N5" s="298">
        <f t="shared" si="1"/>
        <v>2.0988372018118564E-3</v>
      </c>
      <c r="O5" s="297"/>
    </row>
    <row r="6" spans="1:15" x14ac:dyDescent="0.2">
      <c r="A6" s="283" t="str">
        <v>obj_003d0#0014</v>
      </c>
      <c r="B6" s="284">
        <f>_xll.qlRateHelperRate($A6,InterestRatesTrigger)</f>
        <v>3.127E-3</v>
      </c>
      <c r="C6" s="287">
        <f>_xll.qlRateHelperEarliestDate($A6)</f>
        <v>41827</v>
      </c>
      <c r="D6" s="288">
        <f>_xll.qlRateHelperLatestDate($A6)</f>
        <v>41848</v>
      </c>
      <c r="E6" s="297">
        <v>0.99981762493339865</v>
      </c>
      <c r="F6" s="282">
        <v>4</v>
      </c>
      <c r="G6" s="282" t="str">
        <f t="shared" si="0"/>
        <v>x10</v>
      </c>
      <c r="H6" s="294">
        <f>_xll.qlInterestRateIndexFixingDate(IborIndex6M,J6)</f>
        <v>41948</v>
      </c>
      <c r="I6" s="282" t="str">
        <f>_xll.qlMakeDatedOIS(,J6,K6,OvernightIndex,0,"Act/360",0)</f>
        <v>obj_00486#0022</v>
      </c>
      <c r="J6" s="294">
        <f>_xll.qlCalendarAdvance(Calendar,$D$2,F6&amp;"M","mf")</f>
        <v>41950</v>
      </c>
      <c r="K6" s="294">
        <f>_xll.qlInterestRateIndexMaturity(IborIndex6M,J6)</f>
        <v>42131</v>
      </c>
      <c r="L6" s="297">
        <f>_xll.qlIndexFixing(IborIndex6M,H6,TRUE,InterestRatesTrigger)</f>
        <v>3.709999999999949E-3</v>
      </c>
      <c r="M6" s="297">
        <f>_xll.qlOvernightIndexedSwapFairRate(I6,Contribution!$P$40)</f>
        <v>1.5968802267468877E-3</v>
      </c>
      <c r="N6" s="298">
        <f t="shared" si="1"/>
        <v>2.1131197732530615E-3</v>
      </c>
      <c r="O6" s="297"/>
    </row>
    <row r="7" spans="1:15" x14ac:dyDescent="0.2">
      <c r="A7" s="283" t="str">
        <v>obj_003d7#0014</v>
      </c>
      <c r="B7" s="284">
        <f>_xll.qlRateHelperRate($A7,InterestRatesTrigger)</f>
        <v>3.137E-3</v>
      </c>
      <c r="C7" s="287">
        <f>_xll.qlRateHelperEarliestDate($A7)</f>
        <v>41827</v>
      </c>
      <c r="D7" s="288">
        <f>_xll.qlRateHelperLatestDate($A7)</f>
        <v>41858</v>
      </c>
      <c r="E7" s="297">
        <v>0.99972994239525459</v>
      </c>
      <c r="F7" s="282">
        <v>5</v>
      </c>
      <c r="G7" s="282" t="str">
        <f t="shared" si="0"/>
        <v>x11</v>
      </c>
      <c r="H7" s="294">
        <f>_xll.qlInterestRateIndexFixingDate(IborIndex6M,J7)</f>
        <v>41977</v>
      </c>
      <c r="I7" s="282" t="str">
        <f>_xll.qlMakeDatedOIS(,J7,K7,OvernightIndex,0,"Act/360",0)</f>
        <v>obj_0048c#0021</v>
      </c>
      <c r="J7" s="294">
        <f>_xll.qlCalendarAdvance(Calendar,$D$2,F7&amp;"M","mf")</f>
        <v>41981</v>
      </c>
      <c r="K7" s="294">
        <f>_xll.qlInterestRateIndexMaturity(IborIndex6M,J7)</f>
        <v>42163</v>
      </c>
      <c r="L7" s="297">
        <f>_xll.qlIndexFixing(IborIndex6M,H7,TRUE,InterestRatesTrigger)</f>
        <v>3.9499999999988659E-3</v>
      </c>
      <c r="M7" s="297">
        <f>_xll.qlOvernightIndexedSwapFairRate(I7,Contribution!$P$40)</f>
        <v>1.846062299094918E-3</v>
      </c>
      <c r="N7" s="298">
        <f t="shared" si="1"/>
        <v>2.1039377009039479E-3</v>
      </c>
      <c r="O7" s="297"/>
    </row>
    <row r="8" spans="1:15" x14ac:dyDescent="0.2">
      <c r="A8" s="283" t="str">
        <v>obj_003d6#0014</v>
      </c>
      <c r="B8" s="284">
        <f>_xll.qlRateHelperRate($A8,InterestRatesTrigger)</f>
        <v>3.156E-3</v>
      </c>
      <c r="C8" s="287">
        <f>_xll.qlRateHelperEarliestDate($A8)</f>
        <v>41827</v>
      </c>
      <c r="D8" s="288">
        <f>_xll.qlRateHelperLatestDate($A8)</f>
        <v>41890</v>
      </c>
      <c r="E8" s="297">
        <v>0.99944800486683838</v>
      </c>
      <c r="F8" s="282">
        <v>6</v>
      </c>
      <c r="G8" s="282" t="str">
        <f t="shared" si="0"/>
        <v>x12</v>
      </c>
      <c r="H8" s="294">
        <f>_xll.qlInterestRateIndexFixingDate(IborIndex6M,J8)</f>
        <v>42009</v>
      </c>
      <c r="I8" s="282" t="str">
        <f>_xll.qlMakeDatedOIS(,J8,K8,OvernightIndex,0,"Act/360",0)</f>
        <v>obj_00481#0022</v>
      </c>
      <c r="J8" s="294">
        <f>_xll.qlCalendarAdvance(Calendar,$D$2,F8&amp;"M","mf")</f>
        <v>42011</v>
      </c>
      <c r="K8" s="294">
        <f>_xll.qlInterestRateIndexMaturity(IborIndex6M,J8)</f>
        <v>42192</v>
      </c>
      <c r="L8" s="297">
        <f>_xll.qlIndexFixing(IborIndex6M,H8,TRUE,InterestRatesTrigger)</f>
        <v>4.2799999999974777E-3</v>
      </c>
      <c r="M8" s="297">
        <f>_xll.qlOvernightIndexedSwapFairRate(I8,Contribution!$P$40)</f>
        <v>2.106728280758904E-3</v>
      </c>
      <c r="N8" s="298">
        <f t="shared" si="1"/>
        <v>2.1732717192385737E-3</v>
      </c>
      <c r="O8" s="297"/>
    </row>
    <row r="9" spans="1:15" ht="11.25" customHeight="1" x14ac:dyDescent="0.2">
      <c r="A9" s="283" t="str">
        <v>obj_003cf#0014</v>
      </c>
      <c r="B9" s="284">
        <f>_xll.qlRateHelperRate($A9,InterestRatesTrigger)</f>
        <v>3.1740000000000002E-3</v>
      </c>
      <c r="C9" s="287">
        <f>_xll.qlRateHelperEarliestDate($A9)</f>
        <v>41827</v>
      </c>
      <c r="D9" s="288">
        <f>_xll.qlRateHelperLatestDate($A9)</f>
        <v>41919</v>
      </c>
      <c r="E9" s="297">
        <v>0.99918952407059169</v>
      </c>
      <c r="F9" s="282">
        <v>12</v>
      </c>
      <c r="G9" s="282" t="str">
        <f t="shared" si="0"/>
        <v>x18</v>
      </c>
      <c r="H9" s="294">
        <f>_xll.qlInterestRateIndexFixingDate(IborIndex6M,J9)</f>
        <v>42188</v>
      </c>
      <c r="I9" s="282" t="str">
        <f>_xll.qlMakeDatedOIS(,J9,K9,OvernightIndex,0,"Act/360",0)</f>
        <v>obj_00491#0021</v>
      </c>
      <c r="J9" s="294">
        <f>_xll.qlCalendarAdvance(Calendar,$D$2,F9&amp;"M","mf")</f>
        <v>42192</v>
      </c>
      <c r="K9" s="294">
        <f>_xll.qlInterestRateIndexMaturity(IborIndex6M,J9)</f>
        <v>42376</v>
      </c>
      <c r="L9" s="297">
        <f>_xll.qlIndexFixing(IborIndex6M,H9,TRUE,InterestRatesTrigger)</f>
        <v>7.759999999999748E-3</v>
      </c>
      <c r="M9" s="297">
        <f>_xll.qlOvernightIndexedSwapFairRate(I9,Contribution!$P$40)</f>
        <v>5.4162676751532222E-3</v>
      </c>
      <c r="N9" s="298">
        <f t="shared" si="1"/>
        <v>2.3437323248465258E-3</v>
      </c>
      <c r="O9" s="297"/>
    </row>
    <row r="10" spans="1:15" ht="11.25" customHeight="1" x14ac:dyDescent="0.2">
      <c r="A10" s="283" t="str">
        <v>obj_003d2#0014</v>
      </c>
      <c r="B10" s="284">
        <f>_xll.qlRateHelperRate($A10,InterestRatesTrigger)</f>
        <v>3.2000000000000002E-3</v>
      </c>
      <c r="C10" s="287">
        <f>_xll.qlRateHelperEarliestDate($A10)</f>
        <v>41827</v>
      </c>
      <c r="D10" s="288">
        <f>_xll.qlRateHelperLatestDate($A10)</f>
        <v>41950</v>
      </c>
      <c r="E10" s="297">
        <v>0.99890786073892557</v>
      </c>
      <c r="F10" s="282">
        <v>18</v>
      </c>
      <c r="G10" s="282" t="str">
        <f t="shared" si="0"/>
        <v>x24</v>
      </c>
      <c r="H10" s="294">
        <f>_xll.qlInterestRateIndexFixingDate(IborIndex6M,J10)</f>
        <v>42374</v>
      </c>
      <c r="I10" s="282" t="str">
        <f>_xll.qlMakeDatedOIS(,J10,K10,OvernightIndex,0,"Act/360",0)</f>
        <v>obj_00490#0021</v>
      </c>
      <c r="J10" s="294">
        <f>_xll.qlCalendarAdvance(Calendar,$D$2,F10&amp;"M","mf")</f>
        <v>42376</v>
      </c>
      <c r="K10" s="294">
        <f>_xll.qlInterestRateIndexMaturity(IborIndex6M,J10)</f>
        <v>42558</v>
      </c>
      <c r="L10" s="297">
        <f>_xll.qlIndexFixing(IborIndex6M,H10,TRUE,InterestRatesTrigger)</f>
        <v>1.2679999999985829E-2</v>
      </c>
      <c r="M10" s="297">
        <f>_xll.qlOvernightIndexedSwapFairRate(I10,Contribution!$P$40)</f>
        <v>1.0213916947846069E-2</v>
      </c>
      <c r="N10" s="298">
        <f t="shared" si="1"/>
        <v>2.4660830521397604E-3</v>
      </c>
      <c r="O10" s="297"/>
    </row>
    <row r="11" spans="1:15" ht="11.25" customHeight="1" x14ac:dyDescent="0.2">
      <c r="A11" s="283" t="str">
        <v>obj_003d5#0014</v>
      </c>
      <c r="B11" s="284">
        <f>_xll.qlRateHelperRate($A11,InterestRatesTrigger)</f>
        <v>3.2330000000000002E-3</v>
      </c>
      <c r="C11" s="287">
        <f>_xll.qlRateHelperEarliestDate($A11)</f>
        <v>41827</v>
      </c>
      <c r="D11" s="288">
        <f>_xll.qlRateHelperLatestDate($A11)</f>
        <v>41981</v>
      </c>
      <c r="E11" s="297">
        <v>0.99861890450718382</v>
      </c>
      <c r="F11" s="282">
        <v>24</v>
      </c>
      <c r="G11" s="282" t="str">
        <f t="shared" si="0"/>
        <v>x30</v>
      </c>
      <c r="H11" s="294">
        <f>_xll.qlInterestRateIndexFixingDate(IborIndex6M,J11)</f>
        <v>42556</v>
      </c>
      <c r="I11" s="282" t="str">
        <f>_xll.qlMakeDatedOIS(,J11,K11,OvernightIndex,0,"Act/360",0)</f>
        <v>obj_0047c#0023</v>
      </c>
      <c r="J11" s="294">
        <f>_xll.qlCalendarAdvance(Calendar,$D$2,F11&amp;"M","mf")</f>
        <v>42558</v>
      </c>
      <c r="K11" s="294">
        <f>_xll.qlInterestRateIndexMaturity(IborIndex6M,J11)</f>
        <v>42744</v>
      </c>
      <c r="L11" s="297">
        <f>_xll.qlIndexFixing(IborIndex6M,H11,TRUE,InterestRatesTrigger)</f>
        <v>1.7501742273849822E-2</v>
      </c>
      <c r="M11" s="297">
        <f>_xll.qlOvernightIndexedSwapFairRate(I11,Contribution!$P$40)</f>
        <v>1.5613912764163445E-2</v>
      </c>
      <c r="N11" s="298">
        <f t="shared" si="1"/>
        <v>1.887829509686377E-3</v>
      </c>
      <c r="O11" s="297"/>
    </row>
    <row r="12" spans="1:15" ht="11.25" customHeight="1" x14ac:dyDescent="0.2">
      <c r="A12" s="283" t="str">
        <v>obj_003d3#0014</v>
      </c>
      <c r="B12" s="284">
        <f>_xll.qlRateHelperRate($A12,InterestRatesTrigger)</f>
        <v>3.2460000000000002E-3</v>
      </c>
      <c r="C12" s="287">
        <f>_xll.qlRateHelperEarliestDate($A12)</f>
        <v>41827</v>
      </c>
      <c r="D12" s="288">
        <f>_xll.qlRateHelperLatestDate($A12)</f>
        <v>42011</v>
      </c>
      <c r="E12" s="297">
        <v>0.99834368127676343</v>
      </c>
      <c r="F12" s="282">
        <v>30</v>
      </c>
      <c r="G12" s="282" t="str">
        <f t="shared" si="0"/>
        <v>x36</v>
      </c>
      <c r="H12" s="294">
        <f>_xll.qlInterestRateIndexFixingDate(IborIndex6M,J12)</f>
        <v>42740</v>
      </c>
      <c r="I12" s="282" t="str">
        <f>_xll.qlMakeDatedOIS(,J12,K12,OvernightIndex,0,"Act/360",0)</f>
        <v>obj_00492#0021</v>
      </c>
      <c r="J12" s="294">
        <f>_xll.qlCalendarAdvance(Calendar,$D$2,F12&amp;"M","mf")</f>
        <v>42744</v>
      </c>
      <c r="K12" s="294">
        <f>_xll.qlInterestRateIndexMaturity(IborIndex6M,J12)</f>
        <v>42926</v>
      </c>
      <c r="L12" s="297">
        <f>_xll.qlIndexFixing(IborIndex6M,H12,TRUE,InterestRatesTrigger)</f>
        <v>2.1899839699378722E-2</v>
      </c>
      <c r="M12" s="297">
        <f>_xll.qlOvernightIndexedSwapFairRate(I12,Contribution!$P$40)</f>
        <v>1.9782614530085021E-2</v>
      </c>
      <c r="N12" s="298">
        <f t="shared" ref="N12" si="2">L12-M12</f>
        <v>2.1172251692937009E-3</v>
      </c>
      <c r="O12" s="296"/>
    </row>
    <row r="13" spans="1:15" ht="11.25" customHeight="1" x14ac:dyDescent="0.2">
      <c r="A13" s="283" t="str">
        <v>obj_0036b#0012</v>
      </c>
      <c r="B13" s="284">
        <f>_xll.qlRateHelperRate($A13,InterestRatesTrigger)</f>
        <v>3.3199999999999996E-3</v>
      </c>
      <c r="C13" s="287">
        <f>_xll.qlRateHelperEarliestDate($A13)</f>
        <v>41858</v>
      </c>
      <c r="D13" s="288">
        <f>_xll.qlRateHelperLatestDate($A13)</f>
        <v>42044</v>
      </c>
      <c r="E13" s="297">
        <v>0.99801800883742875</v>
      </c>
      <c r="F13" s="282">
        <v>36</v>
      </c>
      <c r="G13" s="282" t="str">
        <f t="shared" si="0"/>
        <v>x42</v>
      </c>
      <c r="H13" s="294">
        <f>_xll.qlInterestRateIndexFixingDate(IborIndex6M,J13)</f>
        <v>42921</v>
      </c>
      <c r="I13" s="282" t="str">
        <f>_xll.qlMakeDatedOIS(,J13,K13,OvernightIndex,0,"Act/360",0)</f>
        <v>obj_00489#0021</v>
      </c>
      <c r="J13" s="294">
        <f>_xll.qlCalendarAdvance(Calendar,$D$2,F13&amp;"M","mf")</f>
        <v>42923</v>
      </c>
      <c r="K13" s="294">
        <f>_xll.qlInterestRateIndexMaturity(IborIndex6M,J13)</f>
        <v>43108</v>
      </c>
      <c r="L13" s="297">
        <f>_xll.qlIndexFixing(IborIndex6M,H13,TRUE,InterestRatesTrigger)</f>
        <v>2.5716699987429321E-2</v>
      </c>
      <c r="M13" s="297">
        <f>_xll.qlOvernightIndexedSwapFairRate(I13,Contribution!$P$40)</f>
        <v>2.343147960287071E-2</v>
      </c>
      <c r="N13" s="298">
        <f t="shared" ref="N13:N14" si="3">L13-M13</f>
        <v>2.2852203845586117E-3</v>
      </c>
    </row>
    <row r="14" spans="1:15" x14ac:dyDescent="0.2">
      <c r="A14" s="283" t="str">
        <v>obj_00372#0012</v>
      </c>
      <c r="B14" s="284">
        <f>_xll.qlRateHelperRate($A14,InterestRatesTrigger)</f>
        <v>3.4099999999999998E-3</v>
      </c>
      <c r="C14" s="287">
        <f>_xll.qlRateHelperEarliestDate($A14)</f>
        <v>41890</v>
      </c>
      <c r="D14" s="288">
        <f>_xll.qlRateHelperLatestDate($A14)</f>
        <v>42072</v>
      </c>
      <c r="E14" s="297">
        <v>0.99772797726336848</v>
      </c>
      <c r="F14" s="282">
        <v>42</v>
      </c>
      <c r="G14" s="282" t="str">
        <f t="shared" si="0"/>
        <v>x48</v>
      </c>
      <c r="H14" s="294">
        <f>_xll.qlInterestRateIndexFixingDate(IborIndex6M,J14)</f>
        <v>43104</v>
      </c>
      <c r="I14" s="282" t="str">
        <f>_xll.qlMakeDatedOIS(,J14,K14,OvernightIndex,0,"Act/360",0)</f>
        <v>obj_0048b#0021</v>
      </c>
      <c r="J14" s="294">
        <f>_xll.qlCalendarAdvance(Calendar,$D$2,F14&amp;"M","mf")</f>
        <v>43108</v>
      </c>
      <c r="K14" s="294">
        <f>_xll.qlInterestRateIndexMaturity(IborIndex6M,J14)</f>
        <v>43290</v>
      </c>
      <c r="L14" s="297">
        <f>_xll.qlIndexFixing(IborIndex6M,H14,TRUE,InterestRatesTrigger)</f>
        <v>2.8800322526347424E-2</v>
      </c>
      <c r="M14" s="297">
        <f>_xll.qlOvernightIndexedSwapFairRate(I14,Contribution!$P$40)</f>
        <v>2.627592823802213E-2</v>
      </c>
      <c r="N14" s="298">
        <f t="shared" si="3"/>
        <v>2.5243942883252934E-3</v>
      </c>
    </row>
    <row r="15" spans="1:15" x14ac:dyDescent="0.2">
      <c r="A15" s="283" t="str">
        <v>obj_00358#0012</v>
      </c>
      <c r="B15" s="284">
        <f>_xll.qlRateHelperRate($A15,InterestRatesTrigger)</f>
        <v>3.5399999999999997E-3</v>
      </c>
      <c r="C15" s="287">
        <f>_xll.qlRateHelperEarliestDate($A15)</f>
        <v>41919</v>
      </c>
      <c r="D15" s="288">
        <f>_xll.qlRateHelperLatestDate($A15)</f>
        <v>42101</v>
      </c>
      <c r="E15" s="297">
        <v>0.99740450247932122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obj_00371#0012</v>
      </c>
      <c r="B16" s="284">
        <f>_xll.qlRateHelperRate($A16,InterestRatesTrigger)</f>
        <v>3.7099999999999998E-3</v>
      </c>
      <c r="C16" s="287">
        <f>_xll.qlRateHelperEarliestDate($A16)</f>
        <v>41950</v>
      </c>
      <c r="D16" s="288">
        <f>_xll.qlRateHelperLatestDate($A16)</f>
        <v>42131</v>
      </c>
      <c r="E16" s="297">
        <v>0.99704806145074565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obj_0036d#0012</v>
      </c>
      <c r="B17" s="284">
        <f>_xll.qlRateHelperRate($A17,InterestRatesTrigger)</f>
        <v>3.9500000000000004E-3</v>
      </c>
      <c r="C17" s="287">
        <f>_xll.qlRateHelperEarliestDate($A17)</f>
        <v>41981</v>
      </c>
      <c r="D17" s="288">
        <f>_xll.qlRateHelperLatestDate($A17)</f>
        <v>42163</v>
      </c>
      <c r="E17" s="297">
        <v>0.99662869237676877</v>
      </c>
    </row>
    <row r="18" spans="1:15" x14ac:dyDescent="0.2">
      <c r="A18" s="283" t="str">
        <v>obj_0036c#0012</v>
      </c>
      <c r="B18" s="284">
        <f>_xll.qlRateHelperRate($A18,InterestRatesTrigger)</f>
        <v>4.28E-3</v>
      </c>
      <c r="C18" s="287">
        <f>_xll.qlRateHelperEarliestDate($A18)</f>
        <v>42011</v>
      </c>
      <c r="D18" s="288">
        <f>_xll.qlRateHelperLatestDate($A18)</f>
        <v>42192</v>
      </c>
      <c r="E18" s="297">
        <v>0.99619996963100421</v>
      </c>
    </row>
    <row r="19" spans="1:15" x14ac:dyDescent="0.2">
      <c r="A19" s="283" t="str">
        <v>obj_0036f#0012</v>
      </c>
      <c r="B19" s="284">
        <f>_xll.qlRateHelperRate($A19,InterestRatesTrigger)</f>
        <v>5.7000000000000002E-3</v>
      </c>
      <c r="C19" s="287">
        <f>_xll.qlRateHelperEarliestDate($A19)</f>
        <v>42101</v>
      </c>
      <c r="D19" s="288">
        <f>_xll.qlRateHelperLatestDate($A19)</f>
        <v>42284</v>
      </c>
      <c r="E19" s="297">
        <v>0.99452287245637894</v>
      </c>
    </row>
    <row r="20" spans="1:15" x14ac:dyDescent="0.2">
      <c r="A20" s="283" t="str">
        <v>obj_00370#0012</v>
      </c>
      <c r="B20" s="284">
        <f>_xll.qlRateHelperRate($A20,InterestRatesTrigger)</f>
        <v>7.7600000000000004E-3</v>
      </c>
      <c r="C20" s="287">
        <f>_xll.qlRateHelperEarliestDate($A20)</f>
        <v>42192</v>
      </c>
      <c r="D20" s="288">
        <f>_xll.qlRateHelperLatestDate($A20)</f>
        <v>42376</v>
      </c>
      <c r="E20" s="297">
        <v>0.99226442840474482</v>
      </c>
    </row>
    <row r="21" spans="1:15" x14ac:dyDescent="0.2">
      <c r="A21" s="283" t="str">
        <v>obj_0036e#0012</v>
      </c>
      <c r="B21" s="284">
        <f>_xll.qlRateHelperRate($A21,InterestRatesTrigger)</f>
        <v>1.268E-2</v>
      </c>
      <c r="C21" s="287">
        <f>_xll.qlRateHelperEarliestDate($A21)</f>
        <v>42376</v>
      </c>
      <c r="D21" s="288">
        <f>_xll.qlRateHelperLatestDate($A21)</f>
        <v>42558</v>
      </c>
      <c r="E21" s="297">
        <v>0.9859440885994567</v>
      </c>
    </row>
    <row r="22" spans="1:15" x14ac:dyDescent="0.2">
      <c r="A22" s="283" t="str">
        <v>obj_0043e#0015</v>
      </c>
      <c r="B22" s="284">
        <f>_xll.qlRateHelperRate($A22,InterestRatesTrigger)</f>
        <v>1.1333301395503426E-2</v>
      </c>
      <c r="C22" s="287">
        <f>_xll.qlRateHelperEarliestDate($A22)</f>
        <v>41827</v>
      </c>
      <c r="D22" s="288">
        <f>_xll.qlRateHelperLatestDate($A22)</f>
        <v>42923</v>
      </c>
      <c r="E22" s="297">
        <v>0.96660017257583197</v>
      </c>
    </row>
    <row r="23" spans="1:15" x14ac:dyDescent="0.2">
      <c r="A23" s="283" t="str">
        <v>obj_0043a#0015</v>
      </c>
      <c r="B23" s="284">
        <f>_xll.qlRateHelperRate($A23,InterestRatesTrigger)</f>
        <v>1.534453546111816E-2</v>
      </c>
      <c r="C23" s="287">
        <f>_xll.qlRateHelperEarliestDate($A23)</f>
        <v>41827</v>
      </c>
      <c r="D23" s="288">
        <f>_xll.qlRateHelperLatestDate($A23)</f>
        <v>43290</v>
      </c>
      <c r="E23" s="297">
        <v>0.94030171120670114</v>
      </c>
    </row>
    <row r="24" spans="1:15" ht="12.75" x14ac:dyDescent="0.2">
      <c r="A24" s="283" t="str">
        <v>obj_00439#0015</v>
      </c>
      <c r="B24" s="284">
        <f>_xll.qlRateHelperRate($A24,InterestRatesTrigger)</f>
        <v>1.8545472672845183E-2</v>
      </c>
      <c r="C24" s="287">
        <f>_xll.qlRateHelperEarliestDate($A24)</f>
        <v>41827</v>
      </c>
      <c r="D24" s="288">
        <f>_xll.qlRateHelperLatestDate($A24)</f>
        <v>43654</v>
      </c>
      <c r="E24" s="297">
        <v>0.91104521955026452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42040</v>
      </c>
      <c r="I24" s="282" t="str">
        <f>_xll.qlMakeDatedOIS(,J24,K24,OvernightIndex,0,"Act/360",0)</f>
        <v>obj_00488#0022</v>
      </c>
      <c r="J24" s="294">
        <f>_xll.qlCalendarAdvance(Calendar,$D$2,F24&amp;"M","mf")</f>
        <v>42044</v>
      </c>
      <c r="K24" s="294">
        <f>_xll.qlInterestRateIndexMaturity(IborIndex6M,J24)</f>
        <v>42226</v>
      </c>
      <c r="L24" s="296"/>
      <c r="M24" s="297">
        <f>_xll.qlOvernightIndexedSwapFairRate(I24,Contribution!$P$40)</f>
        <v>2.4948161919311758E-3</v>
      </c>
      <c r="N24" s="298">
        <f>_xll.qlInterpolationInterpolate(BasisInterpolator6M,J24,,M24)</f>
        <v>2.2443950165439491E-3</v>
      </c>
      <c r="O24" s="297">
        <f>M24+N24</f>
        <v>4.7392112084751244E-3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#N/A</v>
      </c>
      <c r="F25" s="282">
        <v>8</v>
      </c>
      <c r="G25" s="282" t="str">
        <f t="shared" si="4"/>
        <v>x14</v>
      </c>
      <c r="H25" s="294">
        <f>_xll.qlInterestRateIndexFixingDate(IborIndex6M,J25)</f>
        <v>42068</v>
      </c>
      <c r="I25" s="282" t="str">
        <f>_xll.qlMakeDatedOIS(,J25,K25,OvernightIndex,0,"Act/360",0)</f>
        <v>obj_0047d#0023</v>
      </c>
      <c r="J25" s="294">
        <f>_xll.qlCalendarAdvance(Calendar,$D$2,F25&amp;"M","mf")</f>
        <v>42072</v>
      </c>
      <c r="K25" s="294">
        <f>_xll.qlInterestRateIndexMaturity(IborIndex6M,J25)</f>
        <v>42256</v>
      </c>
      <c r="L25" s="296"/>
      <c r="M25" s="297">
        <f>_xll.qlOvernightIndexedSwapFairRate(I25,Contribution!$P$40)</f>
        <v>2.9228357021808238E-3</v>
      </c>
      <c r="N25" s="298">
        <f>_xll.qlInterpolationInterpolate(BasisInterpolator6M,J25,,M25)</f>
        <v>2.2798842477270366E-3</v>
      </c>
      <c r="O25" s="297">
        <f t="shared" ref="O25:O38" si="5">M25+N25</f>
        <v>5.2027199499078604E-3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#N/A</v>
      </c>
      <c r="F26" s="282">
        <v>10</v>
      </c>
      <c r="G26" s="282" t="str">
        <f t="shared" si="4"/>
        <v>x16</v>
      </c>
      <c r="H26" s="294">
        <f>_xll.qlInterestRateIndexFixingDate(IborIndex6M,J26)</f>
        <v>42129</v>
      </c>
      <c r="I26" s="282" t="str">
        <f>_xll.qlMakeDatedOIS(,J26,K26,OvernightIndex,0,"Act/360",0)</f>
        <v>obj_00494#0021</v>
      </c>
      <c r="J26" s="294">
        <f>_xll.qlCalendarAdvance(Calendar,$D$2,F26&amp;"M","mf")</f>
        <v>42131</v>
      </c>
      <c r="K26" s="294">
        <f>_xll.qlInterestRateIndexMaturity(IborIndex6M,J26)</f>
        <v>42317</v>
      </c>
      <c r="L26" s="296"/>
      <c r="M26" s="297">
        <f>_xll.qlOvernightIndexedSwapFairRate(I26,Contribution!$P$40)</f>
        <v>4.0171914040714757E-3</v>
      </c>
      <c r="N26" s="298">
        <f>_xll.qlInterpolationInterpolate(BasisInterpolator6M,J26,,M26)</f>
        <v>2.3112950289620815E-3</v>
      </c>
      <c r="O26" s="297">
        <f t="shared" si="5"/>
        <v>6.3284864330335573E-3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#N/A</v>
      </c>
      <c r="F27" s="282">
        <v>11</v>
      </c>
      <c r="G27" s="282" t="str">
        <f t="shared" si="4"/>
        <v>x17</v>
      </c>
      <c r="H27" s="294">
        <f>_xll.qlInterestRateIndexFixingDate(IborIndex6M,J27)</f>
        <v>42159</v>
      </c>
      <c r="I27" s="282" t="str">
        <f>_xll.qlMakeDatedOIS(,J27,K27,OvernightIndex,0,"Act/360",0)</f>
        <v>obj_00487#0022</v>
      </c>
      <c r="J27" s="294">
        <f>_xll.qlCalendarAdvance(Calendar,$D$2,F27&amp;"M","mf")</f>
        <v>42163</v>
      </c>
      <c r="K27" s="294">
        <f>_xll.qlInterestRateIndexMaturity(IborIndex6M,J27)</f>
        <v>42346</v>
      </c>
      <c r="L27" s="296"/>
      <c r="M27" s="297">
        <f>_xll.qlOvernightIndexedSwapFairRate(I27,Contribution!$P$40)</f>
        <v>4.7639847621841255E-3</v>
      </c>
      <c r="N27" s="298">
        <f>_xll.qlInterpolationInterpolate(BasisInterpolator6M,J27,,M27)</f>
        <v>2.3233459421361977E-3</v>
      </c>
      <c r="O27" s="297">
        <f t="shared" si="5"/>
        <v>7.0873307043203236E-3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#N/A</v>
      </c>
      <c r="F28" s="282">
        <v>13</v>
      </c>
      <c r="G28" s="282" t="str">
        <f t="shared" si="4"/>
        <v>x19</v>
      </c>
      <c r="H28" s="294">
        <f>_xll.qlInterestRateIndexFixingDate(IborIndex6M,J28)</f>
        <v>42221</v>
      </c>
      <c r="I28" s="282" t="str">
        <f>_xll.qlMakeDatedOIS(,J28,K28,OvernightIndex,0,"Act/360",0)</f>
        <v>obj_00480#0022</v>
      </c>
      <c r="J28" s="294">
        <f>_xll.qlCalendarAdvance(Calendar,$D$2,F28&amp;"M","mf")</f>
        <v>42223</v>
      </c>
      <c r="K28" s="294">
        <f>_xll.qlInterestRateIndexMaturity(IborIndex6M,J28)</f>
        <v>42408</v>
      </c>
      <c r="L28" s="296"/>
      <c r="M28" s="297">
        <f>_xll.qlOvernightIndexedSwapFairRate(I28,Contribution!$P$40)</f>
        <v>6.1123983720868299E-3</v>
      </c>
      <c r="N28" s="298">
        <f>_xll.qlInterpolationInterpolate(BasisInterpolator6M,J28,,M28)</f>
        <v>2.3822011640347355E-3</v>
      </c>
      <c r="O28" s="297">
        <f t="shared" si="5"/>
        <v>8.4945995361215658E-3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#N/A</v>
      </c>
      <c r="F29" s="282">
        <v>14</v>
      </c>
      <c r="G29" s="282" t="str">
        <f t="shared" si="4"/>
        <v>x20</v>
      </c>
      <c r="H29" s="294">
        <f>_xll.qlInterestRateIndexFixingDate(IborIndex6M,J29)</f>
        <v>42251</v>
      </c>
      <c r="I29" s="282" t="str">
        <f>_xll.qlMakeDatedOIS(,J29,K29,OvernightIndex,0,"Act/360",0)</f>
        <v>obj_0047f#0022</v>
      </c>
      <c r="J29" s="294">
        <f>_xll.qlCalendarAdvance(Calendar,$D$2,F29&amp;"M","mf")</f>
        <v>42255</v>
      </c>
      <c r="K29" s="294">
        <f>_xll.qlInterestRateIndexMaturity(IborIndex6M,J29)</f>
        <v>42437</v>
      </c>
      <c r="L29" s="296"/>
      <c r="M29" s="297">
        <f>_xll.qlOvernightIndexedSwapFairRate(I29,Contribution!$P$40)</f>
        <v>6.9996198172436958E-3</v>
      </c>
      <c r="N29" s="298">
        <f>_xll.qlInterpolationInterpolate(BasisInterpolator6M,J29,,M29)</f>
        <v>2.4315993581633974E-3</v>
      </c>
      <c r="O29" s="297">
        <f t="shared" si="5"/>
        <v>9.4312191754070927E-3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#N/A</v>
      </c>
      <c r="F30" s="282">
        <v>15</v>
      </c>
      <c r="G30" s="282" t="str">
        <f t="shared" si="4"/>
        <v>x21</v>
      </c>
      <c r="H30" s="294">
        <f>_xll.qlInterestRateIndexFixingDate(IborIndex6M,J30)</f>
        <v>42282</v>
      </c>
      <c r="I30" s="282" t="str">
        <f>_xll.qlMakeDatedOIS(,J30,K30,OvernightIndex,0,"Act/360",0)</f>
        <v>obj_0048e#0021</v>
      </c>
      <c r="J30" s="294">
        <f>_xll.qlCalendarAdvance(Calendar,$D$2,F30&amp;"M","mf")</f>
        <v>42284</v>
      </c>
      <c r="K30" s="294">
        <f>_xll.qlInterestRateIndexMaturity(IborIndex6M,J30)</f>
        <v>42467</v>
      </c>
      <c r="L30" s="296"/>
      <c r="M30" s="297">
        <f>_xll.qlOvernightIndexedSwapFairRate(I30,Contribution!$P$40)</f>
        <v>7.682197374606025E-3</v>
      </c>
      <c r="N30" s="298">
        <f>_xll.qlInterpolationInterpolate(BasisInterpolator6M,J30,,M30)</f>
        <v>2.4737764129074613E-3</v>
      </c>
      <c r="O30" s="297">
        <f t="shared" si="5"/>
        <v>1.0155973787513487E-2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#N/A</v>
      </c>
      <c r="F31" s="282">
        <v>16</v>
      </c>
      <c r="G31" s="282" t="str">
        <f t="shared" si="4"/>
        <v>x22</v>
      </c>
      <c r="H31" s="294">
        <f>_xll.qlInterestRateIndexFixingDate(IborIndex6M,J31)</f>
        <v>42313</v>
      </c>
      <c r="I31" s="282" t="str">
        <f>_xll.qlMakeDatedOIS(,J31,K31,OvernightIndex,0,"Act/360",0)</f>
        <v>obj_0048d#0021</v>
      </c>
      <c r="J31" s="294">
        <f>_xll.qlCalendarAdvance(Calendar,$D$2,F31&amp;"M","mf")</f>
        <v>42317</v>
      </c>
      <c r="K31" s="294">
        <f>_xll.qlInterestRateIndexMaturity(IborIndex6M,J31)</f>
        <v>42499</v>
      </c>
      <c r="L31" s="296"/>
      <c r="M31" s="297">
        <f>_xll.qlOvernightIndexedSwapFairRate(I31,Contribution!$P$40)</f>
        <v>8.5589485231677507E-3</v>
      </c>
      <c r="N31" s="298">
        <f>_xll.qlInterpolationInterpolate(BasisInterpolator6M,J31,,M31)</f>
        <v>2.5047189726372932E-3</v>
      </c>
      <c r="O31" s="297">
        <f t="shared" si="5"/>
        <v>1.1063667495805044E-2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#N/A</v>
      </c>
      <c r="F32" s="282">
        <v>17</v>
      </c>
      <c r="G32" s="282" t="str">
        <f t="shared" si="4"/>
        <v>x23</v>
      </c>
      <c r="H32" s="294">
        <f>_xll.qlInterestRateIndexFixingDate(IborIndex6M,J32)</f>
        <v>42341</v>
      </c>
      <c r="I32" s="282" t="str">
        <f>_xll.qlMakeDatedOIS(,J32,K32,OvernightIndex,0,"Act/360",0)</f>
        <v>obj_00479#0023</v>
      </c>
      <c r="J32" s="294">
        <f>_xll.qlCalendarAdvance(Calendar,$D$2,F32&amp;"M","mf")</f>
        <v>42345</v>
      </c>
      <c r="K32" s="294">
        <f>_xll.qlInterestRateIndexMaturity(IborIndex6M,J32)</f>
        <v>42528</v>
      </c>
      <c r="L32" s="296"/>
      <c r="M32" s="297">
        <f>_xll.qlOvernightIndexedSwapFairRate(I32,Contribution!$P$40)</f>
        <v>9.2418206569597431E-3</v>
      </c>
      <c r="N32" s="298">
        <f>_xll.qlInterpolationInterpolate(BasisInterpolator6M,J32,,M32)</f>
        <v>2.5051713579186496E-3</v>
      </c>
      <c r="O32" s="297">
        <f t="shared" si="5"/>
        <v>1.1746992014878393E-2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#N/A</v>
      </c>
      <c r="F33" s="282">
        <v>19</v>
      </c>
      <c r="G33" s="282" t="str">
        <f t="shared" si="4"/>
        <v>x25</v>
      </c>
      <c r="H33" s="294">
        <f>_xll.qlInterestRateIndexFixingDate(IborIndex6M,J33)</f>
        <v>42404</v>
      </c>
      <c r="I33" s="282" t="str">
        <f>_xll.qlMakeDatedOIS(,J33,K33,OvernightIndex,0,"Act/360",0)</f>
        <v>obj_00484#0022</v>
      </c>
      <c r="J33" s="294">
        <f>_xll.qlCalendarAdvance(Calendar,$D$2,F33&amp;"M","mf")</f>
        <v>42408</v>
      </c>
      <c r="K33" s="294">
        <f>_xll.qlInterestRateIndexMaturity(IborIndex6M,J33)</f>
        <v>42590</v>
      </c>
      <c r="L33" s="296"/>
      <c r="M33" s="297">
        <f>_xll.qlOvernightIndexedSwapFairRate(I33,Contribution!$P$40)</f>
        <v>1.1296677002456736E-2</v>
      </c>
      <c r="N33" s="298">
        <f>_xll.qlInterpolationInterpolate(BasisInterpolator6M,J33,,M33)</f>
        <v>2.3767963974280016E-3</v>
      </c>
      <c r="O33" s="297">
        <f t="shared" si="5"/>
        <v>1.3673473399884738E-2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#N/A</v>
      </c>
      <c r="F34" s="282">
        <v>20</v>
      </c>
      <c r="G34" s="282" t="str">
        <f t="shared" si="4"/>
        <v>x26</v>
      </c>
      <c r="H34" s="294">
        <f>_xll.qlInterestRateIndexFixingDate(IborIndex6M,J34)</f>
        <v>42432</v>
      </c>
      <c r="I34" s="282" t="str">
        <f>_xll.qlMakeDatedOIS(,J34,K34,OvernightIndex,0,"Act/360",0)</f>
        <v>obj_0047b#0023</v>
      </c>
      <c r="J34" s="294">
        <f>_xll.qlCalendarAdvance(Calendar,$D$2,F34&amp;"M","mf")</f>
        <v>42436</v>
      </c>
      <c r="K34" s="294">
        <f>_xll.qlInterestRateIndexMaturity(IborIndex6M,J34)</f>
        <v>42620</v>
      </c>
      <c r="L34" s="296"/>
      <c r="M34" s="297">
        <f>_xll.qlOvernightIndexedSwapFairRate(I34,Contribution!$P$40)</f>
        <v>1.2068218591802442E-2</v>
      </c>
      <c r="N34" s="298">
        <f>_xll.qlInterpolationInterpolate(BasisInterpolator6M,J34,,M34)</f>
        <v>2.2726838836978104E-3</v>
      </c>
      <c r="O34" s="297">
        <f t="shared" si="5"/>
        <v>1.4340902475500253E-2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#N/A</v>
      </c>
      <c r="F35" s="282">
        <v>21</v>
      </c>
      <c r="G35" s="282" t="str">
        <f t="shared" si="4"/>
        <v>x27</v>
      </c>
      <c r="H35" s="294">
        <f>_xll.qlInterestRateIndexFixingDate(IborIndex6M,J35)</f>
        <v>42465</v>
      </c>
      <c r="I35" s="282" t="str">
        <f>_xll.qlMakeDatedOIS(,J35,K35,OvernightIndex,0,"Act/360",0)</f>
        <v>obj_00485#0022</v>
      </c>
      <c r="J35" s="294">
        <f>_xll.qlCalendarAdvance(Calendar,$D$2,F35&amp;"M","mf")</f>
        <v>42467</v>
      </c>
      <c r="K35" s="294">
        <f>_xll.qlInterestRateIndexMaturity(IborIndex6M,J35)</f>
        <v>42650</v>
      </c>
      <c r="L35" s="296"/>
      <c r="M35" s="297">
        <f>_xll.qlOvernightIndexedSwapFairRate(I35,Contribution!$P$40)</f>
        <v>1.2997667310433673E-2</v>
      </c>
      <c r="N35" s="298">
        <f>_xll.qlInterpolationInterpolate(BasisInterpolator6M,J35,,M35)</f>
        <v>2.1490675965803304E-3</v>
      </c>
      <c r="O35" s="297">
        <f t="shared" si="5"/>
        <v>1.5146734907014004E-2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#N/A</v>
      </c>
      <c r="F36" s="282">
        <v>22</v>
      </c>
      <c r="G36" s="282" t="str">
        <f t="shared" si="4"/>
        <v>x28</v>
      </c>
      <c r="H36" s="294">
        <f>_xll.qlInterestRateIndexFixingDate(IborIndex6M,J36)</f>
        <v>42495</v>
      </c>
      <c r="I36" s="282" t="str">
        <f>_xll.qlMakeDatedOIS(,J36,K36,OvernightIndex,0,"Act/360",0)</f>
        <v>obj_00482#0022</v>
      </c>
      <c r="J36" s="294">
        <f>_xll.qlCalendarAdvance(Calendar,$D$2,F36&amp;"M","mf")</f>
        <v>42499</v>
      </c>
      <c r="K36" s="294">
        <f>_xll.qlInterestRateIndexMaturity(IborIndex6M,J36)</f>
        <v>42683</v>
      </c>
      <c r="L36" s="296"/>
      <c r="M36" s="297">
        <f>_xll.qlOvernightIndexedSwapFairRate(I36,Contribution!$P$40)</f>
        <v>1.4045673219082915E-2</v>
      </c>
      <c r="N36" s="298">
        <f>_xll.qlInterpolationInterpolate(BasisInterpolator6M,J36,,M36)</f>
        <v>2.0306656482137909E-3</v>
      </c>
      <c r="O36" s="297">
        <f t="shared" si="5"/>
        <v>1.6076338867296706E-2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#N/A</v>
      </c>
      <c r="F37" s="282">
        <v>23</v>
      </c>
      <c r="G37" s="282" t="str">
        <f t="shared" si="4"/>
        <v>x29</v>
      </c>
      <c r="H37" s="294">
        <f>_xll.qlInterestRateIndexFixingDate(IborIndex6M,J37)</f>
        <v>42524</v>
      </c>
      <c r="I37" s="282" t="str">
        <f>_xll.qlMakeDatedOIS(,J37,K37,OvernightIndex,0,"Act/360",0)</f>
        <v>obj_0047a#0023</v>
      </c>
      <c r="J37" s="294">
        <f>_xll.qlCalendarAdvance(Calendar,$D$2,F37&amp;"M","mf")</f>
        <v>42528</v>
      </c>
      <c r="K37" s="294">
        <f>_xll.qlInterestRateIndexMaturity(IborIndex6M,J37)</f>
        <v>42711</v>
      </c>
      <c r="L37" s="296"/>
      <c r="M37" s="297">
        <f>_xll.qlOvernightIndexedSwapFairRate(I37,Contribution!$P$40)</f>
        <v>1.484613581954328E-2</v>
      </c>
      <c r="N37" s="298">
        <f>_xll.qlInterpolationInterpolate(BasisInterpolator6M,J37,,M37)</f>
        <v>1.9446346049168592E-3</v>
      </c>
      <c r="O37" s="297">
        <f t="shared" si="5"/>
        <v>1.6790770424460141E-2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#N/A</v>
      </c>
      <c r="F38" s="282">
        <v>24</v>
      </c>
      <c r="G38" s="282" t="str">
        <f t="shared" si="4"/>
        <v>x30</v>
      </c>
      <c r="H38" s="294">
        <f>_xll.qlInterestRateIndexFixingDate(IborIndex6M,J38)</f>
        <v>42556</v>
      </c>
      <c r="I38" s="282" t="str">
        <f>_xll.qlMakeDatedOIS(,J38,K38,OvernightIndex,0,"Act/360",0)</f>
        <v>obj_00483#0022</v>
      </c>
      <c r="J38" s="294">
        <f>_xll.qlCalendarAdvance(Calendar,$D$2,F38&amp;"M","mf")</f>
        <v>42558</v>
      </c>
      <c r="K38" s="294">
        <f>_xll.qlInterestRateIndexMaturity(IborIndex6M,J38)</f>
        <v>42744</v>
      </c>
      <c r="L38" s="296"/>
      <c r="M38" s="297">
        <f>_xll.qlOvernightIndexedSwapFairRate(I38,Contribution!$P$40)</f>
        <v>1.5613912764163445E-2</v>
      </c>
      <c r="N38" s="298">
        <f>_xll.qlInterpolationInterpolate(BasisInterpolator6M,J38,,M38)</f>
        <v>1.8878295096863762E-3</v>
      </c>
      <c r="O38" s="297">
        <f t="shared" si="5"/>
        <v>1.7501742273849822E-2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#N/A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#N/A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#N/A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#N/A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#N/A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#N/A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#N/A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#N/A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#N/A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#N/A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#N/A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#N/A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#N/A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#N/A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#N/A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#N/A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#N/A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#N/A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#N/A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#N/A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#N/A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#N/A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#N/A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#N/A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#N/A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#N/A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#N/A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#N/A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#N/A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#N/A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#N/A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#N/A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#N/A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#N/A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#N/A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#N/A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#N/A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#N/A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#N/A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#N/A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#N/A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41827</v>
      </c>
      <c r="E2" s="285">
        <f t="array" ref="E2:E127">_xll.qlPiecewiseYieldCurveData(YieldCurve1Y,InterestRatesTrigger)</f>
        <v>1</v>
      </c>
      <c r="F2" s="282">
        <v>0</v>
      </c>
      <c r="G2" s="282" t="str">
        <f>"x"&amp;F2+12</f>
        <v>x12</v>
      </c>
      <c r="H2" s="294">
        <f>_xll.qlInterestRateIndexFixingDate(IborIndex1Y,J2)</f>
        <v>41823</v>
      </c>
      <c r="I2" s="282" t="str">
        <f>_xll.qlMakeDatedOIS(,J2,K2,OvernightIndex,0,"Act/360",0)</f>
        <v>obj_0045a#0013</v>
      </c>
      <c r="J2" s="294">
        <f>_xll.qlCalendarAdvance(Calendar,$D$2,F2&amp;"M","mf")</f>
        <v>41827</v>
      </c>
      <c r="K2" s="294">
        <f>_xll.qlInterestRateIndexMaturity(IborIndex1Y,J2)</f>
        <v>42192</v>
      </c>
      <c r="L2" s="285">
        <f>_xll.qlIndexFixing(IborIndex1Y,H2,TRUE,InterestRatesTrigger)</f>
        <v>5.509999999999798E-3</v>
      </c>
      <c r="M2" s="285">
        <f>_xll.qlOvernightIndexedSwapFairRate(I2,Contribution!$P$40)</f>
        <v>1.6199999999993344E-3</v>
      </c>
      <c r="N2" s="293">
        <f>L2-M2</f>
        <v>3.8900000000004634E-3</v>
      </c>
      <c r="O2" s="297"/>
    </row>
    <row r="3" spans="1:15" x14ac:dyDescent="0.2">
      <c r="A3" s="283" t="str">
        <f t="array" ref="A3:A126">_xll.ohFilter(FRA_RateHelpers!F24:F39,FRA_RateHelpers!H24:H39)</f>
        <v>obj_003d8#0011</v>
      </c>
      <c r="B3" s="284">
        <f>_xll.qlRateHelperRate($A3,InterestRatesTrigger)</f>
        <v>5.5100000000000001E-3</v>
      </c>
      <c r="C3" s="287">
        <f>_xll.qlRateHelperEarliestDate($A3)</f>
        <v>41827</v>
      </c>
      <c r="D3" s="288">
        <f>_xll.qlRateHelperLatestDate($A3)</f>
        <v>42192</v>
      </c>
      <c r="E3" s="285">
        <v>0.99444450813186291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41856</v>
      </c>
      <c r="I3" s="282" t="str">
        <f>_xll.qlMakeDatedOIS(,J3,K3,OvernightIndex,0,"Act/360",0)</f>
        <v>obj_00476#0012</v>
      </c>
      <c r="J3" s="294">
        <f>_xll.qlCalendarAdvance(Calendar,$D$2,F3&amp;"M","mf")</f>
        <v>41858</v>
      </c>
      <c r="K3" s="294">
        <f>_xll.qlInterestRateIndexMaturity(IborIndex1Y,J3)</f>
        <v>42223</v>
      </c>
      <c r="L3" s="297">
        <f>_xll.qlIndexFixing(IborIndex1Y,H3,TRUE,InterestRatesTrigger)</f>
        <v>5.7599999998447938E-3</v>
      </c>
      <c r="M3" s="297">
        <f>_xll.qlOvernightIndexedSwapFairRate(I3,Contribution!$P$40)</f>
        <v>1.8383307009790244E-3</v>
      </c>
      <c r="N3" s="298">
        <f t="shared" ref="N3:N13" si="1">L3-M3</f>
        <v>3.9216692988657698E-3</v>
      </c>
      <c r="O3" s="297"/>
    </row>
    <row r="4" spans="1:15" x14ac:dyDescent="0.2">
      <c r="A4" s="283" t="str">
        <v>obj_00364#0009</v>
      </c>
      <c r="B4" s="284">
        <f>_xll.qlRateHelperRate($A4,InterestRatesTrigger)</f>
        <v>5.7600000000000004E-3</v>
      </c>
      <c r="C4" s="287">
        <f>_xll.qlRateHelperEarliestDate($A4)</f>
        <v>41858</v>
      </c>
      <c r="D4" s="288">
        <f>_xll.qlRateHelperLatestDate($A4)</f>
        <v>42223</v>
      </c>
      <c r="E4" s="285">
        <v>0.9937970547360816</v>
      </c>
      <c r="F4" s="282">
        <v>2</v>
      </c>
      <c r="G4" s="282" t="str">
        <f t="shared" si="0"/>
        <v>x14</v>
      </c>
      <c r="H4" s="294">
        <f>_xll.qlInterestRateIndexFixingDate(IborIndex1Y,J4)</f>
        <v>41886</v>
      </c>
      <c r="I4" s="282" t="str">
        <f>_xll.qlMakeDatedOIS(,J4,K4,OvernightIndex,0,"Act/360",0)</f>
        <v>obj_00464#0012</v>
      </c>
      <c r="J4" s="294">
        <f>_xll.qlCalendarAdvance(Calendar,$D$2,F4&amp;"M","mf")</f>
        <v>41890</v>
      </c>
      <c r="K4" s="294">
        <f>_xll.qlInterestRateIndexMaturity(IborIndex1Y,J4)</f>
        <v>42255</v>
      </c>
      <c r="L4" s="297">
        <f>_xll.qlIndexFixing(IborIndex1Y,H4,TRUE,InterestRatesTrigger)</f>
        <v>6.0999999998199743E-3</v>
      </c>
      <c r="M4" s="297">
        <f>_xll.qlOvernightIndexedSwapFairRate(I4,Contribution!$P$40)</f>
        <v>2.1284043118663665E-3</v>
      </c>
      <c r="N4" s="298">
        <f t="shared" si="1"/>
        <v>3.9715956879536078E-3</v>
      </c>
      <c r="O4" s="297"/>
    </row>
    <row r="5" spans="1:15" x14ac:dyDescent="0.2">
      <c r="A5" s="283" t="str">
        <v>obj_00363#0009</v>
      </c>
      <c r="B5" s="284">
        <f>_xll.qlRateHelperRate($A5,InterestRatesTrigger)</f>
        <v>6.0999999999999995E-3</v>
      </c>
      <c r="C5" s="287">
        <f>_xll.qlRateHelperEarliestDate($A5)</f>
        <v>41890</v>
      </c>
      <c r="D5" s="288">
        <f>_xll.qlRateHelperLatestDate($A5)</f>
        <v>42255</v>
      </c>
      <c r="E5" s="285">
        <v>0.99304383660864304</v>
      </c>
      <c r="F5" s="282">
        <v>3</v>
      </c>
      <c r="G5" s="282" t="str">
        <f t="shared" si="0"/>
        <v>x15</v>
      </c>
      <c r="H5" s="294">
        <f>_xll.qlInterestRateIndexFixingDate(IborIndex1Y,J5)</f>
        <v>41915</v>
      </c>
      <c r="I5" s="282" t="str">
        <f>_xll.qlMakeDatedOIS(,J5,K5,OvernightIndex,0,"Act/360",0)</f>
        <v>obj_00446#0013</v>
      </c>
      <c r="J5" s="294">
        <f>_xll.qlCalendarAdvance(Calendar,$D$2,F5&amp;"M","mf")</f>
        <v>41919</v>
      </c>
      <c r="K5" s="294">
        <f>_xll.qlInterestRateIndexMaturity(IborIndex1Y,J5)</f>
        <v>42284</v>
      </c>
      <c r="L5" s="297">
        <f>_xll.qlIndexFixing(IborIndex1Y,H5,TRUE,InterestRatesTrigger)</f>
        <v>6.4599156774523148E-3</v>
      </c>
      <c r="M5" s="297">
        <f>_xll.qlOvernightIndexedSwapFairRate(I5,Contribution!$P$40)</f>
        <v>2.4741922729737305E-3</v>
      </c>
      <c r="N5" s="298">
        <f t="shared" si="1"/>
        <v>3.9857234044785844E-3</v>
      </c>
      <c r="O5" s="297"/>
    </row>
    <row r="6" spans="1:15" x14ac:dyDescent="0.2">
      <c r="A6" s="283" t="str">
        <v>obj_00365#0009</v>
      </c>
      <c r="B6" s="284">
        <f>_xll.qlRateHelperRate($A6,InterestRatesTrigger)</f>
        <v>6.9100000000000003E-3</v>
      </c>
      <c r="C6" s="287">
        <f>_xll.qlRateHelperEarliestDate($A6)</f>
        <v>41950</v>
      </c>
      <c r="D6" s="288">
        <f>_xll.qlRateHelperLatestDate($A6)</f>
        <v>42317</v>
      </c>
      <c r="E6" s="285">
        <v>0.99140197938817864</v>
      </c>
      <c r="F6" s="282">
        <v>4</v>
      </c>
      <c r="G6" s="282" t="str">
        <f t="shared" si="0"/>
        <v>x16</v>
      </c>
      <c r="H6" s="294">
        <f>_xll.qlInterestRateIndexFixingDate(IborIndex1Y,J6)</f>
        <v>41948</v>
      </c>
      <c r="I6" s="282" t="str">
        <f>_xll.qlMakeDatedOIS(,J6,K6,OvernightIndex,0,"Act/360",0)</f>
        <v>obj_0046f#0012</v>
      </c>
      <c r="J6" s="294">
        <f>_xll.qlCalendarAdvance(Calendar,$D$2,F6&amp;"M","mf")</f>
        <v>41950</v>
      </c>
      <c r="K6" s="294">
        <f>_xll.qlInterestRateIndexMaturity(IborIndex1Y,J6)</f>
        <v>42317</v>
      </c>
      <c r="L6" s="297">
        <f>_xll.qlIndexFixing(IborIndex1Y,H6,TRUE,InterestRatesTrigger)</f>
        <v>6.9100000008073736E-3</v>
      </c>
      <c r="M6" s="297">
        <f>_xll.qlOvernightIndexedSwapFairRate(I6,Contribution!$P$40)</f>
        <v>2.8251575725851911E-3</v>
      </c>
      <c r="N6" s="298">
        <f t="shared" si="1"/>
        <v>4.0848424282221825E-3</v>
      </c>
      <c r="O6" s="297"/>
    </row>
    <row r="7" spans="1:15" ht="12.75" x14ac:dyDescent="0.2">
      <c r="A7" s="283" t="str">
        <v>obj_00361#0009</v>
      </c>
      <c r="B7" s="284">
        <f>_xll.qlRateHelperRate($A7,InterestRatesTrigger)</f>
        <v>7.3800000000000003E-3</v>
      </c>
      <c r="C7" s="287">
        <f>_xll.qlRateHelperEarliestDate($A7)</f>
        <v>41981</v>
      </c>
      <c r="D7" s="288">
        <f>_xll.qlRateHelperLatestDate($A7)</f>
        <v>42346</v>
      </c>
      <c r="E7" s="285">
        <v>0.99054381597129926</v>
      </c>
      <c r="F7" s="282">
        <v>5</v>
      </c>
      <c r="G7" s="282" t="str">
        <f t="shared" si="0"/>
        <v>x17</v>
      </c>
      <c r="H7" s="294">
        <f>_xll.qlInterestRateIndexFixingDate(IborIndex1Y,J7)</f>
        <v>41977</v>
      </c>
      <c r="I7" s="282" t="str">
        <f>_xll.qlMakeDatedOIS(,J7,K7,OvernightIndex,0,"Act/360",0)</f>
        <v>obj_0045c#0013</v>
      </c>
      <c r="J7" s="294">
        <f>_xll.qlCalendarAdvance(Calendar,$D$2,F7&amp;"M","mf")</f>
        <v>41981</v>
      </c>
      <c r="K7" s="294">
        <f>_xll.qlInterestRateIndexMaturity(IborIndex1Y,J7)</f>
        <v>42346</v>
      </c>
      <c r="L7" s="297">
        <f>_xll.qlIndexFixing(IborIndex1Y,H7,TRUE,InterestRatesTrigger)</f>
        <v>7.3800000002573864E-3</v>
      </c>
      <c r="M7" s="297">
        <f>_xll.qlOvernightIndexedSwapFairRate(I7,Contribution!$P$40)</f>
        <v>3.311249857981334E-3</v>
      </c>
      <c r="N7" s="298">
        <f t="shared" si="1"/>
        <v>4.0687501422760524E-3</v>
      </c>
      <c r="O7" s="296"/>
    </row>
    <row r="8" spans="1:15" x14ac:dyDescent="0.2">
      <c r="A8" s="283" t="str">
        <v>obj_00366#0009</v>
      </c>
      <c r="B8" s="284">
        <f>_xll.qlRateHelperRate($A8,InterestRatesTrigger)</f>
        <v>7.9299999999999995E-3</v>
      </c>
      <c r="C8" s="287">
        <f>_xll.qlRateHelperEarliestDate($A8)</f>
        <v>42011</v>
      </c>
      <c r="D8" s="288">
        <f>_xll.qlRateHelperLatestDate($A8)</f>
        <v>42376</v>
      </c>
      <c r="E8" s="285">
        <v>0.98956796959403237</v>
      </c>
      <c r="F8" s="282">
        <v>6</v>
      </c>
      <c r="G8" s="282" t="str">
        <f t="shared" si="0"/>
        <v>x18</v>
      </c>
      <c r="H8" s="294">
        <f>_xll.qlInterestRateIndexFixingDate(IborIndex1Y,J8)</f>
        <v>42009</v>
      </c>
      <c r="I8" s="282" t="str">
        <f>_xll.qlMakeDatedOIS(,J8,K8,OvernightIndex,0,"Act/360",0)</f>
        <v>obj_00454#0013</v>
      </c>
      <c r="J8" s="294">
        <f>_xll.qlCalendarAdvance(Calendar,$D$2,F8&amp;"M","mf")</f>
        <v>42011</v>
      </c>
      <c r="K8" s="294">
        <f>_xll.qlInterestRateIndexMaturity(IborIndex1Y,J8)</f>
        <v>42376</v>
      </c>
      <c r="L8" s="297">
        <f>_xll.qlIndexFixing(IborIndex1Y,H8,TRUE,InterestRatesTrigger)</f>
        <v>7.9300000004754491E-3</v>
      </c>
      <c r="M8" s="297">
        <f>_xll.qlOvernightIndexedSwapFairRate(I8,Contribution!$P$40)</f>
        <v>3.77799090062077E-3</v>
      </c>
      <c r="N8" s="298">
        <f t="shared" si="1"/>
        <v>4.1520090998546791E-3</v>
      </c>
    </row>
    <row r="9" spans="1:15" x14ac:dyDescent="0.2">
      <c r="A9" s="283" t="str">
        <v>obj_0036a#0009</v>
      </c>
      <c r="B9" s="284">
        <f>_xll.qlRateHelperRate($A9,InterestRatesTrigger)</f>
        <v>9.7099999999999999E-3</v>
      </c>
      <c r="C9" s="287">
        <f>_xll.qlRateHelperEarliestDate($A9)</f>
        <v>42101</v>
      </c>
      <c r="D9" s="288">
        <f>_xll.qlRateHelperLatestDate($A9)</f>
        <v>42467</v>
      </c>
      <c r="E9" s="285">
        <v>0.98637536353930544</v>
      </c>
      <c r="F9" s="282">
        <v>9</v>
      </c>
      <c r="G9" s="282" t="str">
        <f t="shared" si="0"/>
        <v>x21</v>
      </c>
      <c r="H9" s="294">
        <f>_xll.qlInterestRateIndexFixingDate(IborIndex1Y,J9)</f>
        <v>42095</v>
      </c>
      <c r="I9" s="282" t="str">
        <f>_xll.qlMakeDatedOIS(,J9,K9,OvernightIndex,0,"Act/360",0)</f>
        <v>obj_0045f#0013</v>
      </c>
      <c r="J9" s="294">
        <f>_xll.qlCalendarAdvance(Calendar,$D$2,F9&amp;"M","mf")</f>
        <v>42101</v>
      </c>
      <c r="K9" s="294">
        <f>_xll.qlInterestRateIndexMaturity(IborIndex1Y,J9)</f>
        <v>42467</v>
      </c>
      <c r="L9" s="297">
        <f>_xll.qlIndexFixing(IborIndex1Y,H9,TRUE,InterestRatesTrigger)</f>
        <v>9.7100000000000797E-3</v>
      </c>
      <c r="M9" s="297">
        <f>_xll.qlOvernightIndexedSwapFairRate(I9,Contribution!$P$40)</f>
        <v>5.5974444575731409E-3</v>
      </c>
      <c r="N9" s="298">
        <f t="shared" si="1"/>
        <v>4.1125555424269388E-3</v>
      </c>
    </row>
    <row r="10" spans="1:15" x14ac:dyDescent="0.2">
      <c r="A10" s="283" t="str">
        <v>obj_00368#0009</v>
      </c>
      <c r="B10" s="284">
        <f>_xll.qlRateHelperRate($A10,InterestRatesTrigger)</f>
        <v>1.192E-2</v>
      </c>
      <c r="C10" s="287">
        <f>_xll.qlRateHelperEarliestDate($A10)</f>
        <v>42192</v>
      </c>
      <c r="D10" s="288">
        <f>_xll.qlRateHelperLatestDate($A10)</f>
        <v>42558</v>
      </c>
      <c r="E10" s="285">
        <v>0.98253746411672049</v>
      </c>
      <c r="F10" s="282">
        <v>12</v>
      </c>
      <c r="G10" s="282" t="str">
        <f t="shared" si="0"/>
        <v>x24</v>
      </c>
      <c r="H10" s="294">
        <f>_xll.qlInterestRateIndexFixingDate(IborIndex1Y,J10)</f>
        <v>42188</v>
      </c>
      <c r="I10" s="282" t="str">
        <f>_xll.qlMakeDatedOIS(,J10,K10,OvernightIndex,0,"Act/360",0)</f>
        <v>obj_00465#0012</v>
      </c>
      <c r="J10" s="294">
        <f>_xll.qlCalendarAdvance(Calendar,$D$2,F10&amp;"M","mf")</f>
        <v>42192</v>
      </c>
      <c r="K10" s="294">
        <f>_xll.qlInterestRateIndexMaturity(IborIndex1Y,J10)</f>
        <v>42558</v>
      </c>
      <c r="L10" s="297">
        <f>_xll.qlIndexFixing(IborIndex1Y,H10,TRUE,InterestRatesTrigger)</f>
        <v>1.1919999999999946E-2</v>
      </c>
      <c r="M10" s="297">
        <f>_xll.qlOvernightIndexedSwapFairRate(I10,Contribution!$P$40)</f>
        <v>7.816044392790298E-3</v>
      </c>
      <c r="N10" s="298">
        <f t="shared" si="1"/>
        <v>4.1039556072096483E-3</v>
      </c>
    </row>
    <row r="11" spans="1:15" x14ac:dyDescent="0.2">
      <c r="A11" s="283" t="str">
        <v>obj_0043c#0012</v>
      </c>
      <c r="B11" s="284">
        <f>_xll.qlRateHelperRate($A11,InterestRatesTrigger)</f>
        <v>1.3039982791999336E-2</v>
      </c>
      <c r="C11" s="287">
        <f>_xll.qlRateHelperEarliestDate($A11)</f>
        <v>41827</v>
      </c>
      <c r="D11" s="288">
        <f>_xll.qlRateHelperLatestDate($A11)</f>
        <v>42923</v>
      </c>
      <c r="E11" s="285">
        <v>0.96173936323870368</v>
      </c>
      <c r="F11" s="318">
        <v>24</v>
      </c>
      <c r="G11" s="282" t="str">
        <f t="shared" si="0"/>
        <v>x36</v>
      </c>
      <c r="H11" s="294">
        <f>_xll.qlInterestRateIndexFixingDate(IborIndex1Y,J11)</f>
        <v>42556</v>
      </c>
      <c r="I11" s="282" t="str">
        <f>_xll.qlMakeDatedOIS(,J11,K11,OvernightIndex,0,"Act/360",0)</f>
        <v>obj_00472#0012</v>
      </c>
      <c r="J11" s="294">
        <f>_xll.qlCalendarAdvance(Calendar,$D$2,F11&amp;"M","mf")</f>
        <v>42558</v>
      </c>
      <c r="K11" s="294">
        <f>_xll.qlInterestRateIndexMaturity(IborIndex1Y,J11)</f>
        <v>42923</v>
      </c>
      <c r="L11" s="297">
        <f>_xll.qlIndexFixing(IborIndex1Y,H11,TRUE,InterestRatesTrigger)</f>
        <v>2.1329266712613204E-2</v>
      </c>
      <c r="M11" s="297">
        <f>_xll.qlOvernightIndexedSwapFairRate(I11,Contribution!$P$40)</f>
        <v>1.7719878697023805E-2</v>
      </c>
      <c r="N11" s="298">
        <f t="shared" si="1"/>
        <v>3.6093880155893994E-3</v>
      </c>
    </row>
    <row r="12" spans="1:15" x14ac:dyDescent="0.2">
      <c r="A12" s="283" t="str">
        <v>obj_0043b#0012</v>
      </c>
      <c r="B12" s="284">
        <f>_xll.qlRateHelperRate($A12,InterestRatesTrigger)</f>
        <v>1.7033605461519837E-2</v>
      </c>
      <c r="C12" s="287">
        <f>_xll.qlRateHelperEarliestDate($A12)</f>
        <v>41827</v>
      </c>
      <c r="D12" s="288">
        <f>_xll.qlRateHelperLatestDate($A12)</f>
        <v>43290</v>
      </c>
      <c r="E12" s="285">
        <v>0.93409507929027857</v>
      </c>
      <c r="F12" s="318">
        <v>36</v>
      </c>
      <c r="G12" s="282" t="str">
        <f t="shared" si="0"/>
        <v>x48</v>
      </c>
      <c r="H12" s="294">
        <f>_xll.qlInterestRateIndexFixingDate(IborIndex1Y,J12)</f>
        <v>42921</v>
      </c>
      <c r="I12" s="282" t="str">
        <f>_xll.qlMakeDatedOIS(,J12,K12,OvernightIndex,0,"Act/360",0)</f>
        <v>obj_00447#0013</v>
      </c>
      <c r="J12" s="294">
        <f>_xll.qlCalendarAdvance(Calendar,$D$2,F12&amp;"M","mf")</f>
        <v>42923</v>
      </c>
      <c r="K12" s="294">
        <f>_xll.qlInterestRateIndexMaturity(IborIndex1Y,J12)</f>
        <v>43290</v>
      </c>
      <c r="L12" s="297">
        <f>_xll.qlIndexFixing(IborIndex1Y,H12,TRUE,InterestRatesTrigger)</f>
        <v>2.9030244756615305E-2</v>
      </c>
      <c r="M12" s="297">
        <f>_xll.qlOvernightIndexedSwapFairRate(I12,Contribution!$P$40)</f>
        <v>2.4998981500378565E-2</v>
      </c>
      <c r="N12" s="298">
        <f t="shared" si="1"/>
        <v>4.0312632562367404E-3</v>
      </c>
    </row>
    <row r="13" spans="1:15" x14ac:dyDescent="0.2">
      <c r="A13" s="283" t="str">
        <v>obj_00434#0012</v>
      </c>
      <c r="B13" s="284">
        <f>_xll.qlRateHelperRate($A13,InterestRatesTrigger)</f>
        <v>2.0226352196953578E-2</v>
      </c>
      <c r="C13" s="287">
        <f>_xll.qlRateHelperEarliestDate($A13)</f>
        <v>41827</v>
      </c>
      <c r="D13" s="288">
        <f>_xll.qlRateHelperLatestDate($A13)</f>
        <v>43654</v>
      </c>
      <c r="E13" s="285">
        <v>0.90361013161967152</v>
      </c>
      <c r="F13" s="318">
        <v>48</v>
      </c>
      <c r="G13" s="282" t="str">
        <f t="shared" si="0"/>
        <v>x60</v>
      </c>
      <c r="H13" s="294">
        <f>_xll.qlInterestRateIndexFixingDate(IborIndex1Y,J13)</f>
        <v>43286</v>
      </c>
      <c r="I13" s="282" t="str">
        <f>_xll.qlMakeDatedOIS(,J13,K13,OvernightIndex,0,"Act/360",0)</f>
        <v>obj_0046d#0012</v>
      </c>
      <c r="J13" s="294">
        <f>_xll.qlCalendarAdvance(Calendar,$D$2,F13&amp;"M","mf")</f>
        <v>43290</v>
      </c>
      <c r="K13" s="294">
        <f>_xll.qlInterestRateIndexMaturity(IborIndex1Y,J13)</f>
        <v>43655</v>
      </c>
      <c r="L13" s="297" t="e">
        <f>_xll.qlIndexFixing(IborIndex1Y,H13,TRUE,InterestRatesTrigger)</f>
        <v>#NUM!</v>
      </c>
      <c r="M13" s="297">
        <f>_xll.qlOvernightIndexedSwapFairRate(I13,Contribution!$P$40)</f>
        <v>2.9255608044128963E-2</v>
      </c>
      <c r="N13" s="298" t="e">
        <f t="shared" si="1"/>
        <v>#NUM!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#N/A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#N/A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#N/A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#N/A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#N/A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#N/A</v>
      </c>
      <c r="F19" s="282">
        <v>7</v>
      </c>
      <c r="G19" s="282" t="str">
        <f t="shared" si="0"/>
        <v>x19</v>
      </c>
      <c r="H19" s="294">
        <f>_xll.qlInterestRateIndexFixingDate(IborIndex1Y,J19)</f>
        <v>42040</v>
      </c>
      <c r="I19" s="282" t="str">
        <f>_xll.qlMakeDatedOIS(,J19,K19,OvernightIndex,0,"Act/360",0)</f>
        <v>obj_00461#0012</v>
      </c>
      <c r="J19" s="294">
        <f>_xll.qlCalendarAdvance(Calendar,$D$2,F19&amp;"M","mf")</f>
        <v>42044</v>
      </c>
      <c r="K19" s="294">
        <f>_xll.qlInterestRateIndexMaturity(IborIndex1Y,J19)</f>
        <v>42409</v>
      </c>
      <c r="L19" s="279"/>
      <c r="M19" s="297">
        <f>_xll.qlOvernightIndexedSwapFairRate(I19,Contribution!$P$40)</f>
        <v>4.3387600797441771E-3</v>
      </c>
      <c r="N19" s="298" t="e">
        <f>_xll.qlInterpolationInterpolate(BasisInterpolator1Y,J19,,M19)</f>
        <v>#VALUE!</v>
      </c>
      <c r="O19" s="297" t="e">
        <f t="shared" ref="O19:O55" si="2">M19+N19</f>
        <v>#VALUE!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#N/A</v>
      </c>
      <c r="F20" s="282">
        <v>8</v>
      </c>
      <c r="G20" s="282" t="str">
        <f t="shared" si="0"/>
        <v>x20</v>
      </c>
      <c r="H20" s="294">
        <f>_xll.qlInterestRateIndexFixingDate(IborIndex1Y,J20)</f>
        <v>42068</v>
      </c>
      <c r="I20" s="282" t="str">
        <f>_xll.qlMakeDatedOIS(,J20,K20,OvernightIndex,0,"Act/360",0)</f>
        <v>obj_00474#0012</v>
      </c>
      <c r="J20" s="294">
        <f>_xll.qlCalendarAdvance(Calendar,$D$2,F20&amp;"M","mf")</f>
        <v>42072</v>
      </c>
      <c r="K20" s="294">
        <f>_xll.qlInterestRateIndexMaturity(IborIndex1Y,J20)</f>
        <v>42438</v>
      </c>
      <c r="L20" s="279"/>
      <c r="M20" s="297">
        <f>_xll.qlOvernightIndexedSwapFairRate(I20,Contribution!$P$40)</f>
        <v>4.9682507612465437E-3</v>
      </c>
      <c r="N20" s="298" t="e">
        <f>_xll.qlInterpolationInterpolate(BasisInterpolator1Y,J20,,M20)</f>
        <v>#VALUE!</v>
      </c>
      <c r="O20" s="297" t="e">
        <f t="shared" si="2"/>
        <v>#VALUE!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#N/A</v>
      </c>
      <c r="F21" s="282">
        <v>10</v>
      </c>
      <c r="G21" s="282" t="str">
        <f t="shared" si="0"/>
        <v>x22</v>
      </c>
      <c r="H21" s="294">
        <f>_xll.qlInterestRateIndexFixingDate(IborIndex1Y,J21)</f>
        <v>42129</v>
      </c>
      <c r="I21" s="282" t="str">
        <f>_xll.qlMakeDatedOIS(,J21,K21,OvernightIndex,0,"Act/360",0)</f>
        <v>obj_0046c#0012</v>
      </c>
      <c r="J21" s="294">
        <f>_xll.qlCalendarAdvance(Calendar,$D$2,F21&amp;"M","mf")</f>
        <v>42131</v>
      </c>
      <c r="K21" s="294">
        <f>_xll.qlInterestRateIndexMaturity(IborIndex1Y,J21)</f>
        <v>42499</v>
      </c>
      <c r="L21" s="279"/>
      <c r="M21" s="297">
        <f>_xll.qlOvernightIndexedSwapFairRate(I21,Contribution!$P$40)</f>
        <v>6.2721722127950068E-3</v>
      </c>
      <c r="N21" s="298" t="e">
        <f>_xll.qlInterpolationInterpolate(BasisInterpolator1Y,J21,,M21)</f>
        <v>#VALUE!</v>
      </c>
      <c r="O21" s="297" t="e">
        <f t="shared" si="2"/>
        <v>#VALUE!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#N/A</v>
      </c>
      <c r="F22" s="282">
        <v>11</v>
      </c>
      <c r="G22" s="282" t="str">
        <f t="shared" si="0"/>
        <v>x23</v>
      </c>
      <c r="H22" s="294">
        <f>_xll.qlInterestRateIndexFixingDate(IborIndex1Y,J22)</f>
        <v>42159</v>
      </c>
      <c r="I22" s="282" t="str">
        <f>_xll.qlMakeDatedOIS(,J22,K22,OvernightIndex,0,"Act/360",0)</f>
        <v>obj_00477#0012</v>
      </c>
      <c r="J22" s="294">
        <f>_xll.qlCalendarAdvance(Calendar,$D$2,F22&amp;"M","mf")</f>
        <v>42163</v>
      </c>
      <c r="K22" s="294">
        <f>_xll.qlInterestRateIndexMaturity(IborIndex1Y,J22)</f>
        <v>42529</v>
      </c>
      <c r="L22" s="279"/>
      <c r="M22" s="297">
        <f>_xll.qlOvernightIndexedSwapFairRate(I22,Contribution!$P$40)</f>
        <v>7.0275470266922832E-3</v>
      </c>
      <c r="N22" s="298" t="e">
        <f>_xll.qlInterpolationInterpolate(BasisInterpolator1Y,J22,,M22)</f>
        <v>#VALUE!</v>
      </c>
      <c r="O22" s="297" t="e">
        <f t="shared" si="2"/>
        <v>#VALUE!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#N/A</v>
      </c>
      <c r="F23" s="282">
        <v>13</v>
      </c>
      <c r="G23" s="282" t="str">
        <f t="shared" si="0"/>
        <v>x25</v>
      </c>
      <c r="H23" s="294">
        <f>_xll.qlInterestRateIndexFixingDate(IborIndex1Y,J23)</f>
        <v>42221</v>
      </c>
      <c r="I23" s="282" t="str">
        <f>_xll.qlMakeDatedOIS(,J23,K23,OvernightIndex,0,"Act/360",0)</f>
        <v>obj_0044a#0013</v>
      </c>
      <c r="J23" s="294">
        <f>_xll.qlCalendarAdvance(Calendar,$D$2,F23&amp;"M","mf")</f>
        <v>42223</v>
      </c>
      <c r="K23" s="294">
        <f>_xll.qlInterestRateIndexMaturity(IborIndex1Y,J23)</f>
        <v>42590</v>
      </c>
      <c r="L23" s="279"/>
      <c r="M23" s="297">
        <f>_xll.qlOvernightIndexedSwapFairRate(I23,Contribution!$P$40)</f>
        <v>8.7009454678723171E-3</v>
      </c>
      <c r="N23" s="298" t="e">
        <f>_xll.qlInterpolationInterpolate(BasisInterpolator1Y,J23,,M23)</f>
        <v>#VALUE!</v>
      </c>
      <c r="O23" s="297" t="e">
        <f t="shared" si="2"/>
        <v>#VALUE!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#N/A</v>
      </c>
      <c r="F24" s="282">
        <v>14</v>
      </c>
      <c r="G24" s="282" t="str">
        <f t="shared" si="0"/>
        <v>x26</v>
      </c>
      <c r="H24" s="294">
        <f>_xll.qlInterestRateIndexFixingDate(IborIndex1Y,J24)</f>
        <v>42251</v>
      </c>
      <c r="I24" s="282" t="str">
        <f>_xll.qlMakeDatedOIS(,J24,K24,OvernightIndex,0,"Act/360",0)</f>
        <v>obj_00460#0013</v>
      </c>
      <c r="J24" s="294">
        <f>_xll.qlCalendarAdvance(Calendar,$D$2,F24&amp;"M","mf")</f>
        <v>42255</v>
      </c>
      <c r="K24" s="294">
        <f>_xll.qlInterestRateIndexMaturity(IborIndex1Y,J24)</f>
        <v>42621</v>
      </c>
      <c r="L24" s="279"/>
      <c r="M24" s="297">
        <f>_xll.qlOvernightIndexedSwapFairRate(I24,Contribution!$P$40)</f>
        <v>9.5829562471876281E-3</v>
      </c>
      <c r="N24" s="298" t="e">
        <f>_xll.qlInterpolationInterpolate(BasisInterpolator1Y,J24,,M24)</f>
        <v>#VALUE!</v>
      </c>
      <c r="O24" s="297" t="e">
        <f t="shared" si="2"/>
        <v>#VALUE!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#N/A</v>
      </c>
      <c r="F25" s="282">
        <v>15</v>
      </c>
      <c r="G25" s="282" t="str">
        <f t="shared" si="0"/>
        <v>x27</v>
      </c>
      <c r="H25" s="294">
        <f>_xll.qlInterestRateIndexFixingDate(IborIndex1Y,J25)</f>
        <v>42282</v>
      </c>
      <c r="I25" s="282" t="str">
        <f>_xll.qlMakeDatedOIS(,J25,K25,OvernightIndex,0,"Act/360",0)</f>
        <v>obj_00462#0012</v>
      </c>
      <c r="J25" s="294">
        <f>_xll.qlCalendarAdvance(Calendar,$D$2,F25&amp;"M","mf")</f>
        <v>42284</v>
      </c>
      <c r="K25" s="294">
        <f>_xll.qlInterestRateIndexMaturity(IborIndex1Y,J25)</f>
        <v>42650</v>
      </c>
      <c r="L25" s="279"/>
      <c r="M25" s="297">
        <f>_xll.qlOvernightIndexedSwapFairRate(I25,Contribution!$P$40)</f>
        <v>1.0365311048298933E-2</v>
      </c>
      <c r="N25" s="298" t="e">
        <f>_xll.qlInterpolationInterpolate(BasisInterpolator1Y,J25,,M25)</f>
        <v>#VALUE!</v>
      </c>
      <c r="O25" s="297" t="e">
        <f t="shared" si="2"/>
        <v>#VALUE!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#N/A</v>
      </c>
      <c r="F26" s="282">
        <v>16</v>
      </c>
      <c r="G26" s="282" t="str">
        <f t="shared" si="0"/>
        <v>x28</v>
      </c>
      <c r="H26" s="294">
        <f>_xll.qlInterestRateIndexFixingDate(IborIndex1Y,J26)</f>
        <v>42313</v>
      </c>
      <c r="I26" s="282" t="str">
        <f>_xll.qlMakeDatedOIS(,J26,K26,OvernightIndex,0,"Act/360",0)</f>
        <v>obj_00475#0012</v>
      </c>
      <c r="J26" s="294">
        <f>_xll.qlCalendarAdvance(Calendar,$D$2,F26&amp;"M","mf")</f>
        <v>42317</v>
      </c>
      <c r="K26" s="294">
        <f>_xll.qlInterestRateIndexMaturity(IborIndex1Y,J26)</f>
        <v>42683</v>
      </c>
      <c r="L26" s="279"/>
      <c r="M26" s="297">
        <f>_xll.qlOvernightIndexedSwapFairRate(I26,Contribution!$P$40)</f>
        <v>1.1347855959141692E-2</v>
      </c>
      <c r="N26" s="298" t="e">
        <f>_xll.qlInterpolationInterpolate(BasisInterpolator1Y,J26,,M26)</f>
        <v>#VALUE!</v>
      </c>
      <c r="O26" s="297" t="e">
        <f t="shared" si="2"/>
        <v>#VALUE!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#N/A</v>
      </c>
      <c r="F27" s="282">
        <v>17</v>
      </c>
      <c r="G27" s="282" t="str">
        <f t="shared" si="0"/>
        <v>x29</v>
      </c>
      <c r="H27" s="294">
        <f>_xll.qlInterestRateIndexFixingDate(IborIndex1Y,J27)</f>
        <v>42341</v>
      </c>
      <c r="I27" s="282" t="str">
        <f>_xll.qlMakeDatedOIS(,J27,K27,OvernightIndex,0,"Act/360",0)</f>
        <v>obj_00456#0013</v>
      </c>
      <c r="J27" s="294">
        <f>_xll.qlCalendarAdvance(Calendar,$D$2,F27&amp;"M","mf")</f>
        <v>42345</v>
      </c>
      <c r="K27" s="294">
        <f>_xll.qlInterestRateIndexMaturity(IborIndex1Y,J27)</f>
        <v>42711</v>
      </c>
      <c r="L27" s="279"/>
      <c r="M27" s="297">
        <f>_xll.qlOvernightIndexedSwapFairRate(I27,Contribution!$P$40)</f>
        <v>1.2078851258277522E-2</v>
      </c>
      <c r="N27" s="298" t="e">
        <f>_xll.qlInterpolationInterpolate(BasisInterpolator1Y,J27,,M27)</f>
        <v>#VALUE!</v>
      </c>
      <c r="O27" s="297" t="e">
        <f t="shared" si="2"/>
        <v>#VALUE!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#N/A</v>
      </c>
      <c r="F28" s="282">
        <v>18</v>
      </c>
      <c r="G28" s="282" t="str">
        <f t="shared" si="0"/>
        <v>x30</v>
      </c>
      <c r="H28" s="294">
        <f>_xll.qlInterestRateIndexFixingDate(IborIndex1Y,J28)</f>
        <v>42374</v>
      </c>
      <c r="I28" s="282" t="str">
        <f>_xll.qlMakeDatedOIS(,J28,K28,OvernightIndex,0,"Act/360",0)</f>
        <v>obj_00448#0013</v>
      </c>
      <c r="J28" s="294">
        <f>_xll.qlCalendarAdvance(Calendar,$D$2,F28&amp;"M","mf")</f>
        <v>42376</v>
      </c>
      <c r="K28" s="294">
        <f>_xll.qlInterestRateIndexMaturity(IborIndex1Y,J28)</f>
        <v>42744</v>
      </c>
      <c r="L28" s="279"/>
      <c r="M28" s="297">
        <f>_xll.qlOvernightIndexedSwapFairRate(I28,Contribution!$P$40)</f>
        <v>1.2984013641813008E-2</v>
      </c>
      <c r="N28" s="298" t="e">
        <f>_xll.qlInterpolationInterpolate(BasisInterpolator1Y,J28,,M28)</f>
        <v>#VALUE!</v>
      </c>
      <c r="O28" s="297" t="e">
        <f t="shared" si="2"/>
        <v>#VALUE!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#N/A</v>
      </c>
      <c r="F29" s="282">
        <v>19</v>
      </c>
      <c r="G29" s="282" t="str">
        <f t="shared" si="0"/>
        <v>x31</v>
      </c>
      <c r="H29" s="294">
        <f>_xll.qlInterestRateIndexFixingDate(IborIndex1Y,J29)</f>
        <v>42404</v>
      </c>
      <c r="I29" s="282" t="str">
        <f>_xll.qlMakeDatedOIS(,J29,K29,OvernightIndex,0,"Act/360",0)</f>
        <v>obj_00449#0013</v>
      </c>
      <c r="J29" s="294">
        <f>_xll.qlCalendarAdvance(Calendar,$D$2,F29&amp;"M","mf")</f>
        <v>42408</v>
      </c>
      <c r="K29" s="294">
        <f>_xll.qlInterestRateIndexMaturity(IborIndex1Y,J29)</f>
        <v>42774</v>
      </c>
      <c r="L29" s="279"/>
      <c r="M29" s="297">
        <f>_xll.qlOvernightIndexedSwapFairRate(I29,Contribution!$P$40)</f>
        <v>1.3879210016857524E-2</v>
      </c>
      <c r="N29" s="298" t="e">
        <f>_xll.qlInterpolationInterpolate(BasisInterpolator1Y,J29,,M29)</f>
        <v>#VALUE!</v>
      </c>
      <c r="O29" s="297" t="e">
        <f t="shared" si="2"/>
        <v>#VALUE!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#N/A</v>
      </c>
      <c r="F30" s="282">
        <v>20</v>
      </c>
      <c r="G30" s="282" t="str">
        <f t="shared" si="0"/>
        <v>x32</v>
      </c>
      <c r="H30" s="294">
        <f>_xll.qlInterestRateIndexFixingDate(IborIndex1Y,J30)</f>
        <v>42432</v>
      </c>
      <c r="I30" s="282" t="str">
        <f>_xll.qlMakeDatedOIS(,J30,K30,OvernightIndex,0,"Act/360",0)</f>
        <v>obj_0044f#0013</v>
      </c>
      <c r="J30" s="294">
        <f>_xll.qlCalendarAdvance(Calendar,$D$2,F30&amp;"M","mf")</f>
        <v>42436</v>
      </c>
      <c r="K30" s="294">
        <f>_xll.qlInterestRateIndexMaturity(IborIndex1Y,J30)</f>
        <v>42801</v>
      </c>
      <c r="L30" s="279"/>
      <c r="M30" s="297">
        <f>_xll.qlOvernightIndexedSwapFairRate(I30,Contribution!$P$40)</f>
        <v>1.4565413154221099E-2</v>
      </c>
      <c r="N30" s="298" t="e">
        <f>_xll.qlInterpolationInterpolate(BasisInterpolator1Y,J30,,M30)</f>
        <v>#VALUE!</v>
      </c>
      <c r="O30" s="297" t="e">
        <f t="shared" si="2"/>
        <v>#VALUE!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#N/A</v>
      </c>
      <c r="F31" s="282">
        <v>21</v>
      </c>
      <c r="G31" s="282" t="str">
        <f t="shared" si="0"/>
        <v>x33</v>
      </c>
      <c r="H31" s="294">
        <f>_xll.qlInterestRateIndexFixingDate(IborIndex1Y,J31)</f>
        <v>42465</v>
      </c>
      <c r="I31" s="282" t="str">
        <f>_xll.qlMakeDatedOIS(,J31,K31,OvernightIndex,0,"Act/360",0)</f>
        <v>obj_00463#0012</v>
      </c>
      <c r="J31" s="294">
        <f>_xll.qlCalendarAdvance(Calendar,$D$2,F31&amp;"M","mf")</f>
        <v>42467</v>
      </c>
      <c r="K31" s="294">
        <f>_xll.qlInterestRateIndexMaturity(IborIndex1Y,J31)</f>
        <v>42832</v>
      </c>
      <c r="L31" s="279"/>
      <c r="M31" s="297">
        <f>_xll.qlOvernightIndexedSwapFairRate(I31,Contribution!$P$40)</f>
        <v>1.5398653129048282E-2</v>
      </c>
      <c r="N31" s="298" t="e">
        <f>_xll.qlInterpolationInterpolate(BasisInterpolator1Y,J31,,M31)</f>
        <v>#VALUE!</v>
      </c>
      <c r="O31" s="297" t="e">
        <f t="shared" si="2"/>
        <v>#VALUE!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#N/A</v>
      </c>
      <c r="F32" s="282">
        <v>22</v>
      </c>
      <c r="G32" s="282" t="str">
        <f t="shared" si="0"/>
        <v>x34</v>
      </c>
      <c r="H32" s="294">
        <f>_xll.qlInterestRateIndexFixingDate(IborIndex1Y,J32)</f>
        <v>42495</v>
      </c>
      <c r="I32" s="282" t="str">
        <f>_xll.qlMakeDatedOIS(,J32,K32,OvernightIndex,0,"Act/360",0)</f>
        <v>obj_00459#0013</v>
      </c>
      <c r="J32" s="294">
        <f>_xll.qlCalendarAdvance(Calendar,$D$2,F32&amp;"M","mf")</f>
        <v>42499</v>
      </c>
      <c r="K32" s="294">
        <f>_xll.qlInterestRateIndexMaturity(IborIndex1Y,J32)</f>
        <v>42864</v>
      </c>
      <c r="L32" s="279"/>
      <c r="M32" s="297">
        <f>_xll.qlOvernightIndexedSwapFairRate(I32,Contribution!$P$40)</f>
        <v>1.6284088319740611E-2</v>
      </c>
      <c r="N32" s="298" t="e">
        <f>_xll.qlInterpolationInterpolate(BasisInterpolator1Y,J32,,M32)</f>
        <v>#VALUE!</v>
      </c>
      <c r="O32" s="297" t="e">
        <f t="shared" si="2"/>
        <v>#VALUE!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#N/A</v>
      </c>
      <c r="F33" s="282">
        <v>23</v>
      </c>
      <c r="G33" s="282" t="str">
        <f t="shared" si="0"/>
        <v>x35</v>
      </c>
      <c r="H33" s="294">
        <f>_xll.qlInterestRateIndexFixingDate(IborIndex1Y,J33)</f>
        <v>42524</v>
      </c>
      <c r="I33" s="282" t="str">
        <f>_xll.qlMakeDatedOIS(,J33,K33,OvernightIndex,0,"Act/360",0)</f>
        <v>obj_0044c#0013</v>
      </c>
      <c r="J33" s="294">
        <f>_xll.qlCalendarAdvance(Calendar,$D$2,F33&amp;"M","mf")</f>
        <v>42528</v>
      </c>
      <c r="K33" s="294">
        <f>_xll.qlInterestRateIndexMaturity(IborIndex1Y,J33)</f>
        <v>42893</v>
      </c>
      <c r="L33" s="279"/>
      <c r="M33" s="297">
        <f>_xll.qlOvernightIndexedSwapFairRate(I33,Contribution!$P$40)</f>
        <v>1.7019207600973526E-2</v>
      </c>
      <c r="N33" s="298" t="e">
        <f>_xll.qlInterpolationInterpolate(BasisInterpolator1Y,J33,,M33)</f>
        <v>#VALUE!</v>
      </c>
      <c r="O33" s="297" t="e">
        <f t="shared" si="2"/>
        <v>#VALUE!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#N/A</v>
      </c>
      <c r="F34" s="282">
        <v>25</v>
      </c>
      <c r="G34" s="282" t="str">
        <f t="shared" si="0"/>
        <v>x37</v>
      </c>
      <c r="H34" s="294">
        <f>_xll.qlInterestRateIndexFixingDate(IborIndex1Y,J34)</f>
        <v>42586</v>
      </c>
      <c r="I34" s="282" t="str">
        <f>_xll.qlMakeDatedOIS(,J34,K34,OvernightIndex,0,"Act/360",0)</f>
        <v>obj_00467#0012</v>
      </c>
      <c r="J34" s="294">
        <f>_xll.qlCalendarAdvance(Calendar,$D$2,F34&amp;"M","mf")</f>
        <v>42590</v>
      </c>
      <c r="K34" s="294">
        <f>_xll.qlInterestRateIndexMaturity(IborIndex1Y,J34)</f>
        <v>42955</v>
      </c>
      <c r="L34" s="279"/>
      <c r="M34" s="297">
        <f>_xll.qlOvernightIndexedSwapFairRate(I34,Contribution!$P$40)</f>
        <v>1.8446885016831206E-2</v>
      </c>
      <c r="N34" s="298" t="e">
        <f>_xll.qlInterpolationInterpolate(BasisInterpolator1Y,J34,,M34)</f>
        <v>#VALUE!</v>
      </c>
      <c r="O34" s="297" t="e">
        <f t="shared" si="2"/>
        <v>#VALUE!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#N/A</v>
      </c>
      <c r="F35" s="282">
        <v>26</v>
      </c>
      <c r="G35" s="282" t="str">
        <f t="shared" si="0"/>
        <v>x38</v>
      </c>
      <c r="H35" s="294">
        <f>_xll.qlInterestRateIndexFixingDate(IborIndex1Y,J35)</f>
        <v>42618</v>
      </c>
      <c r="I35" s="282" t="str">
        <f>_xll.qlMakeDatedOIS(,J35,K35,OvernightIndex,0,"Act/360",0)</f>
        <v>obj_00473#0012</v>
      </c>
      <c r="J35" s="294">
        <f>_xll.qlCalendarAdvance(Calendar,$D$2,F35&amp;"M","mf")</f>
        <v>42620</v>
      </c>
      <c r="K35" s="294">
        <f>_xll.qlInterestRateIndexMaturity(IborIndex1Y,J35)</f>
        <v>42985</v>
      </c>
      <c r="L35" s="279"/>
      <c r="M35" s="297">
        <f>_xll.qlOvernightIndexedSwapFairRate(I35,Contribution!$P$40)</f>
        <v>1.9117584770560202E-2</v>
      </c>
      <c r="N35" s="298" t="e">
        <f>_xll.qlInterpolationInterpolate(BasisInterpolator1Y,J35,,M35)</f>
        <v>#VALUE!</v>
      </c>
      <c r="O35" s="297" t="e">
        <f t="shared" si="2"/>
        <v>#VALUE!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#N/A</v>
      </c>
      <c r="F36" s="282">
        <v>27</v>
      </c>
      <c r="G36" s="282" t="str">
        <f t="shared" si="0"/>
        <v>x39</v>
      </c>
      <c r="H36" s="294">
        <f>_xll.qlInterestRateIndexFixingDate(IborIndex1Y,J36)</f>
        <v>42648</v>
      </c>
      <c r="I36" s="282" t="str">
        <f>_xll.qlMakeDatedOIS(,J36,K36,OvernightIndex,0,"Act/360",0)</f>
        <v>obj_00471#0012</v>
      </c>
      <c r="J36" s="294">
        <f>_xll.qlCalendarAdvance(Calendar,$D$2,F36&amp;"M","mf")</f>
        <v>42650</v>
      </c>
      <c r="K36" s="294">
        <f>_xll.qlInterestRateIndexMaturity(IborIndex1Y,J36)</f>
        <v>43018</v>
      </c>
      <c r="L36" s="279"/>
      <c r="M36" s="297">
        <f>_xll.qlOvernightIndexedSwapFairRate(I36,Contribution!$P$40)</f>
        <v>1.9809310719937034E-2</v>
      </c>
      <c r="N36" s="298" t="e">
        <f>_xll.qlInterpolationInterpolate(BasisInterpolator1Y,J36,,M36)</f>
        <v>#VALUE!</v>
      </c>
      <c r="O36" s="297" t="e">
        <f t="shared" si="2"/>
        <v>#VALUE!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#N/A</v>
      </c>
      <c r="F37" s="282">
        <v>28</v>
      </c>
      <c r="G37" s="282" t="str">
        <f t="shared" si="0"/>
        <v>x40</v>
      </c>
      <c r="H37" s="294">
        <f>_xll.qlInterestRateIndexFixingDate(IborIndex1Y,J37)</f>
        <v>42677</v>
      </c>
      <c r="I37" s="282" t="str">
        <f>_xll.qlMakeDatedOIS(,J37,K37,OvernightIndex,0,"Act/360",0)</f>
        <v>obj_00458#0013</v>
      </c>
      <c r="J37" s="294">
        <f>_xll.qlCalendarAdvance(Calendar,$D$2,F37&amp;"M","mf")</f>
        <v>42681</v>
      </c>
      <c r="K37" s="294">
        <f>_xll.qlInterestRateIndexMaturity(IborIndex1Y,J37)</f>
        <v>43046</v>
      </c>
      <c r="L37" s="279"/>
      <c r="M37" s="297">
        <f>_xll.qlOvernightIndexedSwapFairRate(I37,Contribution!$P$40)</f>
        <v>2.0443019108734726E-2</v>
      </c>
      <c r="N37" s="298" t="e">
        <f>_xll.qlInterpolationInterpolate(BasisInterpolator1Y,J37,,M37)</f>
        <v>#VALUE!</v>
      </c>
      <c r="O37" s="297" t="e">
        <f t="shared" si="2"/>
        <v>#VALUE!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#N/A</v>
      </c>
      <c r="F38" s="282">
        <v>29</v>
      </c>
      <c r="G38" s="282" t="str">
        <f t="shared" si="0"/>
        <v>x41</v>
      </c>
      <c r="H38" s="294">
        <f>_xll.qlInterestRateIndexFixingDate(IborIndex1Y,J38)</f>
        <v>42709</v>
      </c>
      <c r="I38" s="282" t="str">
        <f>_xll.qlMakeDatedOIS(,J38,K38,OvernightIndex,0,"Act/360",0)</f>
        <v>obj_0046b#0012</v>
      </c>
      <c r="J38" s="294">
        <f>_xll.qlCalendarAdvance(Calendar,$D$2,F38&amp;"M","mf")</f>
        <v>42711</v>
      </c>
      <c r="K38" s="294">
        <f>_xll.qlInterestRateIndexMaturity(IborIndex1Y,J38)</f>
        <v>43076</v>
      </c>
      <c r="L38" s="279"/>
      <c r="M38" s="297">
        <f>_xll.qlOvernightIndexedSwapFairRate(I38,Contribution!$P$40)</f>
        <v>2.1073169781383901E-2</v>
      </c>
      <c r="N38" s="298" t="e">
        <f>_xll.qlInterpolationInterpolate(BasisInterpolator1Y,J38,,M38)</f>
        <v>#VALUE!</v>
      </c>
      <c r="O38" s="297" t="e">
        <f t="shared" si="2"/>
        <v>#VALUE!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#N/A</v>
      </c>
      <c r="F39" s="282">
        <v>30</v>
      </c>
      <c r="G39" s="282" t="str">
        <f t="shared" si="0"/>
        <v>x42</v>
      </c>
      <c r="H39" s="294">
        <f>_xll.qlInterestRateIndexFixingDate(IborIndex1Y,J39)</f>
        <v>42740</v>
      </c>
      <c r="I39" s="282" t="str">
        <f>_xll.qlMakeDatedOIS(,J39,K39,OvernightIndex,0,"Act/360",0)</f>
        <v>obj_00457#0013</v>
      </c>
      <c r="J39" s="294">
        <f>_xll.qlCalendarAdvance(Calendar,$D$2,F39&amp;"M","mf")</f>
        <v>42744</v>
      </c>
      <c r="K39" s="294">
        <f>_xll.qlInterestRateIndexMaturity(IborIndex1Y,J39)</f>
        <v>43109</v>
      </c>
      <c r="L39" s="279"/>
      <c r="M39" s="297">
        <f>_xll.qlOvernightIndexedSwapFairRate(I39,Contribution!$P$40)</f>
        <v>2.1747573994762837E-2</v>
      </c>
      <c r="N39" s="298" t="e">
        <f>_xll.qlInterpolationInterpolate(BasisInterpolator1Y,J39,,M39)</f>
        <v>#VALUE!</v>
      </c>
      <c r="O39" s="297" t="e">
        <f t="shared" si="2"/>
        <v>#VALUE!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#N/A</v>
      </c>
      <c r="F40" s="282">
        <v>31</v>
      </c>
      <c r="G40" s="282" t="str">
        <f t="shared" si="0"/>
        <v>x43</v>
      </c>
      <c r="H40" s="294">
        <f>_xll.qlInterestRateIndexFixingDate(IborIndex1Y,J40)</f>
        <v>42769</v>
      </c>
      <c r="I40" s="282" t="str">
        <f>_xll.qlMakeDatedOIS(,J40,K40,OvernightIndex,0,"Act/360",0)</f>
        <v>obj_00469#0012</v>
      </c>
      <c r="J40" s="294">
        <f>_xll.qlCalendarAdvance(Calendar,$D$2,F40&amp;"M","mf")</f>
        <v>42773</v>
      </c>
      <c r="K40" s="294">
        <f>_xll.qlInterestRateIndexMaturity(IborIndex1Y,J40)</f>
        <v>43138</v>
      </c>
      <c r="L40" s="279"/>
      <c r="M40" s="297">
        <f>_xll.qlOvernightIndexedSwapFairRate(I40,Contribution!$P$40)</f>
        <v>2.2322569377039608E-2</v>
      </c>
      <c r="N40" s="298" t="e">
        <f>_xll.qlInterpolationInterpolate(BasisInterpolator1Y,J40,,M40)</f>
        <v>#VALUE!</v>
      </c>
      <c r="O40" s="297" t="e">
        <f t="shared" si="2"/>
        <v>#VALUE!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#N/A</v>
      </c>
      <c r="F41" s="282">
        <v>32</v>
      </c>
      <c r="G41" s="282" t="str">
        <f t="shared" si="0"/>
        <v>x44</v>
      </c>
      <c r="H41" s="294">
        <f>_xll.qlInterestRateIndexFixingDate(IborIndex1Y,J41)</f>
        <v>42797</v>
      </c>
      <c r="I41" s="282" t="str">
        <f>_xll.qlMakeDatedOIS(,J41,K41,OvernightIndex,0,"Act/360",0)</f>
        <v>obj_0044e#0013</v>
      </c>
      <c r="J41" s="294">
        <f>_xll.qlCalendarAdvance(Calendar,$D$2,F41&amp;"M","mf")</f>
        <v>42801</v>
      </c>
      <c r="K41" s="294">
        <f>_xll.qlInterestRateIndexMaturity(IborIndex1Y,J41)</f>
        <v>43166</v>
      </c>
      <c r="L41" s="279"/>
      <c r="M41" s="297">
        <f>_xll.qlOvernightIndexedSwapFairRate(I41,Contribution!$P$40)</f>
        <v>2.2860808758961466E-2</v>
      </c>
      <c r="N41" s="298" t="e">
        <f>_xll.qlInterpolationInterpolate(BasisInterpolator1Y,J41,,M41)</f>
        <v>#VALUE!</v>
      </c>
      <c r="O41" s="297" t="e">
        <f t="shared" si="2"/>
        <v>#VALUE!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#N/A</v>
      </c>
      <c r="F42" s="282">
        <v>33</v>
      </c>
      <c r="G42" s="282" t="str">
        <f t="shared" si="0"/>
        <v>x45</v>
      </c>
      <c r="H42" s="294">
        <f>_xll.qlInterestRateIndexFixingDate(IborIndex1Y,J42)</f>
        <v>42830</v>
      </c>
      <c r="I42" s="282" t="str">
        <f>_xll.qlMakeDatedOIS(,J42,K42,OvernightIndex,0,"Act/360",0)</f>
        <v>obj_0045e#0013</v>
      </c>
      <c r="J42" s="294">
        <f>_xll.qlCalendarAdvance(Calendar,$D$2,F42&amp;"M","mf")</f>
        <v>42832</v>
      </c>
      <c r="K42" s="294">
        <f>_xll.qlInterestRateIndexMaturity(IborIndex1Y,J42)</f>
        <v>43199</v>
      </c>
      <c r="L42" s="279"/>
      <c r="M42" s="297">
        <f>_xll.qlOvernightIndexedSwapFairRate(I42,Contribution!$P$40)</f>
        <v>2.3453988058236255E-2</v>
      </c>
      <c r="N42" s="298" t="e">
        <f>_xll.qlInterpolationInterpolate(BasisInterpolator1Y,J42,,M42)</f>
        <v>#VALUE!</v>
      </c>
      <c r="O42" s="297" t="e">
        <f t="shared" si="2"/>
        <v>#VALUE!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#N/A</v>
      </c>
      <c r="F43" s="282">
        <v>34</v>
      </c>
      <c r="G43" s="282" t="str">
        <f t="shared" si="0"/>
        <v>x46</v>
      </c>
      <c r="H43" s="294">
        <f>_xll.qlInterestRateIndexFixingDate(IborIndex1Y,J43)</f>
        <v>42859</v>
      </c>
      <c r="I43" s="282" t="str">
        <f>_xll.qlMakeDatedOIS(,J43,K43,OvernightIndex,0,"Act/360",0)</f>
        <v>obj_00470#0012</v>
      </c>
      <c r="J43" s="294">
        <f>_xll.qlCalendarAdvance(Calendar,$D$2,F43&amp;"M","mf")</f>
        <v>42863</v>
      </c>
      <c r="K43" s="294">
        <f>_xll.qlInterestRateIndexMaturity(IborIndex1Y,J43)</f>
        <v>43228</v>
      </c>
      <c r="L43" s="279"/>
      <c r="M43" s="297">
        <f>_xll.qlOvernightIndexedSwapFairRate(I43,Contribution!$P$40)</f>
        <v>2.3987648593756121E-2</v>
      </c>
      <c r="N43" s="298" t="e">
        <f>_xll.qlInterpolationInterpolate(BasisInterpolator1Y,J43,,M43)</f>
        <v>#VALUE!</v>
      </c>
      <c r="O43" s="297" t="e">
        <f t="shared" si="2"/>
        <v>#VALUE!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#N/A</v>
      </c>
      <c r="F44" s="282">
        <v>35</v>
      </c>
      <c r="G44" s="282" t="str">
        <f t="shared" si="0"/>
        <v>x47</v>
      </c>
      <c r="H44" s="294">
        <f>_xll.qlInterestRateIndexFixingDate(IborIndex1Y,J44)</f>
        <v>42891</v>
      </c>
      <c r="I44" s="282" t="str">
        <f>_xll.qlMakeDatedOIS(,J44,K44,OvernightIndex,0,"Act/360",0)</f>
        <v>obj_0045d#0013</v>
      </c>
      <c r="J44" s="294">
        <f>_xll.qlCalendarAdvance(Calendar,$D$2,F44&amp;"M","mf")</f>
        <v>42893</v>
      </c>
      <c r="K44" s="294">
        <f>_xll.qlInterestRateIndexMaturity(IborIndex1Y,J44)</f>
        <v>43258</v>
      </c>
      <c r="L44" s="279"/>
      <c r="M44" s="297">
        <f>_xll.qlOvernightIndexedSwapFairRate(I44,Contribution!$P$40)</f>
        <v>2.449786294403513E-2</v>
      </c>
      <c r="N44" s="298" t="e">
        <f>_xll.qlInterpolationInterpolate(BasisInterpolator1Y,J44,,M44)</f>
        <v>#VALUE!</v>
      </c>
      <c r="O44" s="297" t="e">
        <f t="shared" si="2"/>
        <v>#VALUE!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#N/A</v>
      </c>
      <c r="F45" s="282">
        <v>37</v>
      </c>
      <c r="G45" s="282" t="str">
        <f t="shared" si="0"/>
        <v>x49</v>
      </c>
      <c r="H45" s="294">
        <f>_xll.qlInterestRateIndexFixingDate(IborIndex1Y,J45)</f>
        <v>42950</v>
      </c>
      <c r="I45" s="282" t="str">
        <f>_xll.qlMakeDatedOIS(,J45,K45,OvernightIndex,0,"Act/360",0)</f>
        <v>obj_0044d#0013</v>
      </c>
      <c r="J45" s="294">
        <f>_xll.qlCalendarAdvance(Calendar,$D$2,F45&amp;"M","mf")</f>
        <v>42954</v>
      </c>
      <c r="K45" s="294">
        <f>_xll.qlInterestRateIndexMaturity(IborIndex1Y,J45)</f>
        <v>43319</v>
      </c>
      <c r="L45" s="279"/>
      <c r="M45" s="297">
        <f>_xll.qlOvernightIndexedSwapFairRate(I45,Contribution!$P$40)</f>
        <v>2.545790112399289E-2</v>
      </c>
      <c r="N45" s="298" t="e">
        <f>_xll.qlInterpolationInterpolate(BasisInterpolator1Y,J45,,M45)</f>
        <v>#VALUE!</v>
      </c>
      <c r="O45" s="297" t="e">
        <f t="shared" si="2"/>
        <v>#VALUE!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#N/A</v>
      </c>
      <c r="F46" s="282">
        <v>38</v>
      </c>
      <c r="G46" s="282" t="str">
        <f t="shared" si="0"/>
        <v>x50</v>
      </c>
      <c r="H46" s="294">
        <f>_xll.qlInterestRateIndexFixingDate(IborIndex1Y,J46)</f>
        <v>42983</v>
      </c>
      <c r="I46" s="282" t="str">
        <f>_xll.qlMakeDatedOIS(,J46,K46,OvernightIndex,0,"Act/360",0)</f>
        <v>obj_0045b#0013</v>
      </c>
      <c r="J46" s="294">
        <f>_xll.qlCalendarAdvance(Calendar,$D$2,F46&amp;"M","mf")</f>
        <v>42985</v>
      </c>
      <c r="K46" s="294">
        <f>_xll.qlInterestRateIndexMaturity(IborIndex1Y,J46)</f>
        <v>43350</v>
      </c>
      <c r="L46" s="279"/>
      <c r="M46" s="297">
        <f>_xll.qlOvernightIndexedSwapFairRate(I46,Contribution!$P$40)</f>
        <v>2.5906068949983936E-2</v>
      </c>
      <c r="N46" s="298" t="e">
        <f>_xll.qlInterpolationInterpolate(BasisInterpolator1Y,J46,,M46)</f>
        <v>#VALUE!</v>
      </c>
      <c r="O46" s="297" t="e">
        <f t="shared" si="2"/>
        <v>#VALUE!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#N/A</v>
      </c>
      <c r="F47" s="282">
        <v>39</v>
      </c>
      <c r="G47" s="282" t="str">
        <f t="shared" si="0"/>
        <v>x51</v>
      </c>
      <c r="H47" s="294">
        <f>_xll.qlInterestRateIndexFixingDate(IborIndex1Y,J47)</f>
        <v>43014</v>
      </c>
      <c r="I47" s="282" t="str">
        <f>_xll.qlMakeDatedOIS(,J47,K47,OvernightIndex,0,"Act/360",0)</f>
        <v>obj_00453#0013</v>
      </c>
      <c r="J47" s="294">
        <f>_xll.qlCalendarAdvance(Calendar,$D$2,F47&amp;"M","mf")</f>
        <v>43018</v>
      </c>
      <c r="K47" s="294">
        <f>_xll.qlInterestRateIndexMaturity(IborIndex1Y,J47)</f>
        <v>43383</v>
      </c>
      <c r="L47" s="279"/>
      <c r="M47" s="297">
        <f>_xll.qlOvernightIndexedSwapFairRate(I47,Contribution!$P$40)</f>
        <v>2.6355968154709829E-2</v>
      </c>
      <c r="N47" s="298" t="e">
        <f>_xll.qlInterpolationInterpolate(BasisInterpolator1Y,J47,,M47)</f>
        <v>#VALUE!</v>
      </c>
      <c r="O47" s="297" t="e">
        <f t="shared" si="2"/>
        <v>#VALUE!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#N/A</v>
      </c>
      <c r="F48" s="282">
        <v>40</v>
      </c>
      <c r="G48" s="282" t="str">
        <f t="shared" si="0"/>
        <v>x52</v>
      </c>
      <c r="H48" s="294">
        <f>_xll.qlInterestRateIndexFixingDate(IborIndex1Y,J48)</f>
        <v>43042</v>
      </c>
      <c r="I48" s="282" t="str">
        <f>_xll.qlMakeDatedOIS(,J48,K48,OvernightIndex,0,"Act/360",0)</f>
        <v>obj_00466#0012</v>
      </c>
      <c r="J48" s="294">
        <f>_xll.qlCalendarAdvance(Calendar,$D$2,F48&amp;"M","mf")</f>
        <v>43046</v>
      </c>
      <c r="K48" s="294">
        <f>_xll.qlInterestRateIndexMaturity(IborIndex1Y,J48)</f>
        <v>43411</v>
      </c>
      <c r="L48" s="279"/>
      <c r="M48" s="297">
        <f>_xll.qlOvernightIndexedSwapFairRate(I48,Contribution!$P$40)</f>
        <v>2.671717192738474E-2</v>
      </c>
      <c r="N48" s="298" t="e">
        <f>_xll.qlInterpolationInterpolate(BasisInterpolator1Y,J48,,M48)</f>
        <v>#VALUE!</v>
      </c>
      <c r="O48" s="297" t="e">
        <f t="shared" si="2"/>
        <v>#VALUE!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#N/A</v>
      </c>
      <c r="F49" s="282">
        <v>41</v>
      </c>
      <c r="G49" s="282" t="str">
        <f t="shared" si="0"/>
        <v>x53</v>
      </c>
      <c r="H49" s="294">
        <f>_xll.qlInterestRateIndexFixingDate(IborIndex1Y,J49)</f>
        <v>43074</v>
      </c>
      <c r="I49" s="282" t="str">
        <f>_xll.qlMakeDatedOIS(,J49,K49,OvernightIndex,0,"Act/360",0)</f>
        <v>obj_00451#0013</v>
      </c>
      <c r="J49" s="294">
        <f>_xll.qlCalendarAdvance(Calendar,$D$2,F49&amp;"M","mf")</f>
        <v>43076</v>
      </c>
      <c r="K49" s="294">
        <f>_xll.qlInterestRateIndexMaturity(IborIndex1Y,J49)</f>
        <v>43441</v>
      </c>
      <c r="L49" s="279"/>
      <c r="M49" s="297">
        <f>_xll.qlOvernightIndexedSwapFairRate(I49,Contribution!$P$40)</f>
        <v>2.7084731454207735E-2</v>
      </c>
      <c r="N49" s="298" t="e">
        <f>_xll.qlInterpolationInterpolate(BasisInterpolator1Y,J49,,M49)</f>
        <v>#VALUE!</v>
      </c>
      <c r="O49" s="297" t="e">
        <f t="shared" si="2"/>
        <v>#VALUE!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#N/A</v>
      </c>
      <c r="F50" s="282">
        <v>42</v>
      </c>
      <c r="G50" s="282" t="str">
        <f t="shared" si="0"/>
        <v>x54</v>
      </c>
      <c r="H50" s="294">
        <f>_xll.qlInterestRateIndexFixingDate(IborIndex1Y,J50)</f>
        <v>43104</v>
      </c>
      <c r="I50" s="282" t="str">
        <f>_xll.qlMakeDatedOIS(,J50,K50,OvernightIndex,0,"Act/360",0)</f>
        <v>obj_0044b#0013</v>
      </c>
      <c r="J50" s="294">
        <f>_xll.qlCalendarAdvance(Calendar,$D$2,F50&amp;"M","mf")</f>
        <v>43108</v>
      </c>
      <c r="K50" s="294">
        <f>_xll.qlInterestRateIndexMaturity(IborIndex1Y,J50)</f>
        <v>43473</v>
      </c>
      <c r="L50" s="279"/>
      <c r="M50" s="297">
        <f>_xll.qlOvernightIndexedSwapFairRate(I50,Contribution!$P$40)</f>
        <v>2.7456284235180643E-2</v>
      </c>
      <c r="N50" s="298" t="e">
        <f>_xll.qlInterpolationInterpolate(BasisInterpolator1Y,J50,,M50)</f>
        <v>#VALUE!</v>
      </c>
      <c r="O50" s="297" t="e">
        <f t="shared" si="2"/>
        <v>#VALUE!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#N/A</v>
      </c>
      <c r="F51" s="282">
        <v>43</v>
      </c>
      <c r="G51" s="282" t="str">
        <f t="shared" si="0"/>
        <v>x55</v>
      </c>
      <c r="H51" s="294">
        <f>_xll.qlInterestRateIndexFixingDate(IborIndex1Y,J51)</f>
        <v>43136</v>
      </c>
      <c r="I51" s="282" t="str">
        <f>_xll.qlMakeDatedOIS(,J51,K51,OvernightIndex,0,"Act/360",0)</f>
        <v>obj_00450#0013</v>
      </c>
      <c r="J51" s="294">
        <f>_xll.qlCalendarAdvance(Calendar,$D$2,F51&amp;"M","mf")</f>
        <v>43138</v>
      </c>
      <c r="K51" s="294">
        <f>_xll.qlInterestRateIndexMaturity(IborIndex1Y,J51)</f>
        <v>43503</v>
      </c>
      <c r="L51" s="279"/>
      <c r="M51" s="297">
        <f>_xll.qlOvernightIndexedSwapFairRate(I51,Contribution!$P$40)</f>
        <v>2.7786980847677781E-2</v>
      </c>
      <c r="N51" s="298" t="e">
        <f>_xll.qlInterpolationInterpolate(BasisInterpolator1Y,J51,,M51)</f>
        <v>#VALUE!</v>
      </c>
      <c r="O51" s="297" t="e">
        <f t="shared" si="2"/>
        <v>#VALUE!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#N/A</v>
      </c>
      <c r="F52" s="282">
        <v>44</v>
      </c>
      <c r="G52" s="282" t="str">
        <f t="shared" si="0"/>
        <v>x56</v>
      </c>
      <c r="H52" s="294">
        <f>_xll.qlInterestRateIndexFixingDate(IborIndex1Y,J52)</f>
        <v>43164</v>
      </c>
      <c r="I52" s="282" t="str">
        <f>_xll.qlMakeDatedOIS(,J52,K52,OvernightIndex,0,"Act/360",0)</f>
        <v>obj_0046a#0012</v>
      </c>
      <c r="J52" s="294">
        <f>_xll.qlCalendarAdvance(Calendar,$D$2,F52&amp;"M","mf")</f>
        <v>43166</v>
      </c>
      <c r="K52" s="294">
        <f>_xll.qlInterestRateIndexMaturity(IborIndex1Y,J52)</f>
        <v>43531</v>
      </c>
      <c r="L52" s="279"/>
      <c r="M52" s="297">
        <f>_xll.qlOvernightIndexedSwapFairRate(I52,Contribution!$P$40)</f>
        <v>2.8081599050248703E-2</v>
      </c>
      <c r="N52" s="298" t="e">
        <f>_xll.qlInterpolationInterpolate(BasisInterpolator1Y,J52,,M52)</f>
        <v>#VALUE!</v>
      </c>
      <c r="O52" s="297" t="e">
        <f t="shared" si="2"/>
        <v>#VALUE!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#N/A</v>
      </c>
      <c r="F53" s="282">
        <v>45</v>
      </c>
      <c r="G53" s="282" t="str">
        <f t="shared" si="0"/>
        <v>x57</v>
      </c>
      <c r="H53" s="294">
        <f>_xll.qlInterestRateIndexFixingDate(IborIndex1Y,J53)</f>
        <v>43195</v>
      </c>
      <c r="I53" s="282" t="str">
        <f>_xll.qlMakeDatedOIS(,J53,K53,OvernightIndex,0,"Act/360",0)</f>
        <v>obj_00455#0013</v>
      </c>
      <c r="J53" s="294">
        <f>_xll.qlCalendarAdvance(Calendar,$D$2,F53&amp;"M","mf")</f>
        <v>43199</v>
      </c>
      <c r="K53" s="294">
        <f>_xll.qlInterestRateIndexMaturity(IborIndex1Y,J53)</f>
        <v>43564</v>
      </c>
      <c r="L53" s="279"/>
      <c r="M53" s="297">
        <f>_xll.qlOvernightIndexedSwapFairRate(I53,Contribution!$P$40)</f>
        <v>2.8413148051074966E-2</v>
      </c>
      <c r="N53" s="298" t="e">
        <f>_xll.qlInterpolationInterpolate(BasisInterpolator1Y,J53,,M53)</f>
        <v>#VALUE!</v>
      </c>
      <c r="O53" s="297" t="e">
        <f t="shared" si="2"/>
        <v>#VALUE!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#N/A</v>
      </c>
      <c r="F54" s="282">
        <v>46</v>
      </c>
      <c r="G54" s="282" t="str">
        <f t="shared" si="0"/>
        <v>x58</v>
      </c>
      <c r="H54" s="294">
        <f>_xll.qlInterestRateIndexFixingDate(IborIndex1Y,J54)</f>
        <v>43223</v>
      </c>
      <c r="I54" s="282" t="str">
        <f>_xll.qlMakeDatedOIS(,J54,K54,OvernightIndex,0,"Act/360",0)</f>
        <v>obj_0046e#0012</v>
      </c>
      <c r="J54" s="294">
        <f>_xll.qlCalendarAdvance(Calendar,$D$2,F54&amp;"M","mf")</f>
        <v>43227</v>
      </c>
      <c r="K54" s="294">
        <f>_xll.qlInterestRateIndexMaturity(IborIndex1Y,J54)</f>
        <v>43592</v>
      </c>
      <c r="L54" s="279"/>
      <c r="M54" s="297">
        <f>_xll.qlOvernightIndexedSwapFairRate(I54,Contribution!$P$40)</f>
        <v>2.8686485749439224E-2</v>
      </c>
      <c r="N54" s="298" t="e">
        <f>_xll.qlInterpolationInterpolate(BasisInterpolator1Y,J54,,M54)</f>
        <v>#VALUE!</v>
      </c>
      <c r="O54" s="297" t="e">
        <f t="shared" si="2"/>
        <v>#VALUE!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#N/A</v>
      </c>
      <c r="F55" s="282">
        <v>47</v>
      </c>
      <c r="G55" s="282" t="str">
        <f t="shared" si="0"/>
        <v>x59</v>
      </c>
      <c r="H55" s="294">
        <f>_xll.qlInterestRateIndexFixingDate(IborIndex1Y,J55)</f>
        <v>43256</v>
      </c>
      <c r="I55" s="282" t="str">
        <f>_xll.qlMakeDatedOIS(,J55,K55,OvernightIndex,0,"Act/360",0)</f>
        <v>obj_00468#0012</v>
      </c>
      <c r="J55" s="294">
        <f>_xll.qlCalendarAdvance(Calendar,$D$2,F55&amp;"M","mf")</f>
        <v>43258</v>
      </c>
      <c r="K55" s="294">
        <f>_xll.qlInterestRateIndexMaturity(IborIndex1Y,J55)</f>
        <v>43623</v>
      </c>
      <c r="L55" s="279"/>
      <c r="M55" s="297">
        <f>_xll.qlOvernightIndexedSwapFairRate(I55,Contribution!$P$40)</f>
        <v>2.8969742719681387E-2</v>
      </c>
      <c r="N55" s="298" t="e">
        <f>_xll.qlInterpolationInterpolate(BasisInterpolator1Y,J55,,M55)</f>
        <v>#VALUE!</v>
      </c>
      <c r="O55" s="297" t="e">
        <f t="shared" si="2"/>
        <v>#VALUE!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#N/A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#N/A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#N/A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#N/A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#N/A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#N/A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#N/A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#N/A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#N/A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#N/A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#N/A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#N/A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#N/A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#N/A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#N/A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#N/A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#N/A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#N/A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#N/A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#N/A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#N/A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#N/A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#N/A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#N/A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11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USDSND_SYNTH1M_Quote#0010</v>
      </c>
      <c r="E3" s="188" t="str">
        <f>_xll.ohRangeRetrieveError(D3)</f>
        <v/>
      </c>
      <c r="F3" s="185"/>
      <c r="H3" s="189"/>
      <c r="I3" s="163" t="s">
        <v>57</v>
      </c>
      <c r="J3" s="218">
        <f>ROUND(Depo_Calculation!$G34,6)</f>
        <v>1.358E-3</v>
      </c>
      <c r="K3" s="156"/>
      <c r="L3" s="166">
        <v>1.4829999999999999E-3</v>
      </c>
      <c r="M3" s="140"/>
      <c r="N3" s="169">
        <f t="array" ref="N3:N92">QuoteStatic</f>
        <v>1.4829999999999999E-3</v>
      </c>
      <c r="O3" s="170" t="e">
        <f>_xll.qlSimpleQuoteSetValue(D3,ROUND(N3,6),EvaluationDate)</f>
        <v>#N/A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USDSWD_SYNTH1M_Quote#0010</v>
      </c>
      <c r="E4" s="188" t="str">
        <f>_xll.ohRangeRetrieveError(D4)</f>
        <v/>
      </c>
      <c r="F4" s="185"/>
      <c r="H4" s="189"/>
      <c r="I4" s="163" t="s">
        <v>58</v>
      </c>
      <c r="J4" s="218">
        <f>ROUND(Depo_Calculation!$G35,6)</f>
        <v>1.3780000000000001E-3</v>
      </c>
      <c r="K4" s="156"/>
      <c r="L4" s="166">
        <v>1.474E-3</v>
      </c>
      <c r="M4" s="140"/>
      <c r="N4" s="169">
        <v>1.474E-3</v>
      </c>
      <c r="O4" s="170" t="e">
        <f>_xll.qlSimpleQuoteSetValue(D4,ROUND(N4,6),EvaluationDate)</f>
        <v>#N/A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USD2WD_SYNTH1M_Quote#0010</v>
      </c>
      <c r="E5" s="188" t="str">
        <f>_xll.ohRangeRetrieveError(D5)</f>
        <v/>
      </c>
      <c r="F5" s="185"/>
      <c r="H5" s="189"/>
      <c r="I5" s="163" t="s">
        <v>59</v>
      </c>
      <c r="J5" s="218">
        <f>ROUND(Depo_Calculation!$G36,6)</f>
        <v>1.4109999999999999E-3</v>
      </c>
      <c r="K5" s="156"/>
      <c r="L5" s="166">
        <v>1.4840000000000001E-3</v>
      </c>
      <c r="M5" s="140"/>
      <c r="N5" s="169">
        <v>1.4840000000000001E-3</v>
      </c>
      <c r="O5" s="170" t="e">
        <f>_xll.qlSimpleQuoteSetValue(D5,ROUND(N5,6),EvaluationDate)</f>
        <v>#N/A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USD3WD_SYNTH1M_Quote#0010</v>
      </c>
      <c r="E6" s="188" t="str">
        <f>_xll.ohRangeRetrieveError(D6)</f>
        <v/>
      </c>
      <c r="F6" s="185"/>
      <c r="H6" s="189"/>
      <c r="I6" s="164" t="s">
        <v>60</v>
      </c>
      <c r="J6" s="220">
        <f>Depo_Calculation!$G37</f>
        <v>1.4335720766900947E-3</v>
      </c>
      <c r="K6" s="156"/>
      <c r="L6" s="167">
        <v>1.4733517056632174E-3</v>
      </c>
      <c r="M6" s="140"/>
      <c r="N6" s="171">
        <v>1.4733517056632174E-3</v>
      </c>
      <c r="O6" s="170" t="e">
        <f>_xll.qlSimpleQuoteSetValue(D6,ROUND(N6,6),EvaluationDate)</f>
        <v>#N/A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USD1MD_SYNTH1M_Quote#0010</v>
      </c>
      <c r="E7" s="194" t="str">
        <f>_xll.ohRangeRetrieveError(D7)</f>
        <v/>
      </c>
      <c r="F7" s="185"/>
      <c r="H7" s="189"/>
      <c r="I7" s="165" t="s">
        <v>61</v>
      </c>
      <c r="J7" s="219">
        <f>ROUND(Depo_Calculation!$G38,6)</f>
        <v>1.4760000000000001E-3</v>
      </c>
      <c r="K7" s="156"/>
      <c r="L7" s="168">
        <v>1.47E-3</v>
      </c>
      <c r="M7" s="140"/>
      <c r="N7" s="172">
        <v>1.47E-3</v>
      </c>
      <c r="O7" s="361" t="e">
        <f>_xll.qlSimpleQuoteSetValue(D7,ROUND(N7,6),EvaluationDate)</f>
        <v>#N/A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USDSND_SYNTH3M_Quote#0010</v>
      </c>
      <c r="E8" s="197" t="str">
        <f>_xll.ohRangeRetrieveError(D8)</f>
        <v/>
      </c>
      <c r="F8" s="198"/>
      <c r="H8" s="189"/>
      <c r="I8" s="163" t="s">
        <v>57</v>
      </c>
      <c r="J8" s="217">
        <f>ROUND(Depo_Calculation!$H34,6)</f>
        <v>2.2950000000000002E-3</v>
      </c>
      <c r="K8" s="156"/>
      <c r="L8" s="166">
        <v>2.2669999999999999E-3</v>
      </c>
      <c r="M8" s="140"/>
      <c r="N8" s="169">
        <v>2.2669999999999999E-3</v>
      </c>
      <c r="O8" s="317" t="e">
        <f>_xll.qlSimpleQuoteSetValue(D8,ROUND(N8,6),EvaluationDate)</f>
        <v>#N/A</v>
      </c>
      <c r="P8" s="216">
        <f>_xll.ohTrigger(O8:O14)</f>
        <v>11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USDSWD_SYNTH3M_Quote#0010</v>
      </c>
      <c r="E9" s="199" t="str">
        <f>_xll.ohRangeRetrieveError(D9)</f>
        <v/>
      </c>
      <c r="F9" s="198"/>
      <c r="H9" s="189"/>
      <c r="I9" s="163" t="s">
        <v>58</v>
      </c>
      <c r="J9" s="218">
        <f>ROUND(Depo_Calculation!$H35,6)</f>
        <v>2.2899999999999999E-3</v>
      </c>
      <c r="K9" s="156"/>
      <c r="L9" s="166">
        <v>2.2629999999999998E-3</v>
      </c>
      <c r="M9" s="140"/>
      <c r="N9" s="169">
        <v>2.2629999999999998E-3</v>
      </c>
      <c r="O9" s="170" t="e">
        <f>_xll.qlSimpleQuoteSetValue(D9,ROUND(N9,6),EvaluationDate)</f>
        <v>#N/A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USD2WD_SYNTH3M_Quote#0010</v>
      </c>
      <c r="E10" s="199" t="str">
        <f>_xll.ohRangeRetrieveError(D10)</f>
        <v/>
      </c>
      <c r="F10" s="198"/>
      <c r="H10" s="189"/>
      <c r="I10" s="163" t="s">
        <v>59</v>
      </c>
      <c r="J10" s="218">
        <f>ROUND(Depo_Calculation!$H36,6)</f>
        <v>2.294E-3</v>
      </c>
      <c r="K10" s="156"/>
      <c r="L10" s="166">
        <v>2.2780000000000001E-3</v>
      </c>
      <c r="M10" s="140"/>
      <c r="N10" s="169">
        <v>2.2780000000000001E-3</v>
      </c>
      <c r="O10" s="170" t="e">
        <f>_xll.qlSimpleQuoteSetValue(D10,ROUND(N10,6),EvaluationDate)</f>
        <v>#N/A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USD3WD_SYNTH3M_Quote#0010</v>
      </c>
      <c r="E11" s="199" t="str">
        <f>_xll.ohRangeRetrieveError(D11)</f>
        <v/>
      </c>
      <c r="F11" s="198"/>
      <c r="H11" s="189"/>
      <c r="I11" s="163" t="s">
        <v>60</v>
      </c>
      <c r="J11" s="218">
        <f>ROUND(Depo_Calculation!$H37,6)</f>
        <v>2.2880000000000001E-3</v>
      </c>
      <c r="K11" s="156"/>
      <c r="L11" s="166">
        <v>2.274E-3</v>
      </c>
      <c r="M11" s="140"/>
      <c r="N11" s="169">
        <v>2.274E-3</v>
      </c>
      <c r="O11" s="170" t="e">
        <f>_xll.qlSimpleQuoteSetValue(D11,ROUND(N11,6),EvaluationDate)</f>
        <v>#N/A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USD1MD_SYNTH3M_Quote#0010</v>
      </c>
      <c r="E12" s="199" t="str">
        <f>_xll.ohRangeRetrieveError(D12)</f>
        <v/>
      </c>
      <c r="F12" s="198"/>
      <c r="H12" s="189"/>
      <c r="I12" s="163" t="s">
        <v>61</v>
      </c>
      <c r="J12" s="218">
        <f>ROUND(Depo_Calculation!$H38,6)</f>
        <v>2.2889999999999998E-3</v>
      </c>
      <c r="K12" s="156"/>
      <c r="L12" s="166">
        <v>2.2790000000000002E-3</v>
      </c>
      <c r="M12" s="140"/>
      <c r="N12" s="169">
        <v>2.2790000000000002E-3</v>
      </c>
      <c r="O12" s="170" t="e">
        <f>_xll.qlSimpleQuoteSetValue(D12,ROUND(N12,6),EvaluationDate)</f>
        <v>#N/A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USD2MD_SYNTH3M_Quote#0010</v>
      </c>
      <c r="E13" s="199" t="str">
        <f>_xll.ohRangeRetrieveError(D13)</f>
        <v/>
      </c>
      <c r="F13" s="198"/>
      <c r="H13" s="189"/>
      <c r="I13" s="163" t="s">
        <v>76</v>
      </c>
      <c r="J13" s="218">
        <f>ROUND(Depo_Calculation!$H39,6)</f>
        <v>2.287E-3</v>
      </c>
      <c r="K13" s="156"/>
      <c r="L13" s="166">
        <v>2.2820000000000002E-3</v>
      </c>
      <c r="M13" s="140"/>
      <c r="N13" s="169">
        <v>2.2820000000000002E-3</v>
      </c>
      <c r="O13" s="170" t="e">
        <f>_xll.qlSimpleQuoteSetValue(D13,ROUND(N13,6),EvaluationDate)</f>
        <v>#N/A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USD3MD_SYNTH3M_Quote#0010</v>
      </c>
      <c r="E14" s="208" t="str">
        <f>_xll.ohRangeRetrieveError(D14)</f>
        <v/>
      </c>
      <c r="F14" s="198"/>
      <c r="H14" s="206"/>
      <c r="I14" s="165" t="s">
        <v>77</v>
      </c>
      <c r="J14" s="219">
        <f>ROUND(Depo_Calculation!$H40,6)</f>
        <v>2.3010000000000001E-3</v>
      </c>
      <c r="K14" s="206"/>
      <c r="L14" s="168">
        <v>2.2899999999999999E-3</v>
      </c>
      <c r="M14" s="206"/>
      <c r="N14" s="172">
        <v>2.2899999999999999E-3</v>
      </c>
      <c r="O14" s="173" t="e">
        <f>_xll.qlSimpleQuoteSetValue(D14,ROUND(N14,6),EvaluationDate)</f>
        <v>#N/A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USDSND_SYNTH6M_Quote#0010</v>
      </c>
      <c r="E15" s="197" t="str">
        <f>_xll.ohRangeRetrieveError(D15)</f>
        <v/>
      </c>
      <c r="F15" s="198"/>
      <c r="H15" s="189"/>
      <c r="I15" s="163" t="s">
        <v>57</v>
      </c>
      <c r="J15" s="217">
        <f>ROUND(Depo_Calculation!$I34,6)</f>
        <v>3.052E-3</v>
      </c>
      <c r="K15" s="156"/>
      <c r="L15" s="166">
        <v>3.107E-3</v>
      </c>
      <c r="M15" s="140"/>
      <c r="N15" s="169">
        <v>3.107E-3</v>
      </c>
      <c r="O15" s="170" t="e">
        <f>_xll.qlSimpleQuoteSetValue(D15,ROUND(N15,6),EvaluationDate)</f>
        <v>#N/A</v>
      </c>
      <c r="P15" s="190">
        <f>_xll.ohTrigger(O15:O24)</f>
        <v>11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USDSWD_SYNTH6M_Quote#0010</v>
      </c>
      <c r="E16" s="199" t="str">
        <f>_xll.ohRangeRetrieveError(D16)</f>
        <v/>
      </c>
      <c r="F16" s="198"/>
      <c r="H16" s="189"/>
      <c r="I16" s="163" t="s">
        <v>58</v>
      </c>
      <c r="J16" s="218">
        <f>ROUND(Depo_Calculation!$I35,6)</f>
        <v>3.0539999999999999E-3</v>
      </c>
      <c r="K16" s="156"/>
      <c r="L16" s="166">
        <v>3.107E-3</v>
      </c>
      <c r="M16" s="140"/>
      <c r="N16" s="169">
        <v>3.107E-3</v>
      </c>
      <c r="O16" s="170" t="e">
        <f>_xll.qlSimpleQuoteSetValue(D16,ROUND(N16,6),EvaluationDate)</f>
        <v>#N/A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USD2WD_SYNTH6M_Quote#0010</v>
      </c>
      <c r="E17" s="199" t="str">
        <f>_xll.ohRangeRetrieveError(D17)</f>
        <v/>
      </c>
      <c r="F17" s="198"/>
      <c r="H17" s="189"/>
      <c r="I17" s="163" t="s">
        <v>59</v>
      </c>
      <c r="J17" s="218">
        <f>ROUND(Depo_Calculation!$I36,6)</f>
        <v>3.0669999999999998E-3</v>
      </c>
      <c r="K17" s="156"/>
      <c r="L17" s="166">
        <v>3.127E-3</v>
      </c>
      <c r="M17" s="140"/>
      <c r="N17" s="169">
        <v>3.127E-3</v>
      </c>
      <c r="O17" s="170" t="e">
        <f>_xll.qlSimpleQuoteSetValue(D17,ROUND(N17,6),EvaluationDate)</f>
        <v>#N/A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USD3WD_SYNTH6M_Quote#0010</v>
      </c>
      <c r="E18" s="199" t="str">
        <f>_xll.ohRangeRetrieveError(D18)</f>
        <v/>
      </c>
      <c r="F18" s="198"/>
      <c r="H18" s="189"/>
      <c r="I18" s="163" t="s">
        <v>60</v>
      </c>
      <c r="J18" s="218">
        <f>ROUND(Depo_Calculation!$I37,6)</f>
        <v>3.0690000000000001E-3</v>
      </c>
      <c r="K18" s="156"/>
      <c r="L18" s="166">
        <v>3.127E-3</v>
      </c>
      <c r="M18" s="140"/>
      <c r="N18" s="169">
        <v>3.127E-3</v>
      </c>
      <c r="O18" s="170" t="e">
        <f>_xll.qlSimpleQuoteSetValue(D18,ROUND(N18,6),EvaluationDate)</f>
        <v>#N/A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USD1MD_SYNTH6M_Quote#0010</v>
      </c>
      <c r="E19" s="199" t="str">
        <f>_xll.ohRangeRetrieveError(D19)</f>
        <v/>
      </c>
      <c r="F19" s="198"/>
      <c r="H19" s="189"/>
      <c r="I19" s="163" t="s">
        <v>61</v>
      </c>
      <c r="J19" s="218">
        <f>ROUND(Depo_Calculation!$I38,6)</f>
        <v>3.0820000000000001E-3</v>
      </c>
      <c r="K19" s="156"/>
      <c r="L19" s="166">
        <v>3.137E-3</v>
      </c>
      <c r="M19" s="140"/>
      <c r="N19" s="169">
        <v>3.137E-3</v>
      </c>
      <c r="O19" s="170" t="e">
        <f>_xll.qlSimpleQuoteSetValue(D19,ROUND(N19,6),EvaluationDate)</f>
        <v>#N/A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USD2MD_SYNTH6M_Quote#0010</v>
      </c>
      <c r="E20" s="199" t="str">
        <f>_xll.ohRangeRetrieveError(D20)</f>
        <v/>
      </c>
      <c r="F20" s="198"/>
      <c r="H20" s="189"/>
      <c r="I20" s="163" t="s">
        <v>76</v>
      </c>
      <c r="J20" s="218">
        <f>ROUND(Depo_Calculation!$I39,6)</f>
        <v>3.1080000000000001E-3</v>
      </c>
      <c r="K20" s="156"/>
      <c r="L20" s="166">
        <v>3.156E-3</v>
      </c>
      <c r="M20" s="140"/>
      <c r="N20" s="169">
        <v>3.156E-3</v>
      </c>
      <c r="O20" s="170" t="e">
        <f>_xll.qlSimpleQuoteSetValue(D20,ROUND(N20,6),EvaluationDate)</f>
        <v>#N/A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USD3MD_SYNTH6M_Quote#0010</v>
      </c>
      <c r="E21" s="199" t="str">
        <f>_xll.ohRangeRetrieveError(D21)</f>
        <v/>
      </c>
      <c r="F21" s="198"/>
      <c r="H21" s="189"/>
      <c r="I21" s="163" t="s">
        <v>77</v>
      </c>
      <c r="J21" s="218">
        <f>ROUND(Depo_Calculation!$I40,6)</f>
        <v>3.1410000000000001E-3</v>
      </c>
      <c r="K21" s="156"/>
      <c r="L21" s="166">
        <v>3.1740000000000002E-3</v>
      </c>
      <c r="M21" s="140"/>
      <c r="N21" s="169">
        <v>3.1740000000000002E-3</v>
      </c>
      <c r="O21" s="170" t="e">
        <f>_xll.qlSimpleQuoteSetValue(D21,ROUND(N21,6),EvaluationDate)</f>
        <v>#N/A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USD4MD_SYNTH6M_Quote#0010</v>
      </c>
      <c r="E22" s="199" t="str">
        <f>_xll.ohRangeRetrieveError(D22)</f>
        <v/>
      </c>
      <c r="F22" s="198"/>
      <c r="H22" s="189"/>
      <c r="I22" s="163" t="s">
        <v>78</v>
      </c>
      <c r="J22" s="218">
        <f>ROUND(Depo_Calculation!$I41,6)</f>
        <v>3.1800000000000001E-3</v>
      </c>
      <c r="K22" s="156"/>
      <c r="L22" s="166">
        <v>3.2000000000000002E-3</v>
      </c>
      <c r="M22" s="140"/>
      <c r="N22" s="169">
        <v>3.2000000000000002E-3</v>
      </c>
      <c r="O22" s="170" t="e">
        <f>_xll.qlSimpleQuoteSetValue(D22,ROUND(N22,6),EvaluationDate)</f>
        <v>#N/A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USD5MD_SYNTH6M_Quote#0010</v>
      </c>
      <c r="E23" s="199" t="str">
        <f>_xll.ohRangeRetrieveError(D23)</f>
        <v/>
      </c>
      <c r="F23" s="198"/>
      <c r="H23" s="189"/>
      <c r="I23" s="163" t="s">
        <v>79</v>
      </c>
      <c r="J23" s="218">
        <f>ROUND(Depo_Calculation!$I42,6)</f>
        <v>3.2060000000000001E-3</v>
      </c>
      <c r="K23" s="156"/>
      <c r="L23" s="166">
        <v>3.2330000000000002E-3</v>
      </c>
      <c r="M23" s="140"/>
      <c r="N23" s="169">
        <v>3.2330000000000002E-3</v>
      </c>
      <c r="O23" s="170" t="e">
        <f>_xll.qlSimpleQuoteSetValue(D23,ROUND(N23,6),EvaluationDate)</f>
        <v>#N/A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USD6MD_SYNTH6M_Quote#0010</v>
      </c>
      <c r="E24" s="208" t="str">
        <f>_xll.ohRangeRetrieveError(D24)</f>
        <v/>
      </c>
      <c r="F24" s="209"/>
      <c r="H24" s="206"/>
      <c r="I24" s="165" t="s">
        <v>80</v>
      </c>
      <c r="J24" s="219">
        <f>ROUND(Depo_Calculation!$I43,6)</f>
        <v>3.248E-3</v>
      </c>
      <c r="K24" s="211"/>
      <c r="L24" s="168">
        <v>3.2460000000000002E-3</v>
      </c>
      <c r="M24" s="212"/>
      <c r="N24" s="172">
        <v>3.2460000000000002E-3</v>
      </c>
      <c r="O24" s="170" t="e">
        <f>_xll.qlSimpleQuoteSetValue(D24,ROUND(N24,6),EvaluationDate)</f>
        <v>#N/A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USD7x13F_SYNTH6M_Quote#0010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>
        <f>'6M_FRA_Calculation'!O24</f>
        <v>4.7392112084751244E-3</v>
      </c>
      <c r="K25" s="305"/>
      <c r="L25" s="166">
        <v>4.554752767547611E-3</v>
      </c>
      <c r="M25" s="306"/>
      <c r="N25" s="169">
        <v>4.554752767547611E-3</v>
      </c>
      <c r="O25" s="317" t="e">
        <f>_xll.qlSimpleQuoteSetValue(D25,ROUND(N25,6),EvaluationDate)</f>
        <v>#N/A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USD8x14F_SYNTH6M_Quote#0010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>
        <f>'6M_FRA_Calculation'!O25</f>
        <v>5.2027199499078604E-3</v>
      </c>
      <c r="K26" s="305"/>
      <c r="L26" s="166">
        <v>5.0134439985646618E-3</v>
      </c>
      <c r="M26" s="306"/>
      <c r="N26" s="169">
        <v>5.0134439985646618E-3</v>
      </c>
      <c r="O26" s="170" t="e">
        <f>_xll.qlSimpleQuoteSetValue(D26,ROUND(N26,6),EvaluationDate)</f>
        <v>#N/A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USD10x16F_SYNTH6M_Quote#0010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>
        <f>'6M_FRA_Calculation'!O26</f>
        <v>6.3284864330335573E-3</v>
      </c>
      <c r="K27" s="305"/>
      <c r="L27" s="166">
        <v>6.1184968997277812E-3</v>
      </c>
      <c r="M27" s="306"/>
      <c r="N27" s="169">
        <v>6.1184968997277812E-3</v>
      </c>
      <c r="O27" s="170" t="e">
        <f>_xll.qlSimpleQuoteSetValue(D27,ROUND(N27,6),EvaluationDate)</f>
        <v>#N/A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USD11x17F_SYNTH6M_Quote#0010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>
        <f>'6M_FRA_Calculation'!O27</f>
        <v>7.0873307043203236E-3</v>
      </c>
      <c r="K28" s="305"/>
      <c r="L28" s="166">
        <v>6.8678798240851841E-3</v>
      </c>
      <c r="M28" s="306"/>
      <c r="N28" s="169">
        <v>6.8678798240851841E-3</v>
      </c>
      <c r="O28" s="170" t="e">
        <f>_xll.qlSimpleQuoteSetValue(D28,ROUND(N28,6),EvaluationDate)</f>
        <v>#N/A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USD13x19F_SYNTH6M_Quote#0010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>
        <f>'6M_FRA_Calculation'!O28</f>
        <v>8.4945995361215658E-3</v>
      </c>
      <c r="K29" s="305"/>
      <c r="L29" s="166">
        <v>8.2195313362824728E-3</v>
      </c>
      <c r="M29" s="306"/>
      <c r="N29" s="169">
        <v>8.2195313362824728E-3</v>
      </c>
      <c r="O29" s="170" t="e">
        <f>_xll.qlSimpleQuoteSetValue(D29,ROUND(N29,6),EvaluationDate)</f>
        <v>#N/A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USD14x20F_SYNTH6M_Quote#0010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>
        <f>'6M_FRA_Calculation'!O29</f>
        <v>9.4312191754070927E-3</v>
      </c>
      <c r="K30" s="305"/>
      <c r="L30" s="166">
        <v>8.9985928087155838E-3</v>
      </c>
      <c r="M30" s="306"/>
      <c r="N30" s="169">
        <v>8.9985928087155838E-3</v>
      </c>
      <c r="O30" s="170" t="e">
        <f>_xll.qlSimpleQuoteSetValue(D30,ROUND(N30,6),EvaluationDate)</f>
        <v>#N/A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USD15x21F_SYNTH6M_Quote#0010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>
        <f>'6M_FRA_Calculation'!O30</f>
        <v>1.0155973787513487E-2</v>
      </c>
      <c r="K31" s="305"/>
      <c r="L31" s="166">
        <v>9.7674805700632382E-3</v>
      </c>
      <c r="M31" s="306"/>
      <c r="N31" s="169">
        <v>9.7674805700632382E-3</v>
      </c>
      <c r="O31" s="170" t="e">
        <f>_xll.qlSimpleQuoteSetValue(D31,ROUND(N31,6),EvaluationDate)</f>
        <v>#N/A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USD16x22F_SYNTH6M_Quote#0010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>
        <f>'6M_FRA_Calculation'!O31</f>
        <v>1.1063667495805044E-2</v>
      </c>
      <c r="K32" s="305"/>
      <c r="L32" s="166">
        <v>1.0587024074432492E-2</v>
      </c>
      <c r="M32" s="306"/>
      <c r="N32" s="169">
        <v>1.0587024074432492E-2</v>
      </c>
      <c r="O32" s="170" t="e">
        <f>_xll.qlSimpleQuoteSetValue(D32,ROUND(N32,6),EvaluationDate)</f>
        <v>#N/A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USD17x23F_SYNTH6M_Quote#0010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>
        <f>'6M_FRA_Calculation'!O32</f>
        <v>1.1746992014878393E-2</v>
      </c>
      <c r="K33" s="305"/>
      <c r="L33" s="166">
        <v>1.1338747343401831E-2</v>
      </c>
      <c r="M33" s="306"/>
      <c r="N33" s="169">
        <v>1.1338747343401831E-2</v>
      </c>
      <c r="O33" s="170" t="e">
        <f>_xll.qlSimpleQuoteSetValue(D33,ROUND(N33,6),EvaluationDate)</f>
        <v>#N/A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USD19x25F_SYNTH6M_Quote#0010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>
        <f>'6M_FRA_Calculation'!O33</f>
        <v>1.3673473399884738E-2</v>
      </c>
      <c r="K34" s="305"/>
      <c r="L34" s="166">
        <v>1.3035128373084006E-2</v>
      </c>
      <c r="M34" s="306"/>
      <c r="N34" s="169">
        <v>1.3035128373084006E-2</v>
      </c>
      <c r="O34" s="170" t="e">
        <f>_xll.qlSimpleQuoteSetValue(D34,ROUND(N34,6),EvaluationDate)</f>
        <v>#N/A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USD20x26F_SYNTH6M_Quote#0010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>
        <f>'6M_FRA_Calculation'!O34</f>
        <v>1.4340902475500253E-2</v>
      </c>
      <c r="K35" s="305"/>
      <c r="L35" s="166">
        <v>1.3812377942358112E-2</v>
      </c>
      <c r="M35" s="306"/>
      <c r="N35" s="169">
        <v>1.3812377942358112E-2</v>
      </c>
      <c r="O35" s="170" t="e">
        <f>_xll.qlSimpleQuoteSetValue(D35,ROUND(N35,6),EvaluationDate)</f>
        <v>#N/A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USD21x27F_SYNTH6M_Quote#0010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>
        <f>'6M_FRA_Calculation'!O35</f>
        <v>1.5146734907014004E-2</v>
      </c>
      <c r="K36" s="305"/>
      <c r="L36" s="166">
        <v>1.4627449230055385E-2</v>
      </c>
      <c r="M36" s="306"/>
      <c r="N36" s="169">
        <v>1.4627449230055385E-2</v>
      </c>
      <c r="O36" s="170" t="e">
        <f>_xll.qlSimpleQuoteSetValue(D36,ROUND(N36,6),EvaluationDate)</f>
        <v>#N/A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USD22x28F_SYNTH6M_Quote#0010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>
        <f>'6M_FRA_Calculation'!O36</f>
        <v>1.6076338867296706E-2</v>
      </c>
      <c r="K37" s="305"/>
      <c r="L37" s="166">
        <v>1.5505897167489064E-2</v>
      </c>
      <c r="M37" s="306"/>
      <c r="N37" s="169">
        <v>1.5505897167489064E-2</v>
      </c>
      <c r="O37" s="170" t="e">
        <f>_xll.qlSimpleQuoteSetValue(D37,ROUND(N37,6),EvaluationDate)</f>
        <v>#N/A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USD23x29F_SYNTH6M_Quote#0010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>
        <f>'6M_FRA_Calculation'!O37</f>
        <v>1.6790770424460141E-2</v>
      </c>
      <c r="K38" s="305"/>
      <c r="L38" s="166">
        <v>1.6280154928786778E-2</v>
      </c>
      <c r="M38" s="306"/>
      <c r="N38" s="169">
        <v>1.6280154928786778E-2</v>
      </c>
      <c r="O38" s="170" t="e">
        <f>_xll.qlSimpleQuoteSetValue(D38,ROUND(N38,6),EvaluationDate)</f>
        <v>#N/A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USD24x30F_SYNTH6M_Quote#0010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>
        <f>'6M_FRA_Calculation'!O38</f>
        <v>1.7501742273849822E-2</v>
      </c>
      <c r="K39" s="305"/>
      <c r="L39" s="166">
        <v>1.7099044881929669E-2</v>
      </c>
      <c r="M39" s="306"/>
      <c r="N39" s="169">
        <v>1.7099044881929669E-2</v>
      </c>
      <c r="O39" s="170" t="e">
        <f>_xll.qlSimpleQuoteSetValue(D39,ROUND(N39,6),EvaluationDate)</f>
        <v>#N/A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USDSND_SYNTH1Y_Quote#0010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>
        <f>ROUND(Depo_Calculation!$J34,6)</f>
        <v>4.8440000000000002E-3</v>
      </c>
      <c r="K40" s="156"/>
      <c r="L40" s="315">
        <v>4.9100000000000003E-3</v>
      </c>
      <c r="M40" s="140"/>
      <c r="N40" s="316">
        <v>4.9100000000000003E-3</v>
      </c>
      <c r="O40" s="317" t="e">
        <f>_xll.qlSimpleQuoteSetValue(D40,ROUND(N40,6),EvaluationDate)</f>
        <v>#N/A</v>
      </c>
      <c r="P40" s="190">
        <f>_xll.ohTrigger(O40:O55)</f>
        <v>11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USDSWD_SYNTH1Y_Quote#0010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>
        <f>ROUND(Depo_Calculation!$J35,6)</f>
        <v>4.8440000000000002E-3</v>
      </c>
      <c r="K41" s="156"/>
      <c r="L41" s="166">
        <v>4.9100000000000003E-3</v>
      </c>
      <c r="M41" s="140"/>
      <c r="N41" s="169">
        <v>4.9100000000000003E-3</v>
      </c>
      <c r="O41" s="170" t="e">
        <f>_xll.qlSimpleQuoteSetValue(D41,ROUND(N41,6),EvaluationDate)</f>
        <v>#N/A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USD2WD_SYNTH1Y_Quote#0010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>
        <f>ROUND(Depo_Calculation!$J36,6)</f>
        <v>4.8539999999999998E-3</v>
      </c>
      <c r="K42" s="156"/>
      <c r="L42" s="166">
        <v>4.9300000000000004E-3</v>
      </c>
      <c r="M42" s="140"/>
      <c r="N42" s="169">
        <v>4.9300000000000004E-3</v>
      </c>
      <c r="O42" s="170" t="e">
        <f>_xll.qlSimpleQuoteSetValue(D42,ROUND(N42,6),EvaluationDate)</f>
        <v>#N/A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USD3WD_SYNTH1Y_Quote#0010</v>
      </c>
      <c r="E43" s="199" t="str">
        <f>_xll.ohRangeRetrieveError(D43)</f>
        <v/>
      </c>
      <c r="F43" s="198"/>
      <c r="H43" s="189"/>
      <c r="I43" s="163" t="s">
        <v>60</v>
      </c>
      <c r="J43" s="218">
        <f>ROUND(Depo_Calculation!$J37,6)</f>
        <v>4.8539999999999998E-3</v>
      </c>
      <c r="K43" s="156"/>
      <c r="L43" s="166">
        <v>4.9300000000000004E-3</v>
      </c>
      <c r="M43" s="140"/>
      <c r="N43" s="169">
        <v>4.9300000000000004E-3</v>
      </c>
      <c r="O43" s="170" t="e">
        <f>_xll.qlSimpleQuoteSetValue(D43,ROUND(N43,6),EvaluationDate)</f>
        <v>#N/A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USD1MD_SYNTH1Y_Quote#0010</v>
      </c>
      <c r="E44" s="199" t="str">
        <f>_xll.ohRangeRetrieveError(D44)</f>
        <v/>
      </c>
      <c r="F44" s="198"/>
      <c r="H44" s="189"/>
      <c r="I44" s="163" t="s">
        <v>61</v>
      </c>
      <c r="J44" s="218">
        <f>ROUND(Depo_Calculation!$J38,6)</f>
        <v>4.8640000000000003E-3</v>
      </c>
      <c r="K44" s="156"/>
      <c r="L44" s="166">
        <v>4.9399999999999999E-3</v>
      </c>
      <c r="M44" s="140"/>
      <c r="N44" s="169">
        <v>4.9399999999999999E-3</v>
      </c>
      <c r="O44" s="170" t="e">
        <f>_xll.qlSimpleQuoteSetValue(D44,ROUND(N44,6),EvaluationDate)</f>
        <v>#N/A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USD2MD_SYNTH1Y_Quote#0010</v>
      </c>
      <c r="E45" s="199" t="str">
        <f>_xll.ohRangeRetrieveError(D45)</f>
        <v/>
      </c>
      <c r="F45" s="198"/>
      <c r="H45" s="189"/>
      <c r="I45" s="163" t="s">
        <v>76</v>
      </c>
      <c r="J45" s="218">
        <f>ROUND(Depo_Calculation!$J39,6)</f>
        <v>4.8840000000000003E-3</v>
      </c>
      <c r="K45" s="156"/>
      <c r="L45" s="166">
        <v>4.96E-3</v>
      </c>
      <c r="M45" s="140"/>
      <c r="N45" s="169">
        <v>4.96E-3</v>
      </c>
      <c r="O45" s="170" t="e">
        <f>_xll.qlSimpleQuoteSetValue(D45,ROUND(N45,6),EvaluationDate)</f>
        <v>#N/A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USD3MD_SYNTH1Y_Quote#0010</v>
      </c>
      <c r="E46" s="199" t="str">
        <f>_xll.ohRangeRetrieveError(D46)</f>
        <v/>
      </c>
      <c r="F46" s="198"/>
      <c r="H46" s="189"/>
      <c r="I46" s="163" t="s">
        <v>77</v>
      </c>
      <c r="J46" s="218">
        <f>ROUND(Depo_Calculation!$J40,6)</f>
        <v>4.914E-3</v>
      </c>
      <c r="K46" s="156"/>
      <c r="L46" s="166">
        <v>4.9800000000000001E-3</v>
      </c>
      <c r="M46" s="140"/>
      <c r="N46" s="169">
        <v>4.9800000000000001E-3</v>
      </c>
      <c r="O46" s="170" t="e">
        <f>_xll.qlSimpleQuoteSetValue(D46,ROUND(N46,6),EvaluationDate)</f>
        <v>#N/A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USD4MD_SYNTH1Y_Quote#0010</v>
      </c>
      <c r="E47" s="199" t="str">
        <f>_xll.ohRangeRetrieveError(D47)</f>
        <v/>
      </c>
      <c r="F47" s="198"/>
      <c r="H47" s="189"/>
      <c r="I47" s="163" t="s">
        <v>78</v>
      </c>
      <c r="J47" s="218">
        <f>ROUND(Depo_Calculation!$J41,6)</f>
        <v>4.9540000000000001E-3</v>
      </c>
      <c r="K47" s="156"/>
      <c r="L47" s="166">
        <v>5.0099999999999997E-3</v>
      </c>
      <c r="M47" s="140"/>
      <c r="N47" s="169">
        <v>5.0099999999999997E-3</v>
      </c>
      <c r="O47" s="170" t="e">
        <f>_xll.qlSimpleQuoteSetValue(D47,ROUND(N47,6),EvaluationDate)</f>
        <v>#N/A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USD5MD_SYNTH1Y_Quote#0010</v>
      </c>
      <c r="E48" s="199" t="str">
        <f>_xll.ohRangeRetrieveError(D48)</f>
        <v/>
      </c>
      <c r="F48" s="198"/>
      <c r="H48" s="189"/>
      <c r="I48" s="163" t="s">
        <v>79</v>
      </c>
      <c r="J48" s="218">
        <f>ROUND(Depo_Calculation!$J42,6)</f>
        <v>4.9839999999999997E-3</v>
      </c>
      <c r="K48" s="156"/>
      <c r="L48" s="166">
        <v>5.0499999999999998E-3</v>
      </c>
      <c r="M48" s="140"/>
      <c r="N48" s="169">
        <v>5.0499999999999998E-3</v>
      </c>
      <c r="O48" s="170" t="e">
        <f>_xll.qlSimpleQuoteSetValue(D48,ROUND(N48,6),EvaluationDate)</f>
        <v>#N/A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USD6MD_SYNTH1Y_Quote#0010</v>
      </c>
      <c r="E49" s="199" t="str">
        <f>_xll.ohRangeRetrieveError(D49)</f>
        <v/>
      </c>
      <c r="F49" s="198"/>
      <c r="H49" s="189"/>
      <c r="I49" s="163" t="s">
        <v>80</v>
      </c>
      <c r="J49" s="218">
        <f>ROUND(Depo_Calculation!$J43,6)</f>
        <v>5.0340000000000003E-3</v>
      </c>
      <c r="K49" s="156"/>
      <c r="L49" s="166">
        <v>5.0699999999999999E-3</v>
      </c>
      <c r="M49" s="140"/>
      <c r="N49" s="169">
        <v>5.0699999999999999E-3</v>
      </c>
      <c r="O49" s="170" t="e">
        <f>_xll.qlSimpleQuoteSetValue(D49,ROUND(N49,6),EvaluationDate)</f>
        <v>#N/A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USD7MD_SYNTH1Y_Quote#0010</v>
      </c>
      <c r="E50" s="199" t="str">
        <f>_xll.ohRangeRetrieveError(D50)</f>
        <v/>
      </c>
      <c r="F50" s="198"/>
      <c r="H50" s="189"/>
      <c r="I50" s="163" t="s">
        <v>82</v>
      </c>
      <c r="J50" s="218">
        <f>ROUND(Depo_Calculation!$J44,6)</f>
        <v>5.084E-3</v>
      </c>
      <c r="K50" s="156"/>
      <c r="L50" s="166">
        <v>5.11E-3</v>
      </c>
      <c r="M50" s="140"/>
      <c r="N50" s="169">
        <v>5.11E-3</v>
      </c>
      <c r="O50" s="170" t="e">
        <f>_xll.qlSimpleQuoteSetValue(D50,ROUND(N50,6),EvaluationDate)</f>
        <v>#N/A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USD8MD_SYNTH1Y_Quote#0010</v>
      </c>
      <c r="E51" s="199" t="str">
        <f>_xll.ohRangeRetrieveError(D51)</f>
        <v/>
      </c>
      <c r="F51" s="198"/>
      <c r="H51" s="189"/>
      <c r="I51" s="163" t="s">
        <v>83</v>
      </c>
      <c r="J51" s="218">
        <f>ROUND(Depo_Calculation!$J45,6)</f>
        <v>5.1440000000000001E-3</v>
      </c>
      <c r="K51" s="156"/>
      <c r="L51" s="166">
        <v>5.1700000000000001E-3</v>
      </c>
      <c r="M51" s="140"/>
      <c r="N51" s="169">
        <v>5.1700000000000001E-3</v>
      </c>
      <c r="O51" s="170" t="e">
        <f>_xll.qlSimpleQuoteSetValue(D51,ROUND(N51,6),EvaluationDate)</f>
        <v>#N/A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USD9MD_SYNTH1Y_Quote#0010</v>
      </c>
      <c r="E52" s="199" t="str">
        <f>_xll.ohRangeRetrieveError(D52)</f>
        <v/>
      </c>
      <c r="F52" s="198"/>
      <c r="H52" s="189"/>
      <c r="I52" s="163" t="s">
        <v>84</v>
      </c>
      <c r="J52" s="218">
        <f>ROUND(Depo_Calculation!$J46,6)</f>
        <v>5.1939999999999998E-3</v>
      </c>
      <c r="K52" s="156"/>
      <c r="L52" s="166">
        <v>5.2100000000000002E-3</v>
      </c>
      <c r="M52" s="140"/>
      <c r="N52" s="169">
        <v>5.2100000000000002E-3</v>
      </c>
      <c r="O52" s="170" t="e">
        <f>_xll.qlSimpleQuoteSetValue(D52,ROUND(N52,6),EvaluationDate)</f>
        <v>#N/A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USD10MD_SYNTH1Y_Quote#0010</v>
      </c>
      <c r="E53" s="199" t="str">
        <f>_xll.ohRangeRetrieveError(D53)</f>
        <v/>
      </c>
      <c r="F53" s="198"/>
      <c r="H53" s="189"/>
      <c r="I53" s="163" t="s">
        <v>85</v>
      </c>
      <c r="J53" s="218">
        <f>ROUND(Depo_Calculation!$J47,6)</f>
        <v>5.274E-3</v>
      </c>
      <c r="K53" s="156"/>
      <c r="L53" s="166">
        <v>5.2900000000000004E-3</v>
      </c>
      <c r="M53" s="140"/>
      <c r="N53" s="169">
        <v>5.2900000000000004E-3</v>
      </c>
      <c r="O53" s="170" t="e">
        <f>_xll.qlSimpleQuoteSetValue(D53,ROUND(N53,6),EvaluationDate)</f>
        <v>#N/A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USD11MD_SYNTH1Y_Quote#0010</v>
      </c>
      <c r="E54" s="199" t="str">
        <f>_xll.ohRangeRetrieveError(D54)</f>
        <v/>
      </c>
      <c r="F54" s="198"/>
      <c r="H54" s="189"/>
      <c r="I54" s="163" t="s">
        <v>86</v>
      </c>
      <c r="J54" s="218">
        <f>ROUND(Depo_Calculation!$J48,6)</f>
        <v>5.3940000000000004E-3</v>
      </c>
      <c r="K54" s="156"/>
      <c r="L54" s="166">
        <v>5.4000000000000003E-3</v>
      </c>
      <c r="M54" s="140"/>
      <c r="N54" s="169">
        <v>5.4000000000000003E-3</v>
      </c>
      <c r="O54" s="170" t="e">
        <f>_xll.qlSimpleQuoteSetValue(D54,ROUND(N54,6),EvaluationDate)</f>
        <v>#N/A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USD1YD_SYNTH1Y_Quote#0010</v>
      </c>
      <c r="E55" s="208" t="str">
        <f>_xll.ohRangeRetrieveError(D55)</f>
        <v/>
      </c>
      <c r="F55" s="209"/>
      <c r="H55" s="210"/>
      <c r="I55" s="165" t="s">
        <v>87</v>
      </c>
      <c r="J55" s="219">
        <f>ROUND(Depo_Calculation!$J49,6)</f>
        <v>5.5139999999999998E-3</v>
      </c>
      <c r="K55" s="211"/>
      <c r="L55" s="168">
        <v>5.5100000000000001E-3</v>
      </c>
      <c r="M55" s="212"/>
      <c r="N55" s="172">
        <v>5.5100000000000001E-3</v>
      </c>
      <c r="O55" s="170" t="e">
        <f>_xll.qlSimpleQuoteSetValue(D55,ROUND(N55,6),EvaluationDate)</f>
        <v>#N/A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USD7x19F_SYNTH1Y_Quote#0009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 t="e">
        <f>'1Y_FRA_Calculation'!O19</f>
        <v>#VALUE!</v>
      </c>
      <c r="K56" s="305"/>
      <c r="L56" s="166" t="e">
        <v>#VALUE!</v>
      </c>
      <c r="M56" s="306"/>
      <c r="N56" s="169" t="e">
        <v>#VALUE!</v>
      </c>
      <c r="O56" s="317" t="e">
        <f>_xll.qlSimpleQuoteSetValue(D56,ROUND(N56,6),EvaluationDate)</f>
        <v>#NUM!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USD8x20F_SYNTH1Y_Quote#0009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 t="e">
        <f>'1Y_FRA_Calculation'!O20</f>
        <v>#VALUE!</v>
      </c>
      <c r="K57" s="305"/>
      <c r="L57" s="166" t="e">
        <v>#VALUE!</v>
      </c>
      <c r="M57" s="306"/>
      <c r="N57" s="169" t="e">
        <v>#VALUE!</v>
      </c>
      <c r="O57" s="170" t="e">
        <f>_xll.qlSimpleQuoteSetValue(D57,ROUND(N57,6),EvaluationDate)</f>
        <v>#NUM!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USD10x22F_SYNTH1Y_Quote#0009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 t="e">
        <f>'1Y_FRA_Calculation'!O21</f>
        <v>#VALUE!</v>
      </c>
      <c r="K58" s="305"/>
      <c r="L58" s="166" t="e">
        <v>#VALUE!</v>
      </c>
      <c r="M58" s="306"/>
      <c r="N58" s="169" t="e">
        <v>#VALUE!</v>
      </c>
      <c r="O58" s="170" t="e">
        <f>_xll.qlSimpleQuoteSetValue(D58,ROUND(N58,6),EvaluationDate)</f>
        <v>#NUM!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USD11x23F_SYNTH1Y_Quote#0009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 t="e">
        <f>'1Y_FRA_Calculation'!O22</f>
        <v>#VALUE!</v>
      </c>
      <c r="K59" s="305"/>
      <c r="L59" s="166" t="e">
        <v>#VALUE!</v>
      </c>
      <c r="M59" s="306"/>
      <c r="N59" s="169" t="e">
        <v>#VALUE!</v>
      </c>
      <c r="O59" s="170" t="e">
        <f>_xll.qlSimpleQuoteSetValue(D59,ROUND(N59,6),EvaluationDate)</f>
        <v>#NUM!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USD13x25F_SYNTH1Y_Quote#0009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 t="e">
        <f>'1Y_FRA_Calculation'!O23</f>
        <v>#VALUE!</v>
      </c>
      <c r="K60" s="305"/>
      <c r="L60" s="166" t="e">
        <v>#VALUE!</v>
      </c>
      <c r="M60" s="306"/>
      <c r="N60" s="169" t="e">
        <v>#VALUE!</v>
      </c>
      <c r="O60" s="170" t="e">
        <f>_xll.qlSimpleQuoteSetValue(D60,ROUND(N60,6),EvaluationDate)</f>
        <v>#NUM!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USD14x26F_SYNTH1Y_Quote#0009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 t="e">
        <f>'1Y_FRA_Calculation'!O24</f>
        <v>#VALUE!</v>
      </c>
      <c r="K61" s="305"/>
      <c r="L61" s="166" t="e">
        <v>#VALUE!</v>
      </c>
      <c r="M61" s="306"/>
      <c r="N61" s="169" t="e">
        <v>#VALUE!</v>
      </c>
      <c r="O61" s="170" t="e">
        <f>_xll.qlSimpleQuoteSetValue(D61,ROUND(N61,6),EvaluationDate)</f>
        <v>#NUM!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USD15x27F_SYNTH1Y_Quote#0009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 t="e">
        <f>'1Y_FRA_Calculation'!O25</f>
        <v>#VALUE!</v>
      </c>
      <c r="K62" s="305"/>
      <c r="L62" s="166" t="e">
        <v>#VALUE!</v>
      </c>
      <c r="M62" s="306"/>
      <c r="N62" s="169" t="e">
        <v>#VALUE!</v>
      </c>
      <c r="O62" s="170" t="e">
        <f>_xll.qlSimpleQuoteSetValue(D62,ROUND(N62,6),EvaluationDate)</f>
        <v>#NUM!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USD16x28F_SYNTH1Y_Quote#0009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 t="e">
        <f>'1Y_FRA_Calculation'!O26</f>
        <v>#VALUE!</v>
      </c>
      <c r="K63" s="305"/>
      <c r="L63" s="166" t="e">
        <v>#VALUE!</v>
      </c>
      <c r="M63" s="306"/>
      <c r="N63" s="169" t="e">
        <v>#VALUE!</v>
      </c>
      <c r="O63" s="170" t="e">
        <f>_xll.qlSimpleQuoteSetValue(D63,ROUND(N63,6),EvaluationDate)</f>
        <v>#NUM!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USD17x29F_SYNTH1Y_Quote#0009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 t="e">
        <f>'1Y_FRA_Calculation'!O27</f>
        <v>#VALUE!</v>
      </c>
      <c r="K64" s="305"/>
      <c r="L64" s="166" t="e">
        <v>#VALUE!</v>
      </c>
      <c r="M64" s="306"/>
      <c r="N64" s="169" t="e">
        <v>#VALUE!</v>
      </c>
      <c r="O64" s="170" t="e">
        <f>_xll.qlSimpleQuoteSetValue(D64,ROUND(N64,6),EvaluationDate)</f>
        <v>#NUM!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USD18x30F_SYNTH1Y_Quote#0009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 t="e">
        <f>'1Y_FRA_Calculation'!O28</f>
        <v>#VALUE!</v>
      </c>
      <c r="K65" s="305"/>
      <c r="L65" s="166" t="e">
        <v>#VALUE!</v>
      </c>
      <c r="M65" s="306"/>
      <c r="N65" s="169" t="e">
        <v>#VALUE!</v>
      </c>
      <c r="O65" s="170" t="e">
        <f>_xll.qlSimpleQuoteSetValue(D65,ROUND(N65,6),EvaluationDate)</f>
        <v>#NUM!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USD19x31F_SYNTH1Y_Quote#0009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 t="e">
        <f>'1Y_FRA_Calculation'!O29</f>
        <v>#VALUE!</v>
      </c>
      <c r="K66" s="305"/>
      <c r="L66" s="166" t="e">
        <v>#VALUE!</v>
      </c>
      <c r="M66" s="306"/>
      <c r="N66" s="169" t="e">
        <v>#VALUE!</v>
      </c>
      <c r="O66" s="170" t="e">
        <f>_xll.qlSimpleQuoteSetValue(D66,ROUND(N66,6),EvaluationDate)</f>
        <v>#NUM!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USD20x32F_SYNTH1Y_Quote#0009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 t="e">
        <f>'1Y_FRA_Calculation'!O30</f>
        <v>#VALUE!</v>
      </c>
      <c r="K67" s="305"/>
      <c r="L67" s="166" t="e">
        <v>#VALUE!</v>
      </c>
      <c r="M67" s="306"/>
      <c r="N67" s="169" t="e">
        <v>#VALUE!</v>
      </c>
      <c r="O67" s="170" t="e">
        <f>_xll.qlSimpleQuoteSetValue(D67,ROUND(N67,6),EvaluationDate)</f>
        <v>#NUM!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USD21x33F_SYNTH1Y_Quote#0009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 t="e">
        <f>'1Y_FRA_Calculation'!O31</f>
        <v>#VALUE!</v>
      </c>
      <c r="K68" s="305"/>
      <c r="L68" s="166" t="e">
        <v>#VALUE!</v>
      </c>
      <c r="M68" s="306"/>
      <c r="N68" s="169" t="e">
        <v>#VALUE!</v>
      </c>
      <c r="O68" s="170" t="e">
        <f>_xll.qlSimpleQuoteSetValue(D68,ROUND(N68,6),EvaluationDate)</f>
        <v>#NUM!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USD22x34F_SYNTH1Y_Quote#0009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 t="e">
        <f>'1Y_FRA_Calculation'!O32</f>
        <v>#VALUE!</v>
      </c>
      <c r="K69" s="305"/>
      <c r="L69" s="166" t="e">
        <v>#VALUE!</v>
      </c>
      <c r="M69" s="306"/>
      <c r="N69" s="169" t="e">
        <v>#VALUE!</v>
      </c>
      <c r="O69" s="170" t="e">
        <f>_xll.qlSimpleQuoteSetValue(D69,ROUND(N69,6),EvaluationDate)</f>
        <v>#NUM!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USD23x35F_SYNTH1Y_Quote#0009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 t="e">
        <f>'1Y_FRA_Calculation'!O33</f>
        <v>#VALUE!</v>
      </c>
      <c r="K70" s="305"/>
      <c r="L70" s="166" t="e">
        <v>#VALUE!</v>
      </c>
      <c r="M70" s="306"/>
      <c r="N70" s="169" t="e">
        <v>#VALUE!</v>
      </c>
      <c r="O70" s="170" t="e">
        <f>_xll.qlSimpleQuoteSetValue(D70,ROUND(N70,6),EvaluationDate)</f>
        <v>#NUM!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USD25x37F_SYNTH1Y_Quote#0009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 t="e">
        <f>'1Y_FRA_Calculation'!O34</f>
        <v>#VALUE!</v>
      </c>
      <c r="K71" s="305"/>
      <c r="L71" s="166" t="e">
        <v>#VALUE!</v>
      </c>
      <c r="M71" s="306"/>
      <c r="N71" s="169" t="e">
        <v>#VALUE!</v>
      </c>
      <c r="O71" s="170" t="e">
        <f>_xll.qlSimpleQuoteSetValue(D71,ROUND(N71,6),EvaluationDate)</f>
        <v>#NUM!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USD26x38F_SYNTH1Y_Quote#0009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 t="e">
        <f>'1Y_FRA_Calculation'!O35</f>
        <v>#VALUE!</v>
      </c>
      <c r="K72" s="305"/>
      <c r="L72" s="166" t="e">
        <v>#VALUE!</v>
      </c>
      <c r="M72" s="306"/>
      <c r="N72" s="169" t="e">
        <v>#VALUE!</v>
      </c>
      <c r="O72" s="170" t="e">
        <f>_xll.qlSimpleQuoteSetValue(D72,ROUND(N72,6),EvaluationDate)</f>
        <v>#NUM!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USD27x39F_SYNTH1Y_Quote#0009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 t="e">
        <f>'1Y_FRA_Calculation'!O36</f>
        <v>#VALUE!</v>
      </c>
      <c r="K73" s="305"/>
      <c r="L73" s="166" t="e">
        <v>#VALUE!</v>
      </c>
      <c r="M73" s="306"/>
      <c r="N73" s="169" t="e">
        <v>#VALUE!</v>
      </c>
      <c r="O73" s="170" t="e">
        <f>_xll.qlSimpleQuoteSetValue(D73,ROUND(N73,6),EvaluationDate)</f>
        <v>#NUM!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USD28x40F_SYNTH1Y_Quote#0009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 t="e">
        <f>'1Y_FRA_Calculation'!O37</f>
        <v>#VALUE!</v>
      </c>
      <c r="K74" s="305"/>
      <c r="L74" s="166" t="e">
        <v>#VALUE!</v>
      </c>
      <c r="M74" s="306"/>
      <c r="N74" s="169" t="e">
        <v>#VALUE!</v>
      </c>
      <c r="O74" s="170" t="e">
        <f>_xll.qlSimpleQuoteSetValue(D74,ROUND(N74,6),EvaluationDate)</f>
        <v>#NUM!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USD29x41F_SYNTH1Y_Quote#0009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 t="e">
        <f>'1Y_FRA_Calculation'!O38</f>
        <v>#VALUE!</v>
      </c>
      <c r="K75" s="305"/>
      <c r="L75" s="166" t="e">
        <v>#VALUE!</v>
      </c>
      <c r="M75" s="306"/>
      <c r="N75" s="169" t="e">
        <v>#VALUE!</v>
      </c>
      <c r="O75" s="170" t="e">
        <f>_xll.qlSimpleQuoteSetValue(D75,ROUND(N75,6),EvaluationDate)</f>
        <v>#NUM!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USD30x42F_SYNTH1Y_Quote#0009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 t="e">
        <f>'1Y_FRA_Calculation'!O39</f>
        <v>#VALUE!</v>
      </c>
      <c r="K76" s="305"/>
      <c r="L76" s="166" t="e">
        <v>#VALUE!</v>
      </c>
      <c r="M76" s="306"/>
      <c r="N76" s="169" t="e">
        <v>#VALUE!</v>
      </c>
      <c r="O76" s="170" t="e">
        <f>_xll.qlSimpleQuoteSetValue(D76,ROUND(N76,6),EvaluationDate)</f>
        <v>#NUM!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USD31x43F_SYNTH1Y_Quote#0009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 t="e">
        <f>'1Y_FRA_Calculation'!O40</f>
        <v>#VALUE!</v>
      </c>
      <c r="K77" s="305"/>
      <c r="L77" s="166" t="e">
        <v>#VALUE!</v>
      </c>
      <c r="M77" s="306"/>
      <c r="N77" s="169" t="e">
        <v>#VALUE!</v>
      </c>
      <c r="O77" s="170" t="e">
        <f>_xll.qlSimpleQuoteSetValue(D77,ROUND(N77,6),EvaluationDate)</f>
        <v>#NUM!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USD32x44F_SYNTH1Y_Quote#0009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 t="e">
        <f>'1Y_FRA_Calculation'!O41</f>
        <v>#VALUE!</v>
      </c>
      <c r="K78" s="305"/>
      <c r="L78" s="166" t="e">
        <v>#VALUE!</v>
      </c>
      <c r="M78" s="306"/>
      <c r="N78" s="169" t="e">
        <v>#VALUE!</v>
      </c>
      <c r="O78" s="170" t="e">
        <f>_xll.qlSimpleQuoteSetValue(D78,ROUND(N78,6),EvaluationDate)</f>
        <v>#NUM!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USD33x45F_SYNTH1Y_Quote#0009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 t="e">
        <f>'1Y_FRA_Calculation'!O42</f>
        <v>#VALUE!</v>
      </c>
      <c r="K79" s="305"/>
      <c r="L79" s="166" t="e">
        <v>#VALUE!</v>
      </c>
      <c r="M79" s="306"/>
      <c r="N79" s="169" t="e">
        <v>#VALUE!</v>
      </c>
      <c r="O79" s="170" t="e">
        <f>_xll.qlSimpleQuoteSetValue(D79,ROUND(N79,6),EvaluationDate)</f>
        <v>#NUM!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USD34x46F_SYNTH1Y_Quote#0009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 t="e">
        <f>'1Y_FRA_Calculation'!O43</f>
        <v>#VALUE!</v>
      </c>
      <c r="K80" s="305"/>
      <c r="L80" s="166" t="e">
        <v>#VALUE!</v>
      </c>
      <c r="M80" s="306"/>
      <c r="N80" s="169" t="e">
        <v>#VALUE!</v>
      </c>
      <c r="O80" s="170" t="e">
        <f>_xll.qlSimpleQuoteSetValue(D80,ROUND(N80,6),EvaluationDate)</f>
        <v>#NUM!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USD35x47F_SYNTH1Y_Quote#0009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 t="e">
        <f>'1Y_FRA_Calculation'!O44</f>
        <v>#VALUE!</v>
      </c>
      <c r="K81" s="305"/>
      <c r="L81" s="166" t="e">
        <v>#VALUE!</v>
      </c>
      <c r="M81" s="306"/>
      <c r="N81" s="169" t="e">
        <v>#VALUE!</v>
      </c>
      <c r="O81" s="170" t="e">
        <f>_xll.qlSimpleQuoteSetValue(D81,ROUND(N81,6),EvaluationDate)</f>
        <v>#NUM!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USD37x49F_SYNTH1Y_Quote#0009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 t="e">
        <f>'1Y_FRA_Calculation'!O45</f>
        <v>#VALUE!</v>
      </c>
      <c r="K82" s="305"/>
      <c r="L82" s="166" t="e">
        <v>#VALUE!</v>
      </c>
      <c r="M82" s="306"/>
      <c r="N82" s="169" t="e">
        <v>#VALUE!</v>
      </c>
      <c r="O82" s="170" t="e">
        <f>_xll.qlSimpleQuoteSetValue(D82,ROUND(N82,6),EvaluationDate)</f>
        <v>#NUM!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USD38x50F_SYNTH1Y_Quote#0009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 t="e">
        <f>'1Y_FRA_Calculation'!O46</f>
        <v>#VALUE!</v>
      </c>
      <c r="K83" s="305"/>
      <c r="L83" s="166" t="e">
        <v>#VALUE!</v>
      </c>
      <c r="M83" s="306"/>
      <c r="N83" s="169" t="e">
        <v>#VALUE!</v>
      </c>
      <c r="O83" s="170" t="e">
        <f>_xll.qlSimpleQuoteSetValue(D83,ROUND(N83,6),EvaluationDate)</f>
        <v>#NUM!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USD39x51F_SYNTH1Y_Quote#0009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 t="e">
        <f>'1Y_FRA_Calculation'!O47</f>
        <v>#VALUE!</v>
      </c>
      <c r="K84" s="305"/>
      <c r="L84" s="166" t="e">
        <v>#VALUE!</v>
      </c>
      <c r="M84" s="306"/>
      <c r="N84" s="169" t="e">
        <v>#VALUE!</v>
      </c>
      <c r="O84" s="170" t="e">
        <f>_xll.qlSimpleQuoteSetValue(D84,ROUND(N84,6),EvaluationDate)</f>
        <v>#NUM!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USD40x52F_SYNTH1Y_Quote#0009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 t="e">
        <f>'1Y_FRA_Calculation'!O48</f>
        <v>#VALUE!</v>
      </c>
      <c r="K85" s="305"/>
      <c r="L85" s="166" t="e">
        <v>#VALUE!</v>
      </c>
      <c r="M85" s="306"/>
      <c r="N85" s="169" t="e">
        <v>#VALUE!</v>
      </c>
      <c r="O85" s="170" t="e">
        <f>_xll.qlSimpleQuoteSetValue(D85,ROUND(N85,6),EvaluationDate)</f>
        <v>#NUM!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USD41x53F_SYNTH1Y_Quote#0009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 t="e">
        <f>'1Y_FRA_Calculation'!O49</f>
        <v>#VALUE!</v>
      </c>
      <c r="K86" s="305"/>
      <c r="L86" s="166" t="e">
        <v>#VALUE!</v>
      </c>
      <c r="M86" s="306"/>
      <c r="N86" s="169" t="e">
        <v>#VALUE!</v>
      </c>
      <c r="O86" s="170" t="e">
        <f>_xll.qlSimpleQuoteSetValue(D86,ROUND(N86,6),EvaluationDate)</f>
        <v>#NUM!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USD42x54F_SYNTH1Y_Quote#0009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 t="e">
        <f>'1Y_FRA_Calculation'!O50</f>
        <v>#VALUE!</v>
      </c>
      <c r="K87" s="305"/>
      <c r="L87" s="166" t="e">
        <v>#VALUE!</v>
      </c>
      <c r="M87" s="306"/>
      <c r="N87" s="169" t="e">
        <v>#VALUE!</v>
      </c>
      <c r="O87" s="170" t="e">
        <f>_xll.qlSimpleQuoteSetValue(D87,ROUND(N87,6),EvaluationDate)</f>
        <v>#NUM!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USD43x55F_SYNTH1Y_Quote#0009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 t="e">
        <f>'1Y_FRA_Calculation'!O51</f>
        <v>#VALUE!</v>
      </c>
      <c r="K88" s="305"/>
      <c r="L88" s="166" t="e">
        <v>#VALUE!</v>
      </c>
      <c r="M88" s="306"/>
      <c r="N88" s="169" t="e">
        <v>#VALUE!</v>
      </c>
      <c r="O88" s="170" t="e">
        <f>_xll.qlSimpleQuoteSetValue(D88,ROUND(N88,6),EvaluationDate)</f>
        <v>#NUM!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USD44x56F_SYNTH1Y_Quote#0009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 t="e">
        <f>'1Y_FRA_Calculation'!O52</f>
        <v>#VALUE!</v>
      </c>
      <c r="K89" s="305"/>
      <c r="L89" s="166" t="e">
        <v>#VALUE!</v>
      </c>
      <c r="M89" s="306"/>
      <c r="N89" s="169" t="e">
        <v>#VALUE!</v>
      </c>
      <c r="O89" s="170" t="e">
        <f>_xll.qlSimpleQuoteSetValue(D89,ROUND(N89,6),EvaluationDate)</f>
        <v>#NUM!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USD45x57F_SYNTH1Y_Quote#0009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 t="e">
        <f>'1Y_FRA_Calculation'!O53</f>
        <v>#VALUE!</v>
      </c>
      <c r="K90" s="305"/>
      <c r="L90" s="166" t="e">
        <v>#VALUE!</v>
      </c>
      <c r="M90" s="306"/>
      <c r="N90" s="169" t="e">
        <v>#VALUE!</v>
      </c>
      <c r="O90" s="170" t="e">
        <f>_xll.qlSimpleQuoteSetValue(D90,ROUND(N90,6),EvaluationDate)</f>
        <v>#NUM!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USD46x58F_SYNTH1Y_Quote#0009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 t="e">
        <f>'1Y_FRA_Calculation'!O54</f>
        <v>#VALUE!</v>
      </c>
      <c r="K91" s="305"/>
      <c r="L91" s="166" t="e">
        <v>#VALUE!</v>
      </c>
      <c r="M91" s="306"/>
      <c r="N91" s="169" t="e">
        <v>#VALUE!</v>
      </c>
      <c r="O91" s="170" t="e">
        <f>_xll.qlSimpleQuoteSetValue(D91,ROUND(N91,6),EvaluationDate)</f>
        <v>#NUM!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USD47x59F_SYNTH1Y_Quote#0009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 t="e">
        <f>'1Y_FRA_Calculation'!O55</f>
        <v>#VALUE!</v>
      </c>
      <c r="K92" s="305"/>
      <c r="L92" s="166" t="e">
        <v>#VALUE!</v>
      </c>
      <c r="M92" s="306"/>
      <c r="N92" s="169" t="e">
        <v>#VALUE!</v>
      </c>
      <c r="O92" s="170" t="e">
        <f>_xll.qlSimpleQuoteSetValue(D92,ROUND(N92,6),EvaluationDate)</f>
        <v>#NUM!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USDAM3L1Y_S6L3L_Quote#0011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USDAM3L2Y_S6L3L_Quote#0011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USDAM3L3Y_S6L3L_Quote#0011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USDAM3L4Y_S6L3L_Quote#0011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USDAM3L5Y_S6L3L_Quote#0011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USDAM3L6Y_S6L3L_Quote#0011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USDAM3L7Y_S6L3L_Quote#0011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USDAM3L8Y_S6L3L_Quote#0011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USDAM3L9Y_S6L3L_Quote#0011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USDAM3L10Y_S6L3L_Quote#0011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USDAM3L11Y_S6L3L_Quote#0011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USDAM3L12Y_S6L3L_Quote#0011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USDAM3L13Y_S6L3L_Quote#0011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USDAM3L14Y_S6L3L_Quote#0011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USDAM3L15Y_S6L3L_Quote#0011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USDAM3L16Y_S6L3L_Quote#0011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USDAM3L17Y_S6L3L_Quote#0011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USDAM3L18Y_S6L3L_Quote#0011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USDAM3L19Y_S6L3L_Quote#0011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USDAM3L20Y_S6L3L_Quote#0011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USDAM3L21Y_S6L3L_Quote#0011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USDAM3L22Y_S6L3L_Quote#0011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USDAM3L23Y_S6L3L_Quote#0011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USDAM3L24Y_S6L3L_Quote#0011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USDAM3L25Y_S6L3L_Quote#0011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USDAM3L26Y_S6L3L_Quote#0011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USDAM3L27Y_S6L3L_Quote#0011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USDAM3L28Y_S6L3L_Quote#0011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USDAM3L29Y_S6L3L_Quote#0011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USDAM3L30Y_S6L3L_Quote#0011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USDAM3L35Y_S6L3L_Quote#0011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USDAM3L40Y_S6L3L_Quote#0011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USDAM3L50Y_S6L3L_Quote#0011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USDAM3L60Y_S6L3L_Quote#0011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USDAM3L1Y_S12L3L_Quote#0011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USDAM3L2Y_S12L3L_Quote#0011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USDAM3L3Y_S12L3L_Quote#0011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USDAM3L4Y_S12L3L_Quote#0011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USDAM3L5Y_S12L3L_Quote#0011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USDAM3L6Y_S12L3L_Quote#0011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USDAM3L7Y_S12L3L_Quote#0011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USDAM3L8Y_S12L3L_Quote#0011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USDAM3L9Y_S12L3L_Quote#0011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USDAM3L10Y_S12L3L_Quote#0011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USDAM3L11Y_S12L3L_Quote#0011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USDAM3L12Y_S12L3L_Quote#0011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USDAM3L13Y_S12L3L_Quote#0011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USDAM3L14Y_S12L3L_Quote#0011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USDAM3L15Y_S12L3L_Quote#0011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USDAM3L16Y_S12L3L_Quote#0011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USDAM3L17Y_S12L3L_Quote#0011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USDAM3L18Y_S12L3L_Quote#0011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USDAM3L19Y_S12L3L_Quote#0011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USDAM3L20Y_S12L3L_Quote#0011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USDAM3L21Y_S12L3L_Quote#0011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USDAM3L22Y_S12L3L_Quote#0011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USDAM3L23Y_S12L3L_Quote#0011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USDAM3L24Y_S12L3L_Quote#0011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USDAM3L25Y_S12L3L_Quote#0011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USDAM3L26Y_S12L3L_Quote#0011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USDAM3L27Y_S12L3L_Quote#0011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USDAM3L28Y_S12L3L_Quote#0011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USDAM3L29Y_S12L3L_Quote#0011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USDAM3L30Y_S12L3L_Quote#0011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USDAM3L35Y_S12L3L_Quote#0011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USDAM3L40Y_S12L3L_Quote#0011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USDAM3L50Y_S12L3L_Quote#0011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USDAM3L60Y_S12L3L_Quote#0011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54</vt:i4>
      </vt:variant>
    </vt:vector>
  </HeadingPairs>
  <TitlesOfParts>
    <vt:vector size="62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HolidayCheck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2014-07-09T10:53:45Z</dcterms:modified>
</cp:coreProperties>
</file>