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45" yWindow="-15" windowWidth="3870" windowHeight="1200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  <externalReference r:id="rId8"/>
  </externalReferences>
  <definedNames>
    <definedName name="_xlnm._FilterDatabase" localSheetId="1" hidden="1">Contribution!$F$5:$AJ$5</definedName>
    <definedName name="AllTriggers">'General Settings'!$D$6:$D$7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Settings'!$D$20</definedName>
    <definedName name="Contribute">Contribution!$D$2</definedName>
    <definedName name="Currency">'General Settings'!$D$12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Settings'!$D$13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Pricing'!$O$26</definedName>
    <definedName name="FixedLegBDC" localSheetId="5">'6M Pricing'!$O$26</definedName>
    <definedName name="FixedLegBDC" localSheetId="2">'ON Pricing'!$O$9</definedName>
    <definedName name="FixedLegBDC">'3M Pricing'!$O$26</definedName>
    <definedName name="FixedLegDayCounter" localSheetId="3">'1M Pricing'!$P$26</definedName>
    <definedName name="FixedLegDayCounter" localSheetId="4">'3M Pricing'!$P$26</definedName>
    <definedName name="FixedLegDayCounter" localSheetId="5">'6M Pricing'!$P$26</definedName>
    <definedName name="FixedLegDayCounter" localSheetId="2">'ON Pricing'!$P$9</definedName>
    <definedName name="FixedLegTenor" localSheetId="3">'1M Pricing'!$N$26</definedName>
    <definedName name="FixedLegTenor" localSheetId="4">'3M Pricing'!$N$26</definedName>
    <definedName name="FixedLegTenor" localSheetId="5">'6M Pricing'!$N$26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Settings'!$D$14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Settings'!$D$22</definedName>
    <definedName name="LiborCalendar">'General Settings'!$D$18</definedName>
    <definedName name="LocalCalendar">'General Settings'!$D$17</definedName>
    <definedName name="MainTenor">'General Settings'!$D$15</definedName>
    <definedName name="OvernightIndex" localSheetId="2">'ON Pricing'!$L$6</definedName>
    <definedName name="SettlementDate">'General Settings'!$D$21</definedName>
    <definedName name="SettlementDays">'General Settings'!$D$16</definedName>
    <definedName name="SourceAlias">Contribution!$E$2</definedName>
    <definedName name="SyntheticQuotesTrigger">'General Settings'!$D$7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B19" i="7" l="1" a="1"/>
  <c r="B19" i="7" l="1"/>
  <c r="B20" i="7"/>
  <c r="B21" i="7"/>
  <c r="B22" i="7"/>
  <c r="B23" i="7"/>
  <c r="B24" i="7"/>
  <c r="B25" i="7"/>
  <c r="G24" i="7" l="1"/>
  <c r="H35" i="7" l="1"/>
  <c r="H36" i="7"/>
  <c r="H37" i="7"/>
  <c r="H38" i="7"/>
  <c r="G35" i="7"/>
  <c r="G36" i="7"/>
  <c r="G37" i="7"/>
  <c r="G38" i="7"/>
  <c r="F35" i="7"/>
  <c r="F36" i="7"/>
  <c r="F37" i="7"/>
  <c r="F38" i="7"/>
  <c r="S35" i="7"/>
  <c r="S36" i="7"/>
  <c r="S37" i="7"/>
  <c r="S38" i="7"/>
  <c r="P35" i="7"/>
  <c r="P36" i="7"/>
  <c r="P37" i="7"/>
  <c r="P38" i="7"/>
  <c r="M35" i="7"/>
  <c r="M36" i="7"/>
  <c r="M37" i="7"/>
  <c r="M38" i="7"/>
  <c r="J44" i="7" l="1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18" i="7"/>
  <c r="J17" i="7"/>
  <c r="J16" i="7"/>
  <c r="J15" i="7"/>
  <c r="J14" i="7"/>
  <c r="J13" i="7"/>
  <c r="J12" i="7"/>
  <c r="J9" i="7"/>
  <c r="J8" i="7"/>
  <c r="J7" i="7"/>
  <c r="J6" i="7"/>
  <c r="L16" i="12"/>
  <c r="L14" i="12"/>
  <c r="L36" i="12"/>
  <c r="L42" i="12"/>
  <c r="L9" i="12"/>
  <c r="F9" i="12" s="1"/>
  <c r="L30" i="12"/>
  <c r="L44" i="12"/>
  <c r="D24" i="7"/>
  <c r="G44" i="12"/>
  <c r="L15" i="12"/>
  <c r="F15" i="12" s="1"/>
  <c r="L11" i="12"/>
  <c r="F11" i="12"/>
  <c r="F16" i="12"/>
  <c r="G42" i="12"/>
  <c r="L43" i="12"/>
  <c r="L35" i="12"/>
  <c r="L34" i="12"/>
  <c r="L12" i="12"/>
  <c r="L32" i="12"/>
  <c r="G12" i="12"/>
  <c r="F42" i="12"/>
  <c r="L39" i="12"/>
  <c r="F39" i="12" s="1"/>
  <c r="L18" i="12"/>
  <c r="F18" i="12" s="1"/>
  <c r="L33" i="12"/>
  <c r="G33" i="12" s="1"/>
  <c r="F14" i="12"/>
  <c r="L17" i="12"/>
  <c r="F17" i="12" s="1"/>
  <c r="L13" i="12"/>
  <c r="F36" i="12"/>
  <c r="F13" i="12"/>
  <c r="L31" i="12"/>
  <c r="G31" i="12" s="1"/>
  <c r="L41" i="12"/>
  <c r="L40" i="12"/>
  <c r="G30" i="12"/>
  <c r="G13" i="12"/>
  <c r="L38" i="12"/>
  <c r="F38" i="12" s="1"/>
  <c r="L37" i="12"/>
  <c r="L10" i="12"/>
  <c r="G43" i="12"/>
  <c r="G32" i="12"/>
  <c r="F30" i="12"/>
  <c r="F33" i="12"/>
  <c r="G39" i="12"/>
  <c r="G9" i="12"/>
  <c r="G36" i="12"/>
  <c r="F43" i="12"/>
  <c r="L29" i="12"/>
  <c r="G15" i="12"/>
  <c r="F35" i="12"/>
  <c r="G35" i="12"/>
  <c r="G34" i="12"/>
  <c r="F34" i="12"/>
  <c r="G41" i="12"/>
  <c r="F41" i="12"/>
  <c r="G40" i="12"/>
  <c r="G37" i="12"/>
  <c r="F37" i="12"/>
  <c r="F10" i="12"/>
  <c r="G10" i="12"/>
  <c r="F29" i="12"/>
  <c r="G29" i="12"/>
  <c r="C24" i="10" l="1"/>
  <c r="P24" i="7"/>
  <c r="I24" i="10" s="1"/>
  <c r="I8" i="12"/>
  <c r="I7" i="12"/>
  <c r="S8" i="7"/>
  <c r="I8" i="11" s="1"/>
  <c r="S7" i="7"/>
  <c r="I7" i="11" s="1"/>
  <c r="P8" i="7"/>
  <c r="I8" i="10" s="1"/>
  <c r="P7" i="7"/>
  <c r="I7" i="10" s="1"/>
  <c r="M8" i="7"/>
  <c r="I8" i="14" s="1"/>
  <c r="M7" i="7"/>
  <c r="I7" i="14" s="1"/>
  <c r="F40" i="12"/>
  <c r="G17" i="12"/>
  <c r="F31" i="12"/>
  <c r="F12" i="12"/>
  <c r="D23" i="7"/>
  <c r="D25" i="7"/>
  <c r="G11" i="12"/>
  <c r="F32" i="12"/>
  <c r="D22" i="7"/>
  <c r="F44" i="12"/>
  <c r="D19" i="7"/>
  <c r="D21" i="7"/>
  <c r="G14" i="12"/>
  <c r="G38" i="12"/>
  <c r="G18" i="12"/>
  <c r="G16" i="12"/>
  <c r="F24" i="10"/>
  <c r="D20" i="7"/>
  <c r="E24" i="10"/>
  <c r="G24" i="10"/>
  <c r="J24" i="10" l="1"/>
  <c r="S44" i="7"/>
  <c r="S43" i="7"/>
  <c r="S42" i="7"/>
  <c r="S41" i="7"/>
  <c r="S40" i="7"/>
  <c r="S39" i="7"/>
  <c r="S34" i="7"/>
  <c r="S33" i="7"/>
  <c r="S32" i="7"/>
  <c r="S31" i="7"/>
  <c r="S29" i="7"/>
  <c r="S17" i="7"/>
  <c r="S16" i="7"/>
  <c r="S15" i="7"/>
  <c r="S14" i="7"/>
  <c r="S13" i="7"/>
  <c r="S12" i="7"/>
  <c r="S11" i="7"/>
  <c r="S10" i="7"/>
  <c r="S9" i="7"/>
  <c r="S6" i="7"/>
  <c r="I6" i="11" s="1"/>
  <c r="P41" i="7"/>
  <c r="P44" i="7"/>
  <c r="P43" i="7"/>
  <c r="P42" i="7"/>
  <c r="P40" i="7"/>
  <c r="P39" i="7"/>
  <c r="P34" i="7"/>
  <c r="P33" i="7"/>
  <c r="P32" i="7"/>
  <c r="P31" i="7"/>
  <c r="P29" i="7"/>
  <c r="P14" i="7"/>
  <c r="I14" i="10" s="1"/>
  <c r="P13" i="7"/>
  <c r="I13" i="10" s="1"/>
  <c r="P12" i="7"/>
  <c r="I12" i="10" s="1"/>
  <c r="P11" i="7"/>
  <c r="I11" i="10" s="1"/>
  <c r="P10" i="7"/>
  <c r="I10" i="10" s="1"/>
  <c r="P9" i="7"/>
  <c r="I9" i="10" s="1"/>
  <c r="P6" i="7"/>
  <c r="I6" i="10" s="1"/>
  <c r="M44" i="7"/>
  <c r="I44" i="14" s="1"/>
  <c r="M43" i="7"/>
  <c r="I43" i="14" s="1"/>
  <c r="M42" i="7"/>
  <c r="I42" i="14" s="1"/>
  <c r="M41" i="7"/>
  <c r="I41" i="14" s="1"/>
  <c r="M40" i="7"/>
  <c r="I40" i="14" s="1"/>
  <c r="M39" i="7"/>
  <c r="I39" i="14" s="1"/>
  <c r="I36" i="14"/>
  <c r="M34" i="7"/>
  <c r="I34" i="14" s="1"/>
  <c r="M33" i="7"/>
  <c r="I33" i="14" s="1"/>
  <c r="M32" i="7"/>
  <c r="I32" i="14" s="1"/>
  <c r="M31" i="7"/>
  <c r="I31" i="14" s="1"/>
  <c r="M29" i="7"/>
  <c r="I29" i="14" s="1"/>
  <c r="M28" i="7"/>
  <c r="I28" i="14" s="1"/>
  <c r="M27" i="7"/>
  <c r="I27" i="14" s="1"/>
  <c r="M26" i="7"/>
  <c r="I26" i="14" s="1"/>
  <c r="M12" i="7"/>
  <c r="I12" i="14" s="1"/>
  <c r="M11" i="7"/>
  <c r="I11" i="14" s="1"/>
  <c r="M10" i="7"/>
  <c r="I10" i="14" s="1"/>
  <c r="M9" i="7"/>
  <c r="I9" i="14" s="1"/>
  <c r="M6" i="7"/>
  <c r="I6" i="14" s="1"/>
  <c r="E3" i="14" l="1"/>
  <c r="P22" i="7" l="1"/>
  <c r="P25" i="7"/>
  <c r="P23" i="7"/>
  <c r="P19" i="7"/>
  <c r="P21" i="7"/>
  <c r="P20" i="7"/>
  <c r="C25" i="10"/>
  <c r="C23" i="10"/>
  <c r="C22" i="10"/>
  <c r="C21" i="10"/>
  <c r="C20" i="10"/>
  <c r="C19" i="10"/>
  <c r="F22" i="10"/>
  <c r="F23" i="10"/>
  <c r="F21" i="10"/>
  <c r="F19" i="10"/>
  <c r="F20" i="10"/>
  <c r="F25" i="10"/>
  <c r="J32" i="10" l="1"/>
  <c r="J31" i="10"/>
  <c r="J29" i="10"/>
  <c r="J44" i="11"/>
  <c r="J43" i="11"/>
  <c r="J42" i="11"/>
  <c r="J41" i="11"/>
  <c r="J40" i="11"/>
  <c r="J39" i="11"/>
  <c r="J38" i="11"/>
  <c r="J37" i="11"/>
  <c r="J36" i="11"/>
  <c r="J35" i="11"/>
  <c r="J34" i="11"/>
  <c r="J33" i="11"/>
  <c r="D13" i="2"/>
  <c r="D14" i="2" l="1"/>
  <c r="L3" i="11" l="1"/>
  <c r="L3" i="10"/>
  <c r="L3" i="14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18" i="12"/>
  <c r="J17" i="12"/>
  <c r="J16" i="12"/>
  <c r="J15" i="12"/>
  <c r="J14" i="12"/>
  <c r="J13" i="12"/>
  <c r="J12" i="12"/>
  <c r="J9" i="12"/>
  <c r="I18" i="12" l="1"/>
  <c r="J19" i="10" l="1"/>
  <c r="J25" i="10"/>
  <c r="J22" i="10"/>
  <c r="J21" i="10"/>
  <c r="J23" i="10"/>
  <c r="J20" i="10"/>
  <c r="I44" i="12" l="1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17" i="12"/>
  <c r="I16" i="12"/>
  <c r="I15" i="12"/>
  <c r="I14" i="12"/>
  <c r="I13" i="12"/>
  <c r="I12" i="12"/>
  <c r="I9" i="12"/>
  <c r="I6" i="12"/>
  <c r="I44" i="10"/>
  <c r="I43" i="10"/>
  <c r="I42" i="10"/>
  <c r="I41" i="10"/>
  <c r="I40" i="10"/>
  <c r="I39" i="10"/>
  <c r="I36" i="10"/>
  <c r="I34" i="10"/>
  <c r="I33" i="10"/>
  <c r="I32" i="10"/>
  <c r="I31" i="10"/>
  <c r="I29" i="10"/>
  <c r="I25" i="10"/>
  <c r="I23" i="10"/>
  <c r="I22" i="10"/>
  <c r="I21" i="10"/>
  <c r="I20" i="10"/>
  <c r="I19" i="10"/>
  <c r="I16" i="11" l="1"/>
  <c r="I17" i="11"/>
  <c r="I40" i="11"/>
  <c r="I10" i="11"/>
  <c r="I41" i="11"/>
  <c r="I11" i="11"/>
  <c r="I42" i="11"/>
  <c r="I32" i="11"/>
  <c r="I39" i="11"/>
  <c r="I9" i="11"/>
  <c r="I29" i="11"/>
  <c r="I31" i="11"/>
  <c r="I12" i="11"/>
  <c r="I43" i="11"/>
  <c r="I13" i="11"/>
  <c r="I33" i="11"/>
  <c r="I44" i="11"/>
  <c r="I14" i="11"/>
  <c r="I34" i="11"/>
  <c r="I15" i="11"/>
  <c r="I36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3" i="14"/>
  <c r="E35" i="14"/>
  <c r="E27" i="14"/>
  <c r="E42" i="14"/>
  <c r="E34" i="14"/>
  <c r="E41" i="14"/>
  <c r="E33" i="14"/>
  <c r="E11" i="14"/>
  <c r="E40" i="14"/>
  <c r="E32" i="14"/>
  <c r="E10" i="14"/>
  <c r="E39" i="14"/>
  <c r="E31" i="14"/>
  <c r="E9" i="14"/>
  <c r="E38" i="14"/>
  <c r="E30" i="14"/>
  <c r="E6" i="14"/>
  <c r="F6" i="14" s="1"/>
  <c r="E37" i="14"/>
  <c r="E29" i="14"/>
  <c r="E44" i="14"/>
  <c r="E36" i="14"/>
  <c r="E28" i="14"/>
  <c r="E28" i="11"/>
  <c r="E27" i="11"/>
  <c r="E26" i="11"/>
  <c r="E26" i="10"/>
  <c r="E28" i="10"/>
  <c r="E27" i="10"/>
  <c r="E26" i="14"/>
  <c r="E12" i="14"/>
  <c r="E14" i="11"/>
  <c r="E10" i="11"/>
  <c r="E17" i="11"/>
  <c r="E13" i="11"/>
  <c r="E9" i="11"/>
  <c r="E16" i="11"/>
  <c r="E12" i="11"/>
  <c r="E15" i="11"/>
  <c r="E11" i="11"/>
  <c r="E29" i="11"/>
  <c r="E29" i="10"/>
  <c r="E6" i="12"/>
  <c r="E42" i="10"/>
  <c r="E43" i="10"/>
  <c r="E39" i="11"/>
  <c r="E44" i="10"/>
  <c r="E34" i="11"/>
  <c r="E44" i="11"/>
  <c r="E37" i="10"/>
  <c r="E31" i="10"/>
  <c r="E33" i="10"/>
  <c r="E35" i="11"/>
  <c r="E12" i="10"/>
  <c r="E40" i="11"/>
  <c r="E34" i="10"/>
  <c r="E37" i="11"/>
  <c r="E10" i="10"/>
  <c r="E41" i="10"/>
  <c r="E11" i="10"/>
  <c r="E30" i="10"/>
  <c r="E36" i="10"/>
  <c r="E38" i="10"/>
  <c r="E32" i="11"/>
  <c r="E39" i="10"/>
  <c r="E14" i="10"/>
  <c r="E42" i="11"/>
  <c r="E13" i="10"/>
  <c r="E32" i="10"/>
  <c r="E40" i="10"/>
  <c r="E35" i="10"/>
  <c r="E38" i="11"/>
  <c r="E36" i="11"/>
  <c r="E30" i="11"/>
  <c r="E31" i="11"/>
  <c r="E41" i="11"/>
  <c r="E33" i="11"/>
  <c r="E9" i="10"/>
  <c r="E43" i="11"/>
  <c r="D19" i="2"/>
  <c r="F6" i="12"/>
  <c r="D20" i="2" l="1"/>
  <c r="L28" i="14"/>
  <c r="L31" i="10"/>
  <c r="L11" i="14"/>
  <c r="L43" i="11"/>
  <c r="L15" i="11"/>
  <c r="L28" i="10"/>
  <c r="L12" i="10"/>
  <c r="D21" i="2"/>
  <c r="L27" i="11"/>
  <c r="L29" i="10"/>
  <c r="L10" i="11"/>
  <c r="L30" i="14"/>
  <c r="L16" i="11"/>
  <c r="L26" i="14"/>
  <c r="L37" i="10"/>
  <c r="L34" i="11"/>
  <c r="L9" i="11"/>
  <c r="G6" i="10"/>
  <c r="L32" i="14"/>
  <c r="L8" i="14"/>
  <c r="L9" i="10"/>
  <c r="E23" i="10"/>
  <c r="G6" i="11"/>
  <c r="L33" i="10"/>
  <c r="L38" i="10"/>
  <c r="L40" i="14"/>
  <c r="E21" i="10"/>
  <c r="L29" i="14"/>
  <c r="L44" i="11"/>
  <c r="L40" i="11"/>
  <c r="L27" i="14"/>
  <c r="L39" i="11"/>
  <c r="L34" i="14"/>
  <c r="L41" i="14"/>
  <c r="L9" i="14"/>
  <c r="L33" i="11"/>
  <c r="G22" i="10"/>
  <c r="L13" i="10"/>
  <c r="L26" i="10"/>
  <c r="L14" i="10"/>
  <c r="L10" i="10"/>
  <c r="L32" i="11"/>
  <c r="L32" i="10"/>
  <c r="L34" i="10"/>
  <c r="L28" i="11"/>
  <c r="L12" i="14"/>
  <c r="G23" i="10"/>
  <c r="E19" i="10"/>
  <c r="E20" i="10"/>
  <c r="L43" i="14"/>
  <c r="L41" i="11"/>
  <c r="L44" i="10"/>
  <c r="G25" i="10"/>
  <c r="L26" i="11"/>
  <c r="L31" i="11"/>
  <c r="L30" i="10"/>
  <c r="L37" i="11"/>
  <c r="L43" i="10"/>
  <c r="L10" i="14"/>
  <c r="L44" i="14"/>
  <c r="L33" i="14"/>
  <c r="L31" i="14"/>
  <c r="G21" i="10"/>
  <c r="E25" i="10"/>
  <c r="L36" i="10"/>
  <c r="L13" i="11"/>
  <c r="L27" i="10"/>
  <c r="L30" i="11"/>
  <c r="L37" i="14"/>
  <c r="L42" i="10"/>
  <c r="L36" i="11"/>
  <c r="L12" i="11"/>
  <c r="L17" i="11"/>
  <c r="L35" i="10"/>
  <c r="L8" i="11"/>
  <c r="L40" i="10"/>
  <c r="L39" i="14"/>
  <c r="G20" i="10"/>
  <c r="L8" i="10"/>
  <c r="L39" i="10"/>
  <c r="G19" i="10"/>
  <c r="L14" i="11"/>
  <c r="E22" i="10"/>
  <c r="L38" i="11"/>
  <c r="G6" i="12"/>
  <c r="L38" i="14"/>
  <c r="L35" i="14"/>
  <c r="L42" i="11"/>
  <c r="L11" i="10"/>
  <c r="L29" i="11"/>
  <c r="L42" i="14"/>
  <c r="G6" i="14"/>
  <c r="L35" i="11"/>
  <c r="L36" i="14"/>
  <c r="L11" i="11"/>
  <c r="L41" i="10"/>
  <c r="E7" i="12" l="1"/>
  <c r="E8" i="12"/>
  <c r="B6" i="11"/>
  <c r="F7" i="11"/>
  <c r="B6" i="10"/>
  <c r="F7" i="10"/>
  <c r="B6" i="14"/>
  <c r="F26" i="14"/>
  <c r="F28" i="11"/>
  <c r="F38" i="10"/>
  <c r="F43" i="10"/>
  <c r="F31" i="11"/>
  <c r="F28" i="14"/>
  <c r="F40" i="10"/>
  <c r="F10" i="14"/>
  <c r="F14" i="11"/>
  <c r="F30" i="11"/>
  <c r="F43" i="11"/>
  <c r="F36" i="14"/>
  <c r="F42" i="10"/>
  <c r="F34" i="14"/>
  <c r="F11" i="11"/>
  <c r="F33" i="14"/>
  <c r="F39" i="10"/>
  <c r="F8" i="12"/>
  <c r="F7" i="12"/>
  <c r="F10" i="10"/>
  <c r="F44" i="11"/>
  <c r="F33" i="11"/>
  <c r="F38" i="11"/>
  <c r="F29" i="11"/>
  <c r="F30" i="14"/>
  <c r="F43" i="14"/>
  <c r="F29" i="14"/>
  <c r="F44" i="14"/>
  <c r="F37" i="11"/>
  <c r="F34" i="11"/>
  <c r="F9" i="14"/>
  <c r="F40" i="14"/>
  <c r="F41" i="14"/>
  <c r="F12" i="14"/>
  <c r="F35" i="14"/>
  <c r="F10" i="11"/>
  <c r="F35" i="10"/>
  <c r="F36" i="10"/>
  <c r="F8" i="10"/>
  <c r="F15" i="11"/>
  <c r="F9" i="11"/>
  <c r="F32" i="14"/>
  <c r="F37" i="14"/>
  <c r="F32" i="11"/>
  <c r="F38" i="14"/>
  <c r="F37" i="10"/>
  <c r="F29" i="10"/>
  <c r="F31" i="14"/>
  <c r="F9" i="10"/>
  <c r="F11" i="14"/>
  <c r="F44" i="10"/>
  <c r="F31" i="10"/>
  <c r="F33" i="10"/>
  <c r="F27" i="11"/>
  <c r="F42" i="11"/>
  <c r="F39" i="14"/>
  <c r="F42" i="14"/>
  <c r="F27" i="10"/>
  <c r="F13" i="11"/>
  <c r="F28" i="10"/>
  <c r="F39" i="11"/>
  <c r="F26" i="10"/>
  <c r="F16" i="11"/>
  <c r="F17" i="11"/>
  <c r="F30" i="10"/>
  <c r="F27" i="14"/>
  <c r="F12" i="11"/>
  <c r="G7" i="11"/>
  <c r="F35" i="11"/>
  <c r="F41" i="11"/>
  <c r="F32" i="10"/>
  <c r="F13" i="10"/>
  <c r="F26" i="11"/>
  <c r="F41" i="10"/>
  <c r="F40" i="11"/>
  <c r="F34" i="10"/>
  <c r="F8" i="14"/>
  <c r="F11" i="10"/>
  <c r="G7" i="10"/>
  <c r="F12" i="10"/>
  <c r="F14" i="10"/>
  <c r="F36" i="11"/>
  <c r="F8" i="11"/>
  <c r="B7" i="10" l="1"/>
  <c r="B7" i="11"/>
  <c r="F7" i="14"/>
  <c r="G33" i="11"/>
  <c r="G35" i="11"/>
  <c r="G42" i="10"/>
  <c r="G41" i="10"/>
  <c r="G12" i="14"/>
  <c r="G28" i="10"/>
  <c r="G36" i="10"/>
  <c r="G7" i="14"/>
  <c r="G34" i="10"/>
  <c r="G11" i="10"/>
  <c r="G38" i="10"/>
  <c r="G39" i="10"/>
  <c r="G37" i="11"/>
  <c r="G32" i="11"/>
  <c r="G26" i="11"/>
  <c r="G11" i="11"/>
  <c r="G9" i="14"/>
  <c r="G9" i="11"/>
  <c r="G32" i="14"/>
  <c r="G13" i="11"/>
  <c r="G10" i="14"/>
  <c r="G36" i="14"/>
  <c r="G8" i="14"/>
  <c r="G27" i="11"/>
  <c r="G13" i="10"/>
  <c r="G38" i="14"/>
  <c r="G27" i="14"/>
  <c r="G26" i="10"/>
  <c r="G30" i="14"/>
  <c r="G41" i="11"/>
  <c r="G10" i="11"/>
  <c r="G31" i="11"/>
  <c r="G37" i="14"/>
  <c r="G42" i="11"/>
  <c r="G35" i="10"/>
  <c r="G43" i="11"/>
  <c r="G31" i="10"/>
  <c r="G7" i="12"/>
  <c r="G17" i="11"/>
  <c r="G14" i="10"/>
  <c r="G35" i="14"/>
  <c r="G39" i="11"/>
  <c r="G27" i="10"/>
  <c r="G16" i="11"/>
  <c r="G28" i="11"/>
  <c r="G30" i="10"/>
  <c r="G34" i="11"/>
  <c r="G44" i="11"/>
  <c r="G40" i="11"/>
  <c r="G37" i="10"/>
  <c r="G40" i="14"/>
  <c r="G31" i="14"/>
  <c r="G12" i="11"/>
  <c r="G30" i="11"/>
  <c r="G15" i="11"/>
  <c r="G28" i="14"/>
  <c r="G38" i="11"/>
  <c r="G12" i="10"/>
  <c r="G33" i="10"/>
  <c r="G8" i="11"/>
  <c r="G9" i="10"/>
  <c r="G11" i="14"/>
  <c r="G36" i="11"/>
  <c r="G8" i="12"/>
  <c r="G10" i="10"/>
  <c r="G43" i="14"/>
  <c r="G29" i="14"/>
  <c r="G32" i="10"/>
  <c r="G44" i="10"/>
  <c r="G42" i="14"/>
  <c r="G34" i="14"/>
  <c r="G29" i="11"/>
  <c r="G29" i="10"/>
  <c r="G14" i="11"/>
  <c r="G41" i="14"/>
  <c r="G43" i="10"/>
  <c r="G39" i="14"/>
  <c r="G33" i="14"/>
  <c r="G8" i="10"/>
  <c r="G40" i="10"/>
  <c r="G44" i="14"/>
  <c r="G26" i="14"/>
  <c r="B10" i="11" l="1"/>
  <c r="B10" i="14"/>
  <c r="B9" i="14"/>
  <c r="B9" i="10"/>
  <c r="B13" i="11"/>
  <c r="B8" i="10"/>
  <c r="B12" i="11"/>
  <c r="B11" i="11"/>
  <c r="B12" i="10"/>
  <c r="B10" i="10"/>
  <c r="B15" i="11"/>
  <c r="B8" i="14"/>
  <c r="B14" i="11"/>
  <c r="B16" i="11"/>
  <c r="B9" i="11"/>
  <c r="B11" i="14"/>
  <c r="B11" i="10"/>
  <c r="B13" i="10"/>
  <c r="B8" i="11"/>
  <c r="B17" i="11"/>
  <c r="B12" i="14"/>
  <c r="B14" i="10"/>
  <c r="B7" i="14"/>
  <c r="G29" i="7" l="1"/>
  <c r="E7" i="7"/>
  <c r="F6" i="7"/>
  <c r="F41" i="7"/>
  <c r="H11" i="7"/>
  <c r="G6" i="7"/>
  <c r="G31" i="7"/>
  <c r="E15" i="7"/>
  <c r="E40" i="7"/>
  <c r="G10" i="7"/>
  <c r="G41" i="7"/>
  <c r="G22" i="7"/>
  <c r="F26" i="7"/>
  <c r="E30" i="7"/>
  <c r="G33" i="7"/>
  <c r="G39" i="7"/>
  <c r="E8" i="7"/>
  <c r="F10" i="7"/>
  <c r="E14" i="7"/>
  <c r="H32" i="7"/>
  <c r="F31" i="7"/>
  <c r="G44" i="7"/>
  <c r="G32" i="7"/>
  <c r="E34" i="7"/>
  <c r="G8" i="7"/>
  <c r="H14" i="7"/>
  <c r="G11" i="7"/>
  <c r="H44" i="7"/>
  <c r="F8" i="7"/>
  <c r="H9" i="7"/>
  <c r="E38" i="7"/>
  <c r="E35" i="7"/>
  <c r="H7" i="7"/>
  <c r="F27" i="7"/>
  <c r="F42" i="7"/>
  <c r="F43" i="7"/>
  <c r="G12" i="7"/>
  <c r="G42" i="7"/>
  <c r="E44" i="7"/>
  <c r="H43" i="7"/>
  <c r="H15" i="7"/>
  <c r="E39" i="7"/>
  <c r="E33" i="7"/>
  <c r="G20" i="7"/>
  <c r="F7" i="7"/>
  <c r="F12" i="7"/>
  <c r="G14" i="7"/>
  <c r="H10" i="7"/>
  <c r="G25" i="7"/>
  <c r="F29" i="7"/>
  <c r="E9" i="7"/>
  <c r="G34" i="7"/>
  <c r="H33" i="7"/>
  <c r="F32" i="7"/>
  <c r="E32" i="7"/>
  <c r="H31" i="7"/>
  <c r="E42" i="7"/>
  <c r="F9" i="7"/>
  <c r="H41" i="7"/>
  <c r="E43" i="7"/>
  <c r="G19" i="7"/>
  <c r="F39" i="7"/>
  <c r="G13" i="7"/>
  <c r="E6" i="7"/>
  <c r="G23" i="7"/>
  <c r="G7" i="7"/>
  <c r="F28" i="7"/>
  <c r="F44" i="7"/>
  <c r="F34" i="7"/>
  <c r="H16" i="7"/>
  <c r="H17" i="7"/>
  <c r="G40" i="7"/>
  <c r="E13" i="7"/>
  <c r="E41" i="7"/>
  <c r="H29" i="7"/>
  <c r="H13" i="7"/>
  <c r="E16" i="7"/>
  <c r="G21" i="7"/>
  <c r="F11" i="7"/>
  <c r="E31" i="7"/>
  <c r="G9" i="7"/>
  <c r="G43" i="7"/>
  <c r="F33" i="7"/>
  <c r="H40" i="7"/>
  <c r="E36" i="7"/>
  <c r="H6" i="7"/>
  <c r="H8" i="7"/>
  <c r="E18" i="7"/>
  <c r="E37" i="7"/>
  <c r="E29" i="7"/>
  <c r="E12" i="7"/>
  <c r="H34" i="7"/>
  <c r="E17" i="7"/>
  <c r="F40" i="7"/>
  <c r="H42" i="7"/>
  <c r="H39" i="7"/>
  <c r="H12" i="7"/>
  <c r="D7" i="2" l="1"/>
  <c r="D6" i="2" l="1"/>
  <c r="H30" i="12"/>
  <c r="H15" i="11"/>
  <c r="H40" i="11"/>
  <c r="H34" i="10"/>
  <c r="H15" i="12"/>
  <c r="H18" i="12"/>
  <c r="H12" i="14"/>
  <c r="H34" i="11"/>
  <c r="H37" i="14"/>
  <c r="H29" i="11"/>
  <c r="H10" i="14"/>
  <c r="H14" i="10"/>
  <c r="H35" i="12"/>
  <c r="H21" i="10"/>
  <c r="H19" i="10"/>
  <c r="H8" i="12"/>
  <c r="H33" i="14"/>
  <c r="H29" i="10"/>
  <c r="H10" i="12"/>
  <c r="H31" i="14"/>
  <c r="H42" i="11"/>
  <c r="H6" i="12"/>
  <c r="H37" i="12"/>
  <c r="H42" i="12"/>
  <c r="H34" i="14"/>
  <c r="H42" i="14"/>
  <c r="H11" i="12"/>
  <c r="H44" i="14"/>
  <c r="H44" i="11"/>
  <c r="H41" i="10"/>
  <c r="H35" i="10"/>
  <c r="H12" i="10"/>
  <c r="H17" i="11"/>
  <c r="H9" i="10"/>
  <c r="H38" i="10"/>
  <c r="H8" i="11"/>
  <c r="H33" i="11"/>
  <c r="H38" i="14"/>
  <c r="H40" i="14"/>
  <c r="H39" i="10"/>
  <c r="H11" i="11"/>
  <c r="H32" i="11"/>
  <c r="H28" i="10"/>
  <c r="H7" i="12"/>
  <c r="H36" i="12"/>
  <c r="H11" i="10"/>
  <c r="H27" i="14"/>
  <c r="H26" i="14"/>
  <c r="H31" i="10"/>
  <c r="H29" i="12"/>
  <c r="H14" i="11"/>
  <c r="H35" i="11"/>
  <c r="H25" i="10"/>
  <c r="H14" i="12"/>
  <c r="H8" i="14"/>
  <c r="H43" i="14"/>
  <c r="H13" i="11"/>
  <c r="H40" i="10"/>
  <c r="H9" i="11"/>
  <c r="H36" i="10"/>
  <c r="H40" i="12"/>
  <c r="H32" i="10"/>
  <c r="H17" i="12"/>
  <c r="H29" i="14"/>
  <c r="H35" i="14"/>
  <c r="H31" i="12"/>
  <c r="H43" i="11"/>
  <c r="H8" i="10"/>
  <c r="H39" i="14"/>
  <c r="H41" i="12"/>
  <c r="H39" i="12"/>
  <c r="H11" i="14"/>
  <c r="H27" i="10"/>
  <c r="H31" i="11"/>
  <c r="H34" i="12"/>
  <c r="H9" i="14"/>
  <c r="H30" i="14"/>
  <c r="H20" i="10"/>
  <c r="H10" i="11"/>
  <c r="H33" i="10"/>
  <c r="H9" i="12"/>
  <c r="H44" i="10"/>
  <c r="H12" i="12"/>
  <c r="H22" i="10"/>
  <c r="H32" i="14"/>
  <c r="H37" i="10"/>
  <c r="H38" i="11"/>
  <c r="H12" i="11"/>
  <c r="H37" i="11"/>
  <c r="H41" i="11"/>
  <c r="H43" i="10"/>
  <c r="H32" i="12"/>
  <c r="H30" i="10"/>
  <c r="H24" i="10"/>
  <c r="H39" i="11"/>
  <c r="H16" i="12"/>
  <c r="H44" i="12"/>
  <c r="H16" i="11"/>
  <c r="H13" i="12"/>
  <c r="H10" i="10"/>
  <c r="H33" i="12"/>
  <c r="H28" i="14"/>
  <c r="H23" i="10"/>
  <c r="H26" i="11"/>
  <c r="H43" i="12"/>
  <c r="H13" i="10"/>
  <c r="H30" i="11"/>
  <c r="H36" i="14"/>
  <c r="H28" i="11"/>
  <c r="H27" i="11"/>
  <c r="H26" i="10"/>
  <c r="H41" i="14"/>
  <c r="H42" i="10"/>
  <c r="H36" i="11"/>
  <c r="H38" i="12"/>
  <c r="K38" i="7" l="1"/>
  <c r="T36" i="7"/>
  <c r="Q42" i="7"/>
  <c r="N41" i="7"/>
  <c r="N36" i="7"/>
  <c r="Q13" i="7"/>
  <c r="K43" i="7"/>
  <c r="Q23" i="7"/>
  <c r="N28" i="7"/>
  <c r="K33" i="7"/>
  <c r="Q10" i="7"/>
  <c r="K13" i="7"/>
  <c r="T16" i="7"/>
  <c r="K44" i="7"/>
  <c r="K16" i="7"/>
  <c r="T39" i="7"/>
  <c r="Q24" i="7"/>
  <c r="K32" i="7"/>
  <c r="Q43" i="7"/>
  <c r="T41" i="7"/>
  <c r="T37" i="7"/>
  <c r="T12" i="7"/>
  <c r="T38" i="7"/>
  <c r="Q37" i="7"/>
  <c r="N32" i="7"/>
  <c r="Q22" i="7"/>
  <c r="K12" i="7"/>
  <c r="Q44" i="7"/>
  <c r="K9" i="7"/>
  <c r="Q33" i="7"/>
  <c r="T10" i="7"/>
  <c r="Q20" i="7"/>
  <c r="N9" i="7"/>
  <c r="K34" i="7"/>
  <c r="T31" i="7"/>
  <c r="N11" i="7"/>
  <c r="K39" i="7"/>
  <c r="K41" i="7"/>
  <c r="N39" i="7"/>
  <c r="Q8" i="7"/>
  <c r="T43" i="7"/>
  <c r="K31" i="7"/>
  <c r="N35" i="7"/>
  <c r="N29" i="7"/>
  <c r="K17" i="7"/>
  <c r="Q32" i="7"/>
  <c r="K40" i="7"/>
  <c r="Q36" i="7"/>
  <c r="T9" i="7"/>
  <c r="Q40" i="7"/>
  <c r="T13" i="7"/>
  <c r="N43" i="7"/>
  <c r="N8" i="7"/>
  <c r="K14" i="7"/>
  <c r="Q25" i="7"/>
  <c r="T35" i="7"/>
  <c r="T14" i="7"/>
  <c r="K29" i="7"/>
  <c r="Q31" i="7"/>
  <c r="N26" i="7"/>
  <c r="N27" i="7"/>
  <c r="Q11" i="7"/>
  <c r="K36" i="7"/>
  <c r="K7" i="7"/>
  <c r="T32" i="7"/>
  <c r="T11" i="7"/>
  <c r="Q39" i="7"/>
  <c r="N40" i="7"/>
  <c r="N38" i="7"/>
  <c r="T33" i="7"/>
  <c r="T8" i="7"/>
  <c r="Q38" i="7"/>
  <c r="Q9" i="7"/>
  <c r="T17" i="7"/>
  <c r="Q12" i="7"/>
  <c r="Q35" i="7"/>
  <c r="Q41" i="7"/>
  <c r="T44" i="7"/>
  <c r="N44" i="7"/>
  <c r="N42" i="7"/>
  <c r="N34" i="7"/>
  <c r="K42" i="7"/>
  <c r="K37" i="7"/>
  <c r="K6" i="7"/>
  <c r="T42" i="7"/>
  <c r="N31" i="7"/>
  <c r="Q29" i="7"/>
  <c r="N33" i="7"/>
  <c r="K8" i="7"/>
  <c r="Q19" i="7"/>
  <c r="Q21" i="7"/>
  <c r="K35" i="7"/>
  <c r="Q14" i="7"/>
  <c r="N10" i="7"/>
  <c r="T29" i="7"/>
  <c r="N37" i="7"/>
  <c r="T34" i="7"/>
  <c r="N12" i="7"/>
  <c r="K18" i="7"/>
  <c r="K15" i="7"/>
  <c r="Q34" i="7"/>
  <c r="T40" i="7"/>
  <c r="T15" i="7"/>
  <c r="K30" i="7"/>
  <c r="AA42" i="7"/>
  <c r="AA10" i="7"/>
  <c r="AA43" i="7"/>
  <c r="W12" i="7"/>
  <c r="AC31" i="7"/>
  <c r="Y35" i="7"/>
  <c r="AC13" i="7"/>
  <c r="AA31" i="7"/>
  <c r="AA39" i="7"/>
  <c r="AA12" i="7"/>
  <c r="W37" i="7"/>
  <c r="AA21" i="7"/>
  <c r="W18" i="7"/>
  <c r="Y41" i="7"/>
  <c r="W13" i="7"/>
  <c r="AC41" i="7"/>
  <c r="AA44" i="7"/>
  <c r="Y11" i="7"/>
  <c r="Y29" i="7"/>
  <c r="Y43" i="7"/>
  <c r="Y26" i="7"/>
  <c r="Y40" i="7"/>
  <c r="AA35" i="7"/>
  <c r="W6" i="7"/>
  <c r="W35" i="7"/>
  <c r="W15" i="7"/>
  <c r="Y36" i="7"/>
  <c r="AC16" i="7"/>
  <c r="W9" i="7"/>
  <c r="W39" i="7"/>
  <c r="W17" i="7"/>
  <c r="Y8" i="7"/>
  <c r="Y27" i="7"/>
  <c r="Y38" i="7"/>
  <c r="AA14" i="7"/>
  <c r="AA34" i="7"/>
  <c r="W44" i="7"/>
  <c r="AA33" i="7"/>
  <c r="W14" i="7"/>
  <c r="AC44" i="7"/>
  <c r="AC40" i="7"/>
  <c r="W43" i="7"/>
  <c r="W16" i="7"/>
  <c r="AC38" i="7"/>
  <c r="AC10" i="7"/>
  <c r="AA25" i="7"/>
  <c r="Y44" i="7"/>
  <c r="AC29" i="7"/>
  <c r="AC39" i="7"/>
  <c r="AA36" i="7"/>
  <c r="AA38" i="7"/>
  <c r="W30" i="7"/>
  <c r="W38" i="7"/>
  <c r="Y28" i="7"/>
  <c r="Y9" i="7"/>
  <c r="AC9" i="7"/>
  <c r="AA9" i="7"/>
  <c r="W8" i="7"/>
  <c r="AC36" i="7"/>
  <c r="W34" i="7"/>
  <c r="W29" i="7"/>
  <c r="W42" i="7"/>
  <c r="Y12" i="7"/>
  <c r="AC42" i="7"/>
  <c r="AA13" i="7"/>
  <c r="AC12" i="7"/>
  <c r="AA32" i="7"/>
  <c r="AA11" i="7"/>
  <c r="Y31" i="7"/>
  <c r="W40" i="7"/>
  <c r="AA20" i="7"/>
  <c r="W7" i="7"/>
  <c r="Y33" i="7"/>
  <c r="AC32" i="7"/>
  <c r="W33" i="7"/>
  <c r="W31" i="7"/>
  <c r="AC11" i="7"/>
  <c r="AC37" i="7"/>
  <c r="AA41" i="7"/>
  <c r="W41" i="7"/>
  <c r="AC33" i="7"/>
  <c r="Y10" i="7"/>
  <c r="Y39" i="7"/>
  <c r="W36" i="7"/>
  <c r="AC8" i="7"/>
  <c r="AA29" i="7"/>
  <c r="AC15" i="7"/>
  <c r="AA23" i="7"/>
  <c r="AA37" i="7"/>
  <c r="AA8" i="7"/>
  <c r="AC35" i="7"/>
  <c r="Y42" i="7"/>
  <c r="Y37" i="7"/>
  <c r="AA24" i="7"/>
  <c r="Y32" i="7"/>
  <c r="AC43" i="7"/>
  <c r="AC14" i="7"/>
  <c r="Y34" i="7"/>
  <c r="AC34" i="7"/>
  <c r="W32" i="7"/>
  <c r="AA22" i="7"/>
  <c r="AA40" i="7"/>
  <c r="AC17" i="7"/>
  <c r="AA19" i="7"/>
  <c r="R19" i="7" l="1"/>
  <c r="U17" i="7"/>
  <c r="R40" i="7"/>
  <c r="R22" i="7"/>
  <c r="L32" i="7"/>
  <c r="U34" i="7"/>
  <c r="O34" i="7"/>
  <c r="U14" i="7"/>
  <c r="U43" i="7"/>
  <c r="O32" i="7"/>
  <c r="R24" i="7"/>
  <c r="O37" i="7"/>
  <c r="O42" i="7"/>
  <c r="U35" i="7"/>
  <c r="R8" i="7"/>
  <c r="R37" i="7"/>
  <c r="R23" i="7"/>
  <c r="U15" i="7"/>
  <c r="R29" i="7"/>
  <c r="U8" i="7"/>
  <c r="L36" i="7"/>
  <c r="O39" i="7"/>
  <c r="O10" i="7"/>
  <c r="U33" i="7"/>
  <c r="L41" i="7"/>
  <c r="R41" i="7"/>
  <c r="U37" i="7"/>
  <c r="U11" i="7"/>
  <c r="L31" i="7"/>
  <c r="L33" i="7"/>
  <c r="U32" i="7"/>
  <c r="O33" i="7"/>
  <c r="L7" i="7"/>
  <c r="R20" i="7"/>
  <c r="L40" i="7"/>
  <c r="O31" i="7"/>
  <c r="R11" i="7"/>
  <c r="R32" i="7"/>
  <c r="U12" i="7"/>
  <c r="R13" i="7"/>
  <c r="U42" i="7"/>
  <c r="O12" i="7"/>
  <c r="L42" i="7"/>
  <c r="L29" i="7"/>
  <c r="L34" i="7"/>
  <c r="U36" i="7"/>
  <c r="L8" i="7"/>
  <c r="R9" i="7"/>
  <c r="U9" i="7"/>
  <c r="O9" i="7"/>
  <c r="O28" i="7"/>
  <c r="L38" i="7"/>
  <c r="L30" i="7"/>
  <c r="R38" i="7"/>
  <c r="R36" i="7"/>
  <c r="U39" i="7"/>
  <c r="U29" i="7"/>
  <c r="O44" i="7"/>
  <c r="R25" i="7"/>
  <c r="U10" i="7"/>
  <c r="U38" i="7"/>
  <c r="L16" i="7"/>
  <c r="L43" i="7"/>
  <c r="U40" i="7"/>
  <c r="U44" i="7"/>
  <c r="L14" i="7"/>
  <c r="R33" i="7"/>
  <c r="L44" i="7"/>
  <c r="R34" i="7"/>
  <c r="R14" i="7"/>
  <c r="O38" i="7"/>
  <c r="O27" i="7"/>
  <c r="O8" i="7"/>
  <c r="L17" i="7"/>
  <c r="L39" i="7"/>
  <c r="L9" i="7"/>
  <c r="U16" i="7"/>
  <c r="O36" i="7"/>
  <c r="L15" i="7"/>
  <c r="L35" i="7"/>
  <c r="L6" i="7"/>
  <c r="R35" i="7"/>
  <c r="O40" i="7"/>
  <c r="O26" i="7"/>
  <c r="O43" i="7"/>
  <c r="O29" i="7"/>
  <c r="O11" i="7"/>
  <c r="R44" i="7"/>
  <c r="U41" i="7"/>
  <c r="L13" i="7"/>
  <c r="O41" i="7"/>
  <c r="L18" i="7"/>
  <c r="R21" i="7"/>
  <c r="L37" i="7"/>
  <c r="R12" i="7"/>
  <c r="R39" i="7"/>
  <c r="R31" i="7"/>
  <c r="U13" i="7"/>
  <c r="O35" i="7"/>
  <c r="U31" i="7"/>
  <c r="L12" i="7"/>
  <c r="R43" i="7"/>
  <c r="R10" i="7"/>
  <c r="R42" i="7"/>
  <c r="AB23" i="7"/>
  <c r="AB20" i="7"/>
  <c r="Z31" i="7"/>
  <c r="X29" i="7"/>
  <c r="AD9" i="7"/>
  <c r="AD39" i="7"/>
  <c r="AD38" i="7"/>
  <c r="AB14" i="7"/>
  <c r="Z36" i="7"/>
  <c r="X35" i="7"/>
  <c r="AB44" i="7"/>
  <c r="Z35" i="7"/>
  <c r="AD32" i="7"/>
  <c r="AB11" i="7"/>
  <c r="X34" i="7"/>
  <c r="Z9" i="7"/>
  <c r="X16" i="7"/>
  <c r="AD40" i="7"/>
  <c r="Z38" i="7"/>
  <c r="AD41" i="7"/>
  <c r="X18" i="7"/>
  <c r="AD31" i="7"/>
  <c r="AB19" i="7"/>
  <c r="AB32" i="7"/>
  <c r="AD36" i="7"/>
  <c r="Z28" i="7"/>
  <c r="X43" i="7"/>
  <c r="X13" i="7"/>
  <c r="AB21" i="7"/>
  <c r="X12" i="7"/>
  <c r="AD17" i="7"/>
  <c r="Z34" i="7"/>
  <c r="Z37" i="7"/>
  <c r="AD15" i="7"/>
  <c r="Z10" i="7"/>
  <c r="AD11" i="7"/>
  <c r="AD12" i="7"/>
  <c r="Z8" i="7"/>
  <c r="Z41" i="7"/>
  <c r="AB43" i="7"/>
  <c r="Z42" i="7"/>
  <c r="AD33" i="7"/>
  <c r="X31" i="7"/>
  <c r="AD29" i="7"/>
  <c r="AB33" i="7"/>
  <c r="Z26" i="7"/>
  <c r="AB10" i="7"/>
  <c r="AB22" i="7"/>
  <c r="AD35" i="7"/>
  <c r="X41" i="7"/>
  <c r="AD42" i="7"/>
  <c r="X30" i="7"/>
  <c r="X6" i="7"/>
  <c r="AD34" i="7"/>
  <c r="AD44" i="7"/>
  <c r="Z27" i="7"/>
  <c r="AB35" i="7"/>
  <c r="X38" i="7"/>
  <c r="X14" i="7"/>
  <c r="Z40" i="7"/>
  <c r="X37" i="7"/>
  <c r="AB40" i="7"/>
  <c r="AD14" i="7"/>
  <c r="AB29" i="7"/>
  <c r="AB13" i="7"/>
  <c r="X17" i="7"/>
  <c r="AB12" i="7"/>
  <c r="AD43" i="7"/>
  <c r="AD8" i="7"/>
  <c r="X33" i="7"/>
  <c r="Z39" i="7"/>
  <c r="X40" i="7"/>
  <c r="X42" i="7"/>
  <c r="Z44" i="7"/>
  <c r="X39" i="7"/>
  <c r="AB39" i="7"/>
  <c r="AB42" i="7"/>
  <c r="AB8" i="7"/>
  <c r="AB25" i="7"/>
  <c r="X9" i="7"/>
  <c r="AB37" i="7"/>
  <c r="AD10" i="7"/>
  <c r="AB34" i="7"/>
  <c r="AD16" i="7"/>
  <c r="Z32" i="7"/>
  <c r="Z33" i="7"/>
  <c r="X8" i="7"/>
  <c r="X7" i="7"/>
  <c r="AB36" i="7"/>
  <c r="Z29" i="7"/>
  <c r="X15" i="7"/>
  <c r="Z11" i="7"/>
  <c r="AB31" i="7"/>
  <c r="AD13" i="7"/>
  <c r="AB41" i="7"/>
  <c r="AB38" i="7"/>
  <c r="AB24" i="7"/>
  <c r="AD37" i="7"/>
  <c r="AB9" i="7"/>
  <c r="X44" i="7"/>
  <c r="Z43" i="7"/>
  <c r="X32" i="7"/>
  <c r="X36" i="7"/>
  <c r="Z12" i="7"/>
  <c r="L6" i="14" l="1"/>
  <c r="L6" i="11"/>
  <c r="H6" i="11"/>
  <c r="H6" i="14"/>
  <c r="L6" i="10"/>
  <c r="H7" i="10"/>
  <c r="H7" i="11"/>
  <c r="H6" i="10"/>
  <c r="H7" i="14"/>
  <c r="N7" i="7"/>
  <c r="T6" i="7"/>
  <c r="Q6" i="7"/>
  <c r="R6" i="7" s="1"/>
  <c r="Q7" i="7"/>
  <c r="R7" i="7" s="1"/>
  <c r="T7" i="7"/>
  <c r="U7" i="7" s="1"/>
  <c r="N6" i="7"/>
  <c r="O6" i="7"/>
  <c r="U6" i="7"/>
  <c r="O7" i="7"/>
  <c r="Z6" i="7"/>
  <c r="AB7" i="7"/>
  <c r="AC7" i="7"/>
  <c r="Y7" i="7"/>
  <c r="AC6" i="7"/>
  <c r="Y6" i="7"/>
  <c r="AA7" i="7"/>
  <c r="Z7" i="7"/>
  <c r="AB6" i="7"/>
  <c r="AD7" i="7"/>
  <c r="AA6" i="7"/>
  <c r="AD6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<sst xmlns="http://schemas.openxmlformats.org/spreadsheetml/2006/main" count="545" uniqueCount="105">
  <si>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</si>
  <si>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</si>
  <si>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</si>
  <si>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</si>
  <si>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</si>
  <si>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</si>
  <si>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</si>
  <si>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</si>
  <si>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</si>
  <si>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</si>
  <si>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</si>
  <si>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</si>
  <si>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</si>
  <si>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</si>
  <si>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</si>
  <si>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</si>
  <si>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</si>
  <si>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</si>
  <si>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</si>
  <si>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</si>
  <si>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</si>
  <si>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</si>
  <si>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</si>
  <si>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</si>
  <si>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</si>
  <si>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</si>
  <si>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</si>
  <si>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</si>
  <si>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</si>
  <si>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</si>
  <si>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</si>
  <si>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</si>
  <si>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</si>
  <si>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</si>
  <si>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</si>
  <si>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</si>
  <si>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</si>
  <si>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</si>
  <si>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</si>
  <si>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</si>
  <si>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</si>
  <si>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</si>
  <si>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</si>
  <si>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</si>
  <si>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</si>
  <si>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</si>
  <si>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</si>
  <si>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</si>
  <si>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</si>
  <si>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</si>
  <si>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</si>
  <si>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</si>
  <si>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</si>
  <si>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</si>
  <si>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</si>
  <si>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</si>
  <si>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</si>
  <si>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</si>
  <si>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</si>
  <si>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</si>
  <si>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</si>
  <si>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</si>
  <si>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</si>
  <si>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</si>
  <si>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</si>
  <si>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</si>
  <si>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</si>
  <si>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</si>
  <si>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</si>
  <si>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</si>
  <si>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</si>
  <si>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</si>
  <si>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</si>
  <si>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</si>
  <si>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</si>
  <si>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</si>
  <si>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</si>
  <si>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</si>
  <si>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</si>
  <si>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</si>
  <si>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</si>
  <si>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</si>
  <si>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</si>
  <si>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</si>
  <si>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</si>
  <si>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</si>
  <si>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</si>
  <si>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</si>
  <si>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</si>
  <si>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</si>
  <si>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</si>
  <si>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</si>
  <si>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</si>
  <si>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</si>
  <si>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</si>
  <si>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</si>
  <si>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</si>
  <si>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</si>
  <si>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</si>
  <si>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DepoIndex</t>
  </si>
  <si>
    <t>Interpolation</t>
  </si>
  <si>
    <t>Extrapolated</t>
  </si>
  <si>
    <t>SyntheticQuotesTrigger</t>
  </si>
  <si>
    <t>1W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</si>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</sst>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4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2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165" fontId="10" fillId="7" borderId="0" xfId="0" applyNumberFormat="1" applyFont="1" applyFill="1"/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1.9998508779999999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>
        <v>2.0000000029999998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>
        <v>1.9998508779999999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>
        <v>1.9998672020000001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>
        <v>2.363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>
        <v>1.9449999999999998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  <tp>
        <v>2.4830000000000001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6" s="7"/>
      </tp>
      <tp>
        <v>2.1150000000000002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>
        <v>1.9675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>
        <v>2.2429999999999999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>
        <v>1.9525000000000001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>
        <v>1.91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>
        <v>1.9949999999999999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>
        <v>2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>
        <v>1.98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>
        <v>1.9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9" s="7"/>
      </tp>
      <tp>
        <v>2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>
        <v>2.5649999999999999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7" s="7"/>
      </tp>
      <tp>
        <v>2.65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8" s="7"/>
      </tp>
      <tp>
        <v>1.91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>
        <v>1.885</v>
        <stp/>
        <stp xml:space="preserve">
AUDON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7"/>
      </tp>
      <tp>
        <v>1.885</v>
        <stp/>
        <stp xml:space="preserve">
AUDON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</main>
    <main first="pldatasource.rtgetrtdserver">
      <tp>
        <v>3.2050000000000001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7"/>
      </tp>
      <tp>
        <v>3.1779999999999999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7"/>
      </tp>
      <tp>
        <v>3.2250000000000001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7"/>
      </tp>
      <tp>
        <v>2.7330000000000001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7"/>
      </tp>
      <tp>
        <v>2.8679999999999999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7"/>
      </tp>
      <tp>
        <v>3.0179999999999998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7"/>
      </tp>
    </main>
    <main first="pldatasource.rtgetrtdserver">
      <tp>
        <v>1.9998508779999999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7"/>
      </tp>
      <tp>
        <v>2.0000000029999998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7"/>
      </tp>
      <tp>
        <v>1.9998508779999999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7"/>
      </tp>
      <tp>
        <v>1.9998672020000001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7"/>
      </tp>
      <tp>
        <v>2.363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7"/>
      </tp>
      <tp>
        <v>1.9449999999999998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7"/>
      </tp>
      <tp>
        <v>2.4830000000000001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7"/>
      </tp>
      <tp>
        <v>2.1150000000000002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7"/>
      </tp>
      <tp>
        <v>1.9675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7"/>
      </tp>
      <tp>
        <v>2.2429999999999999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7"/>
      </tp>
      <tp>
        <v>1.9525000000000001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7"/>
      </tp>
      <tp>
        <v>1.91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7"/>
      </tp>
      <tp>
        <v>1.9949999999999999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7"/>
      </tp>
      <tp>
        <v>2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7"/>
      </tp>
      <tp>
        <v>1.98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7"/>
      </tp>
      <tp>
        <v>1.9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7"/>
      </tp>
      <tp>
        <v>2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7"/>
      </tp>
      <tp>
        <v>2.5649999999999999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7"/>
      </tp>
      <tp>
        <v>2.65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7"/>
      </tp>
      <tp>
        <v>1.91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7"/>
      </tp>
    </main>
    <main first="pldatasource.rtgetrtdserver">
      <tp>
        <v>2.7330000000000001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9" s="7"/>
      </tp>
      <tp>
        <v>2.8679999999999999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0" s="7"/>
      </tp>
      <tp>
        <v>3.0179999999999998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1" s="7"/>
      </tp>
      <tp>
        <v>3.1779999999999999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2" s="7"/>
      </tp>
      <tp>
        <v>3.2250000000000001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3" s="7"/>
      </tp>
      <tp>
        <v>3.2050000000000001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4" s="7"/>
      </tp>
    </main>
    <main first="pldatasource.rtgetrtdserver">
      <tp>
        <v>2.442591798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2.4432623590000002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2.4426896600000001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2.44249435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2.4022106050000001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2.419905977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2.4069192699999999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2.443845005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2.442210459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2.4444008799999999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2.4295894250000001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2.445375141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3.2139641060000002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>
        <v>3.2608641060000001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>
        <v>3.2411587480000001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7"/>
      </tp>
      <tp>
        <v>2.910308621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>
        <v>2.7768774089999999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>
        <v>3.0559950599999999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>
        <v>2.779659009</v>
        <stp/>
        <stp>_x0008_AUD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2.8596440890000001</v>
        <stp/>
        <stp>_x0008_AUD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2.3584429419999999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2.4739999660000001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2.5877985269999999</v>
        <stp/>
        <stp>_x0008_AUD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2.6901175849999999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2.2075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2.1974999999999998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2.2650000000000001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</main>
    <main first="pldatasource.rtgetrtdserver">
      <tp>
        <v>3.3752720570000001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>
        <v>3.422421135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>
        <v>3.4026063569999998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4" s="7"/>
      </tp>
      <tp>
        <v>3.0700555270000001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2.9347368249999999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3.2164759460000001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>
        <v>2.6214134069999999</v>
        <stp/>
        <stp>_x0008_AUD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7"/>
      </tp>
      <tp>
        <v>2.7020059779999999</v>
        <stp/>
        <stp>_x0008_AUD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>
        <v>1.9629093980000001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>
        <v>2.171818332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>
        <v>2.296910333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7"/>
      </tp>
      <tp>
        <v>2.4200867330000002</v>
        <stp/>
        <stp>_x0008_AUD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>
        <v>1.9853079470000001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7"/>
      </tp>
      <tp>
        <v>2.5296037469999999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7"/>
      </tp>
      <tp>
        <v>1.9640514359999999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9" s="7"/>
      </tp>
      <tp>
        <v>1.9715261910000001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>
        <v>2.0575013210000002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7"/>
      </tp>
      <tp>
        <v>2.0111391190000001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</main>
    <main first="pldatasource.rtgetrtdserver">
      <tp>
        <v>2.301655958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2.3004124589999999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2.3014764780000001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2.3018350700000001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2.299244211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2.2891558299999999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2.2981855790000001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2.273960389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2.2969220130000001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2.8774999999999999</v>
        <stp/>
        <stp>_x0008_AUD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2.9550000000000001</v>
        <stp/>
        <stp>_x0008_AUD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2.4824999999999999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2.5874999999999999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2.6937500000000001</v>
        <stp/>
        <stp>_x0008_AUD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2.79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2.3588686189999999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2.345420641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2.4021985570000002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2.0238306850000001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2.0246363289999998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2.02395258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2.0237101499999999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2.0252945869999999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2.0262084690000002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2.0269216480000001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3.4312499999999999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3.4737499999999999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3.45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3.1462500000000002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3.0212500000000002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3.2837499999999999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</main>
    <main first="pldatasource.rtgetrtdserver">
      <tp>
        <v>2.9550000000000001</v>
        <stp/>
        <stp>_x0008_AUD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2.8774999999999999</v>
        <stp/>
        <stp>_x0008_AUD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2.79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2.6937500000000001</v>
        <stp/>
        <stp>_x0008_AUD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2.5874999999999999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2.4824999999999999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2.4021985570000002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2.345420641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2.3588686189999999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</main>
    <main first="pldatasource.rtgetrtdserver">
      <tp>
        <v>1.9629093980000001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  <tp>
        <v>2.7020059779999999</v>
        <stp/>
        <stp>_x0008_AUD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>
        <v>2.6214134069999999</v>
        <stp/>
        <stp>_x0008_AUD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7" s="7"/>
      </tp>
      <tp>
        <v>2.5296037469999999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6" s="7"/>
      </tp>
      <tp>
        <v>1.9853079470000001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>
        <v>2.4200867330000002</v>
        <stp/>
        <stp>_x0008_AUD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>
        <v>2.296910333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4" s="7"/>
      </tp>
      <tp>
        <v>2.171818332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>
        <v>2.0111391190000001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>
        <v>2.0575013210000002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>
        <v>1.9715261910000001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>
        <v>1.9640514359999999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9" s="7"/>
      </tp>
      <tp>
        <v>2.8596440890000001</v>
        <stp/>
        <stp>_x0008_AUD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2.779659009</v>
        <stp/>
        <stp>_x0008_AUD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>
        <v>2.6901175849999999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>
        <v>2.5877985269999999</v>
        <stp/>
        <stp>_x0008_AUD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2.4739999660000001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2.3584429419999999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2.2650000000000001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2.1974999999999998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2.2075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3.3752720570000001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>
        <v>3.422421135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>
        <v>3.4026063569999998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7"/>
      </tp>
      <tp>
        <v>2.9347368249999999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3.0700555270000001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3.2164759460000001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>
        <v>3.2139641060000002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7"/>
      </tp>
      <tp>
        <v>3.2608641060000001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7"/>
      </tp>
      <tp>
        <v>3.2411587480000001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4" s="7"/>
      </tp>
      <tp>
        <v>2.7768774089999999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7"/>
      </tp>
      <tp>
        <v>2.910308621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</tp>
      <tp>
        <v>3.0559950599999999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7"/>
      </tp>
      <tp>
        <v>2.442591798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2.4432623590000002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2.4426896600000001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2.44249435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2.4022106050000001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2.419905977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2.4069192699999999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2.443845005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2.442210459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2.4444008799999999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2.4295894250000001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2.445375141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3.4312499999999999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3.4737499999999999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3.45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3.0212500000000002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3.1462500000000002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3.2837499999999999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2.0238306850000001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2.0246363289999998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2.02395258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2.0237101499999999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2.0252945869999999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2.0262084690000002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2.0269216480000001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2.301655958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2.3004124589999999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2.3014764780000001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2.3018350700000001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2.299244211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2.2891558299999999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2.2981855790000001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2.273960389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2.2969220130000001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</main>
    <main first="pldatasource.rtgetrtdserver">
      <tp>
        <v>97.784999999999997</v>
        <stp/>
        <stp>_x0007_AUD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97.837242455999998</v>
        <stp/>
        <stp>_x0007_AUD3M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97.844999999999999</v>
        <stp/>
        <stp>_x0007_AUD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0" s="7"/>
      </tp>
      <tp>
        <v>97.820251983999995</v>
        <stp/>
        <stp>_x0007_AUD3M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97.824704955000001</v>
        <stp/>
        <stp>_x0007_AUD3M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2" s="7"/>
      </tp>
      <tp>
        <v>97.813969483999998</v>
        <stp/>
        <stp>_x0007_AUD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1" s="7"/>
      </tp>
      <tp t="s">
        <v>#N/A RIC Not Found</v>
        <stp/>
        <stp>_x0007_AUD3M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RIC Not Found</v>
        <stp/>
        <stp>_x0007_AUD3M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97.813969483999998</v>
        <stp/>
        <stp>_x0007_AUD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1" s="7"/>
      </tp>
      <tp>
        <v>97.824704955000001</v>
        <stp/>
        <stp>_x0007_AUD3M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7"/>
      </tp>
      <tp>
        <v>97.837242455999998</v>
        <stp/>
        <stp>_x0007_AUD3M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>
        <v>97.784999999999997</v>
        <stp/>
        <stp>_x0007_AUD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97.820251983999995</v>
        <stp/>
        <stp>_x0007_AUD3M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97.844999999999999</v>
        <stp/>
        <stp>_x0007_AUD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0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U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4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3W</v>
          </cell>
        </row>
      </sheetData>
      <sheetData sheetId="6">
        <row r="7">
          <cell r="D7" t="str">
            <v>H6</v>
          </cell>
        </row>
      </sheetData>
      <sheetData sheetId="7">
        <row r="7">
          <cell r="D7" t="str">
            <v>3AB</v>
          </cell>
        </row>
      </sheetData>
      <sheetData sheetId="8">
        <row r="7">
          <cell r="D7" t="str">
            <v>6AB</v>
          </cell>
        </row>
      </sheetData>
      <sheetData sheetId="9">
        <row r="7">
          <cell r="D7" t="str">
            <v>3BR</v>
          </cell>
        </row>
      </sheetData>
      <sheetData sheetId="10">
        <row r="7">
          <cell r="D7" t="str">
            <v>6BR</v>
          </cell>
        </row>
      </sheetData>
      <sheetData sheetId="11">
        <row r="7">
          <cell r="D7" t="str">
            <v>AudBBSWSwapForBasisCalc9M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Contribution"/>
      <sheetName val="Delta 1M"/>
      <sheetName val="Delta 3M"/>
      <sheetName val="Delta 6M"/>
      <sheetName val="6M BBSWSwapForBasisCalc"/>
      <sheetName val="1M BBSWSwapForBasisCalc"/>
    </sheetNames>
    <definedNames>
      <definedName name="TriggerCounter" refersTo="='General Settings'!$I$8"/>
    </definedNames>
    <sheetDataSet>
      <sheetData sheetId="0">
        <row r="8">
          <cell r="I8">
            <v>4</v>
          </cell>
        </row>
      </sheetData>
      <sheetData sheetId="1"/>
      <sheetData sheetId="2"/>
      <sheetData sheetId="3"/>
      <sheetData sheetId="4">
        <row r="8">
          <cell r="I8" t="str">
            <v/>
          </cell>
        </row>
      </sheetData>
      <sheetData sheetId="5">
        <row r="8">
          <cell r="I8" t="str">
            <v>Actual/365 (Fixed)</v>
          </cell>
        </row>
      </sheetData>
      <sheetData sheetId="6">
        <row r="8">
          <cell r="I8">
            <v>0.99059509150841829</v>
          </cell>
        </row>
      </sheetData>
      <sheetData sheetId="7"/>
      <sheetData sheetId="8"/>
      <sheetData sheetId="9">
        <row r="8">
          <cell r="I8" t="str">
            <v>AudBBSWSwapForBasisCalc3Y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3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42353.47216435185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42353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4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1.25" x14ac:dyDescent="0.2">
      <c r="A7" s="2"/>
      <c r="B7" s="65"/>
      <c r="C7" s="81" t="s">
        <v>102</v>
      </c>
      <c r="D7" s="69">
        <f>[2]!TriggerCounter</f>
        <v>4</v>
      </c>
      <c r="E7" s="6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1" customFormat="1" ht="12" thickBot="1" x14ac:dyDescent="0.25">
      <c r="A8" s="2"/>
      <c r="B8" s="70"/>
      <c r="C8" s="71"/>
      <c r="D8" s="71"/>
      <c r="E8" s="7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thickBo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6.5" x14ac:dyDescent="0.3">
      <c r="A10" s="62"/>
      <c r="B10" s="77" t="s">
        <v>3</v>
      </c>
      <c r="C10" s="78"/>
      <c r="D10" s="78"/>
      <c r="E10" s="79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11" customFormat="1" ht="11.25" x14ac:dyDescent="0.2">
      <c r="A11" s="2"/>
      <c r="B11" s="65"/>
      <c r="C11" s="66"/>
      <c r="D11" s="66"/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6</v>
      </c>
      <c r="D12" s="73" t="s">
        <v>82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86</v>
      </c>
      <c r="D13" s="73" t="str">
        <f>Currency&amp;"ON"</f>
        <v>AUDON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11</v>
      </c>
      <c r="D14" s="74" t="str">
        <f>PROPER(Currency)&amp;"BBSW"</f>
        <v>AudBBSW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13</v>
      </c>
      <c r="D15" s="74" t="s">
        <v>14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9</v>
      </c>
      <c r="D16" s="75">
        <v>1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80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81</v>
      </c>
      <c r="D18" s="74" t="s">
        <v>83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79</v>
      </c>
      <c r="D19" s="74" t="b">
        <f>_xll.qlCalendarIsHoliday(LocalCalendar,_xll.qlCalendarAdvance(LiborCalendar,EvaluationDate,SettlementDays&amp;"D","f",FALSE,Trigger))</f>
        <v>0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0" t="s">
        <v>7</v>
      </c>
      <c r="D20" s="74" t="str">
        <f>IF(D19,LocalCalendar,LiborCalendar)</f>
        <v>Australia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10</v>
      </c>
      <c r="D21" s="76">
        <f>_xll.qlCalendarAdvance(Calendar,EvaluationDate,SettlementDays&amp;"d","following",FALSE)</f>
        <v>42354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1.25" x14ac:dyDescent="0.2">
      <c r="A22" s="2"/>
      <c r="B22" s="65"/>
      <c r="C22" s="81" t="s">
        <v>61</v>
      </c>
      <c r="D22" s="76" t="s">
        <v>62</v>
      </c>
      <c r="E22" s="6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2" thickBot="1" x14ac:dyDescent="0.25">
      <c r="A23" s="2"/>
      <c r="B23" s="70"/>
      <c r="C23" s="71"/>
      <c r="D23" s="71"/>
      <c r="E23" s="7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</sheetData>
  <dataValidations count="3">
    <dataValidation type="list" allowBlank="1" showInputMessage="1" showErrorMessage="1" sqref="D17 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2">
      <formula1>"EUR,USD,GBP,JPY,CHF,AUD,CNY,CNH"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20:D21 D19 D6 D13: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3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5" customWidth="1"/>
    <col min="10" max="10" width="12" style="1" customWidth="1"/>
    <col min="11" max="12" width="7" style="1" customWidth="1"/>
    <col min="13" max="13" width="10" style="1" customWidth="1"/>
    <col min="14" max="15" width="8" style="1" customWidth="1"/>
    <col min="16" max="16" width="10" style="1" customWidth="1"/>
    <col min="17" max="18" width="8" style="1" customWidth="1"/>
    <col min="19" max="19" width="10" style="1" customWidth="1"/>
    <col min="20" max="21" width="7" style="1" customWidth="1"/>
    <col min="22" max="22" width="2.7109375" style="1" customWidth="1"/>
    <col min="23" max="23" width="10.28515625" style="1" customWidth="1"/>
    <col min="24" max="24" width="10.28515625" style="5" customWidth="1"/>
    <col min="25" max="25" width="10.28515625" style="1" customWidth="1"/>
    <col min="26" max="26" width="10.28515625" style="5" customWidth="1"/>
    <col min="27" max="27" width="10.28515625" style="1" customWidth="1"/>
    <col min="28" max="28" width="10.28515625" style="5" customWidth="1"/>
    <col min="29" max="29" width="10.28515625" style="1" customWidth="1"/>
    <col min="30" max="30" width="10.28515625" style="5" customWidth="1"/>
    <col min="31" max="31" width="2.7109375" style="11" customWidth="1"/>
    <col min="32" max="37" width="14.42578125" style="1" customWidth="1"/>
    <col min="38" max="16384" width="3" style="1"/>
  </cols>
  <sheetData>
    <row r="1" spans="1:57" x14ac:dyDescent="0.2">
      <c r="A1" s="2"/>
      <c r="B1" s="2"/>
      <c r="C1" s="2"/>
      <c r="D1" s="141" t="s">
        <v>8</v>
      </c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3"/>
      <c r="AA1" s="2"/>
      <c r="AB1" s="3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2"/>
      <c r="J4" s="12" t="s">
        <v>59</v>
      </c>
      <c r="K4" s="12"/>
      <c r="L4" s="12"/>
      <c r="M4" s="12" t="s">
        <v>19</v>
      </c>
      <c r="N4" s="12"/>
      <c r="O4" s="12"/>
      <c r="P4" s="12" t="s">
        <v>21</v>
      </c>
      <c r="Q4" s="12"/>
      <c r="R4" s="12"/>
      <c r="S4" s="12" t="s">
        <v>14</v>
      </c>
      <c r="T4" s="12"/>
      <c r="U4" s="12"/>
      <c r="V4" s="98" t="s">
        <v>70</v>
      </c>
      <c r="W4" s="165" t="s">
        <v>59</v>
      </c>
      <c r="X4" s="166"/>
      <c r="Y4" s="165" t="s">
        <v>19</v>
      </c>
      <c r="Z4" s="166"/>
      <c r="AA4" s="165" t="s">
        <v>21</v>
      </c>
      <c r="AB4" s="166"/>
      <c r="AC4" s="165" t="s">
        <v>14</v>
      </c>
      <c r="AD4" s="166"/>
      <c r="AE4" s="41" t="s">
        <v>70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36" customFormat="1" ht="11.25" customHeight="1" x14ac:dyDescent="0.2">
      <c r="A5" s="34"/>
      <c r="B5" s="34"/>
      <c r="C5" s="34"/>
      <c r="D5" s="23" t="s">
        <v>85</v>
      </c>
      <c r="E5" s="23" t="s">
        <v>59</v>
      </c>
      <c r="F5" s="23" t="s">
        <v>19</v>
      </c>
      <c r="G5" s="23" t="s">
        <v>21</v>
      </c>
      <c r="H5" s="23" t="s">
        <v>14</v>
      </c>
      <c r="I5" s="34"/>
      <c r="J5" s="35" t="s">
        <v>66</v>
      </c>
      <c r="K5" s="27" t="s">
        <v>0</v>
      </c>
      <c r="L5" s="27" t="s">
        <v>1</v>
      </c>
      <c r="M5" s="35" t="s">
        <v>66</v>
      </c>
      <c r="N5" s="27" t="s">
        <v>0</v>
      </c>
      <c r="O5" s="27" t="s">
        <v>1</v>
      </c>
      <c r="P5" s="35" t="s">
        <v>66</v>
      </c>
      <c r="Q5" s="27" t="s">
        <v>0</v>
      </c>
      <c r="R5" s="27" t="s">
        <v>1</v>
      </c>
      <c r="S5" s="35" t="s">
        <v>66</v>
      </c>
      <c r="T5" s="27" t="s">
        <v>0</v>
      </c>
      <c r="U5" s="27" t="s">
        <v>1</v>
      </c>
      <c r="V5" s="98" t="s">
        <v>70</v>
      </c>
      <c r="W5" s="27" t="s">
        <v>71</v>
      </c>
      <c r="X5" s="27" t="s">
        <v>72</v>
      </c>
      <c r="Y5" s="27" t="s">
        <v>71</v>
      </c>
      <c r="Z5" s="27" t="s">
        <v>72</v>
      </c>
      <c r="AA5" s="27" t="s">
        <v>71</v>
      </c>
      <c r="AB5" s="27" t="s">
        <v>72</v>
      </c>
      <c r="AC5" s="27" t="s">
        <v>71</v>
      </c>
      <c r="AD5" s="27" t="s">
        <v>72</v>
      </c>
      <c r="AE5" s="42" t="s">
        <v>70</v>
      </c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</row>
    <row r="6" spans="1:57" ht="11.25" customHeight="1" x14ac:dyDescent="0.2">
      <c r="A6" s="2"/>
      <c r="B6" s="2"/>
      <c r="C6" s="168" t="s">
        <v>91</v>
      </c>
      <c r="D6" s="20" t="s">
        <v>48</v>
      </c>
      <c r="E6" s="20" t="str">
        <f>IF(Contribute="abcd",IF($F$2&lt;&gt;-1,_xll.RtContribute(SourceAlias,J6,Fields,K6:L6,"SCOPE:SERVER"),_xll.RtContribute(SourceAlias,"DDS_INSERT_S",$F$2:$H$2,K6:L6,"SCOPE:SERVER FTC:ALL")),"stopped")</f>
        <v>stopped</v>
      </c>
      <c r="F6" s="142" t="str">
        <f>IF(Contribute="abcd",IF($F$2&lt;&gt;-1,_xll.RtContribute(SourceAlias,M6,Fields,N6:O6,"SCOPE:SERVER"),_xll.RtContribute(SourceAlias,"DDS_INSERT_S",$F$2:$H$2,M6:O6,"SCOPE:SERVER FTC:ALL")),"stopped")</f>
        <v>stopped</v>
      </c>
      <c r="G6" s="20" t="str">
        <f>IF(Contribute="abcd",IF($F$2&lt;&gt;-1,_xll.RtContribute(SourceAlias,P6,Fields,Q6:R6,"SCOPE:SERVER"),_xll.RtContribute(SourceAlias,"DDS_INSERT_S",$F$2:$H$2,P6:R6,"SCOPE:SERVER FTC:ALL")),"stopped")</f>
        <v>stopped</v>
      </c>
      <c r="H6" s="20" t="str">
        <f>IF(Contribute="abcd",IF($F$2&lt;&gt;-1,_xll.RtContribute(SourceAlias,S6,Fields,T6:U6,"SCOPE:SERVER"),_xll.RtContribute(SourceAlias,"DDS_INSERT_S",$F$2:$H$2,S6:U6,"SCOPE:SERVER FTC:ALL")),"stopped")</f>
        <v>stopped</v>
      </c>
      <c r="I6" s="2"/>
      <c r="J6" s="13" t="str">
        <f>Currency&amp;"ON"&amp;D6&amp;"="</f>
        <v>AUDONOND=</v>
      </c>
      <c r="K6" s="14">
        <f>'ON Pricing'!H6*100</f>
        <v>1.9998671989852612</v>
      </c>
      <c r="L6" s="14">
        <f>K6</f>
        <v>1.9998671989852612</v>
      </c>
      <c r="M6" s="122" t="str">
        <f t="shared" ref="M6:M12" si="0">Currency&amp;$M$4&amp;D6&amp;"="</f>
        <v>AUD1MOND=</v>
      </c>
      <c r="N6" s="123">
        <f>'1M Pricing'!H6*100</f>
        <v>2.023526511989326</v>
      </c>
      <c r="O6" s="123">
        <f>N6</f>
        <v>2.023526511989326</v>
      </c>
      <c r="P6" s="13" t="str">
        <f t="shared" ref="P6:P14" si="1">Currency&amp;$P$4&amp;D6&amp;"="</f>
        <v>AUD3MOND=</v>
      </c>
      <c r="Q6" s="14">
        <f>'3M Pricing'!H6*100</f>
        <v>2.3018350702479311</v>
      </c>
      <c r="R6" s="14">
        <f>Q6</f>
        <v>2.3018350702479311</v>
      </c>
      <c r="S6" s="13" t="str">
        <f t="shared" ref="S6:S17" si="2">Currency&amp;$S$4&amp;D6&amp;"="</f>
        <v>AUD6MOND=</v>
      </c>
      <c r="T6" s="14">
        <f>'6M Pricing'!H6*100</f>
        <v>2.4424948591929985</v>
      </c>
      <c r="U6" s="14">
        <f>T6</f>
        <v>2.4424948591929985</v>
      </c>
      <c r="V6" s="98" t="s">
        <v>70</v>
      </c>
      <c r="W6" s="14">
        <f>ABS(_xll.RtGet(SourceAlias,$J6,BID)-K6)</f>
        <v>3.0147389029622218E-9</v>
      </c>
      <c r="X6" s="14">
        <f>ABS(_xll.RtGet(SourceAlias,$J6,ASK)-L6)</f>
        <v>3.0147389029622218E-9</v>
      </c>
      <c r="Y6" s="124">
        <f>ABS(_xll.RtGet(SourceAlias,$M6,BID)-N6)</f>
        <v>1.8363801067389218E-4</v>
      </c>
      <c r="Z6" s="124">
        <f>ABS(_xll.RtGet(SourceAlias,$M6,ASK)-O6)</f>
        <v>1.8363801067389218E-4</v>
      </c>
      <c r="AA6" s="14">
        <f>ABS(_xll.RtGet(SourceAlias,$P6,BID)-Q6)</f>
        <v>2.4793100905640131E-10</v>
      </c>
      <c r="AB6" s="14">
        <f>ABS(_xll.RtGet(SourceAlias,$P6,ASK)-R6)</f>
        <v>2.4793100905640131E-10</v>
      </c>
      <c r="AC6" s="14">
        <f>ABS(_xll.RtGet(SourceAlias,$S6,BID)-T6)</f>
        <v>5.0919299843243948E-7</v>
      </c>
      <c r="AD6" s="14">
        <f>ABS(_xll.RtGet(SourceAlias,$S6,ASK)-U6)</f>
        <v>5.0919299843243948E-7</v>
      </c>
      <c r="AE6" s="41" t="s">
        <v>70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1.25" customHeight="1" x14ac:dyDescent="0.2">
      <c r="A7" s="2"/>
      <c r="B7" s="2"/>
      <c r="C7" s="169"/>
      <c r="D7" s="21" t="s">
        <v>95</v>
      </c>
      <c r="E7" s="21" t="str">
        <f>IF(Contribute="abcd",IF($F$2&lt;&gt;-1,_xll.RtContribute(SourceAlias,J7,Fields,K7:L7,"SCOPE:SERVER"),_xll.RtContribute(SourceAlias,"DDS_INSERT_S",$F$2:$H$2,K7:L7,"SCOPE:SERVER FTC:ALL")),"stopped")</f>
        <v>stopped</v>
      </c>
      <c r="F7" s="143" t="str">
        <f>IF(Contribute="abcd",IF($F$2&lt;&gt;-1,_xll.RtContribute(SourceAlias,M7,Fields,N7:O7,"SCOPE:SERVER"),_xll.RtContribute(SourceAlias,"DDS_INSERT_S",$F$2:$H$2,M7:O7,"SCOPE:SERVER FTC:ALL")),"stopped")</f>
        <v>stopped</v>
      </c>
      <c r="G7" s="21" t="str">
        <f>IF(Contribute="abcd",IF($F$2&lt;&gt;-1,_xll.RtContribute(SourceAlias,P7,Fields,Q7:R7,"SCOPE:SERVER"),_xll.RtContribute(SourceAlias,"DDS_INSERT_S",$F$2:$H$2,P7:R7,"SCOPE:SERVER FTC:ALL")),"stopped")</f>
        <v>stopped</v>
      </c>
      <c r="H7" s="21" t="str">
        <f>IF(Contribute="abcd",IF($F$2&lt;&gt;-1,_xll.RtContribute(SourceAlias,S7,Fields,T7:U7,"SCOPE:SERVER"),_xll.RtContribute(SourceAlias,"DDS_INSERT_S",$F$2:$H$2,S7:U7,"SCOPE:SERVER FTC:ALL")),"stopped")</f>
        <v>stopped</v>
      </c>
      <c r="I7" s="2"/>
      <c r="J7" s="15" t="str">
        <f>Currency&amp;"ON"&amp;D7&amp;"="</f>
        <v>AUDONTND=</v>
      </c>
      <c r="K7" s="16">
        <f>'ON Pricing'!H7*100</f>
        <v>1.999850874991882</v>
      </c>
      <c r="L7" s="16">
        <f t="shared" ref="L7:L8" si="3">K7</f>
        <v>1.999850874991882</v>
      </c>
      <c r="M7" s="125" t="str">
        <f t="shared" si="0"/>
        <v>AUD1MTND=</v>
      </c>
      <c r="N7" s="126">
        <f>'1M Pricing'!H7*100</f>
        <v>2.0236665013221784</v>
      </c>
      <c r="O7" s="126">
        <f t="shared" ref="O7:O8" si="4">N7</f>
        <v>2.0236665013221784</v>
      </c>
      <c r="P7" s="15" t="str">
        <f t="shared" si="1"/>
        <v>AUD3MTND=</v>
      </c>
      <c r="Q7" s="16">
        <f>'3M Pricing'!H7*100</f>
        <v>2.3016559576969091</v>
      </c>
      <c r="R7" s="16">
        <f t="shared" ref="R7:R8" si="5">Q7</f>
        <v>2.3016559576969091</v>
      </c>
      <c r="S7" s="15" t="str">
        <f t="shared" si="2"/>
        <v>AUD6MTND=</v>
      </c>
      <c r="T7" s="16">
        <f>'6M Pricing'!H7*100</f>
        <v>2.4425921612768255</v>
      </c>
      <c r="U7" s="16">
        <f t="shared" ref="U7:U8" si="6">T7</f>
        <v>2.4425921612768255</v>
      </c>
      <c r="V7" s="98" t="s">
        <v>70</v>
      </c>
      <c r="W7" s="16">
        <f>ABS(_xll.RtGet(SourceAlias,$J7,BID)-K7)</f>
        <v>3.0081179769325672E-9</v>
      </c>
      <c r="X7" s="16">
        <f>ABS(_xll.RtGet(SourceAlias,$J7,ASK)-L7)</f>
        <v>3.0081179769325672E-9</v>
      </c>
      <c r="Y7" s="127">
        <f>ABS(_xll.RtGet(SourceAlias,$M7,BID)-N7)</f>
        <v>1.6418367782167209E-4</v>
      </c>
      <c r="Z7" s="127">
        <f>ABS(_xll.RtGet(SourceAlias,$M7,ASK)-O7)</f>
        <v>1.6418367782167209E-4</v>
      </c>
      <c r="AA7" s="16">
        <f>ABS(_xll.RtGet(SourceAlias,$P7,BID)-Q7)</f>
        <v>3.0309088572266774E-10</v>
      </c>
      <c r="AB7" s="16">
        <f>ABS(_xll.RtGet(SourceAlias,$P7,ASK)-R7)</f>
        <v>3.0309088572266774E-10</v>
      </c>
      <c r="AC7" s="16">
        <f>ABS(_xll.RtGet(SourceAlias,$S7,BID)-T7)</f>
        <v>3.632768255101837E-7</v>
      </c>
      <c r="AD7" s="16">
        <f>ABS(_xll.RtGet(SourceAlias,$S7,ASK)-U7)</f>
        <v>3.632768255101837E-7</v>
      </c>
      <c r="AE7" s="4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1.25" customHeight="1" x14ac:dyDescent="0.2">
      <c r="A8" s="2"/>
      <c r="B8" s="2"/>
      <c r="C8" s="169"/>
      <c r="D8" s="21" t="s">
        <v>96</v>
      </c>
      <c r="E8" s="21" t="str">
        <f>IF(Contribute="abcd",IF($F$2&lt;&gt;-1,_xll.RtContribute(SourceAlias,J8,Fields,K8:L8,"SCOPE:SERVER"),_xll.RtContribute(SourceAlias,"DDS_INSERT_S",$F$2:$H$2,K8:L8,"SCOPE:SERVER FTC:ALL")),"stopped")</f>
        <v>stopped</v>
      </c>
      <c r="F8" s="143" t="str">
        <f>IF(Contribute="abcd",IF($F$2&lt;&gt;-1,_xll.RtContribute(SourceAlias,M8,Fields,N8:O8,"SCOPE:SERVER"),_xll.RtContribute(SourceAlias,"DDS_INSERT_S",$F$2:$H$2,M8:O8,"SCOPE:SERVER FTC:ALL")),"stopped")</f>
        <v>stopped</v>
      </c>
      <c r="G8" s="21" t="str">
        <f>IF(Contribute="abcd",IF($F$2&lt;&gt;-1,_xll.RtContribute(SourceAlias,P8,Fields,Q8:R8,"SCOPE:SERVER"),_xll.RtContribute(SourceAlias,"DDS_INSERT_S",$F$2:$H$2,P8:R8,"SCOPE:SERVER FTC:ALL")),"stopped")</f>
        <v>stopped</v>
      </c>
      <c r="H8" s="21" t="str">
        <f>IF(Contribute="abcd",IF($F$2&lt;&gt;-1,_xll.RtContribute(SourceAlias,S8,Fields,T8:U8,"SCOPE:SERVER"),_xll.RtContribute(SourceAlias,"DDS_INSERT_S",$F$2:$H$2,S8:U8,"SCOPE:SERVER FTC:ALL")),"stopped")</f>
        <v>stopped</v>
      </c>
      <c r="I8" s="2"/>
      <c r="J8" s="15" t="str">
        <f>Currency&amp;"ON"&amp;D8&amp;"="</f>
        <v>AUDONSND=</v>
      </c>
      <c r="K8" s="16">
        <f>'ON Pricing'!H8*100</f>
        <v>1.999850874991882</v>
      </c>
      <c r="L8" s="16">
        <f t="shared" si="3"/>
        <v>1.999850874991882</v>
      </c>
      <c r="M8" s="125" t="str">
        <f t="shared" si="0"/>
        <v>AUD1MSND=</v>
      </c>
      <c r="N8" s="126">
        <f>'1M Pricing'!H8*100</f>
        <v>2.0238081881114311</v>
      </c>
      <c r="O8" s="126">
        <f t="shared" si="4"/>
        <v>2.0238081881114311</v>
      </c>
      <c r="P8" s="15" t="str">
        <f t="shared" si="1"/>
        <v>AUD3MSND=</v>
      </c>
      <c r="Q8" s="16">
        <f>'3M Pricing'!H8*100</f>
        <v>2.301476477656994</v>
      </c>
      <c r="R8" s="16">
        <f t="shared" si="5"/>
        <v>2.301476477656994</v>
      </c>
      <c r="S8" s="15" t="str">
        <f t="shared" si="2"/>
        <v>AUD6MSND=</v>
      </c>
      <c r="T8" s="16">
        <f>'6M Pricing'!H8*100</f>
        <v>2.4426898626860316</v>
      </c>
      <c r="U8" s="16">
        <f t="shared" si="6"/>
        <v>2.4426898626860316</v>
      </c>
      <c r="V8" s="98" t="s">
        <v>70</v>
      </c>
      <c r="W8" s="16">
        <f>ABS(_xll.RtGet(SourceAlias,$J8,BID)-K8)</f>
        <v>3.0081179769325672E-9</v>
      </c>
      <c r="X8" s="16">
        <f>ABS(_xll.RtGet(SourceAlias,$J8,ASK)-L8)</f>
        <v>3.0081179769325672E-9</v>
      </c>
      <c r="Y8" s="127">
        <f>ABS(_xll.RtGet(SourceAlias,$M8,BID)-N8)</f>
        <v>1.443918885688511E-4</v>
      </c>
      <c r="Z8" s="127">
        <f>ABS(_xll.RtGet(SourceAlias,$M8,ASK)-O8)</f>
        <v>1.443918885688511E-4</v>
      </c>
      <c r="AA8" s="16">
        <f>ABS(_xll.RtGet(SourceAlias,$P8,BID)-Q8)</f>
        <v>3.4300606799320121E-10</v>
      </c>
      <c r="AB8" s="16">
        <f>ABS(_xll.RtGet(SourceAlias,$P8,ASK)-R8)</f>
        <v>3.4300606799320121E-10</v>
      </c>
      <c r="AC8" s="16">
        <f>ABS(_xll.RtGet(SourceAlias,$S8,BID)-T8)</f>
        <v>2.026860315140766E-7</v>
      </c>
      <c r="AD8" s="16">
        <f>ABS(_xll.RtGet(SourceAlias,$S8,ASK)-U8)</f>
        <v>2.026860315140766E-7</v>
      </c>
      <c r="AE8" s="4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1.25" customHeight="1" x14ac:dyDescent="0.2">
      <c r="A9" s="2"/>
      <c r="B9" s="2"/>
      <c r="C9" s="169"/>
      <c r="D9" s="21" t="s">
        <v>49</v>
      </c>
      <c r="E9" s="21" t="str">
        <f>IF(Contribute="abcd",IF($F$2&lt;&gt;-1,_xll.RtContribute(SourceAlias,J9,Fields,K9:L9,"SCOPE:SERVER"),_xll.RtContribute(SourceAlias,"DDS_INSERT_S",$F$2:$H$2,K9:L9,"SCOPE:SERVER FTC:ALL")),"stopped")</f>
        <v>stopped</v>
      </c>
      <c r="F9" s="143" t="str">
        <f>IF(Contribute="abcd",IF($F$2&lt;&gt;-1,_xll.RtContribute(SourceAlias,M9,Fields,N9:O9,"SCOPE:SERVER"),_xll.RtContribute(SourceAlias,"DDS_INSERT_S",$F$2:$H$2,M9:O9,"SCOPE:SERVER FTC:ALL")),"stopped")</f>
        <v>stopped</v>
      </c>
      <c r="G9" s="21" t="str">
        <f>IF(Contribute="abcd",IF($F$2&lt;&gt;-1,_xll.RtContribute(SourceAlias,P9,Fields,Q9:R9,"SCOPE:SERVER"),_xll.RtContribute(SourceAlias,"DDS_INSERT_S",$F$2:$H$2,P9:R9,"SCOPE:SERVER FTC:ALL")),"stopped")</f>
        <v>stopped</v>
      </c>
      <c r="H9" s="21" t="str">
        <f>IF(Contribute="abcd",IF($F$2&lt;&gt;-1,_xll.RtContribute(SourceAlias,S9,Fields,T9:U9,"SCOPE:SERVER"),_xll.RtContribute(SourceAlias,"DDS_INSERT_S",$F$2:$H$2,S9:U9,"SCOPE:SERVER FTC:ALL")),"stopped")</f>
        <v>stopped</v>
      </c>
      <c r="I9" s="2"/>
      <c r="J9" s="15" t="str">
        <f>Currency&amp;"ON"&amp;D9&amp;"="</f>
        <v>AUDONSWD=</v>
      </c>
      <c r="K9" s="16">
        <f>'ON Pricing'!H9*100</f>
        <v>2.0000000001115001</v>
      </c>
      <c r="L9" s="16">
        <f t="shared" ref="L9:L17" si="7">K9</f>
        <v>2.0000000001115001</v>
      </c>
      <c r="M9" s="125" t="str">
        <f t="shared" si="0"/>
        <v>AUD1MSWD=</v>
      </c>
      <c r="N9" s="126">
        <f>'1M Pricing'!H9*100</f>
        <v>2.0245988978729392</v>
      </c>
      <c r="O9" s="126">
        <f t="shared" ref="O9:O12" si="8">N9</f>
        <v>2.0245988978729392</v>
      </c>
      <c r="P9" s="15" t="str">
        <f t="shared" si="1"/>
        <v>AUD3MSWD=</v>
      </c>
      <c r="Q9" s="16">
        <f>'3M Pricing'!H9*100</f>
        <v>2.3004124595287538</v>
      </c>
      <c r="R9" s="16">
        <f t="shared" ref="R9:R14" si="9">Q9</f>
        <v>2.3004124595287538</v>
      </c>
      <c r="S9" s="15" t="str">
        <f t="shared" si="2"/>
        <v>AUD6MSWD=</v>
      </c>
      <c r="T9" s="16">
        <f>'6M Pricing'!H9*100</f>
        <v>2.4432620947530164</v>
      </c>
      <c r="U9" s="16">
        <f t="shared" ref="U9:U17" si="10">T9</f>
        <v>2.4432620947530164</v>
      </c>
      <c r="V9" s="98" t="s">
        <v>70</v>
      </c>
      <c r="W9" s="16">
        <f>ABS(_xll.RtGet(SourceAlias,$J9,BID)-K9)</f>
        <v>2.8884996616795888E-9</v>
      </c>
      <c r="X9" s="16">
        <f>ABS(_xll.RtGet(SourceAlias,$J9,ASK)-L9)</f>
        <v>2.8884996616795888E-9</v>
      </c>
      <c r="Y9" s="127">
        <f>ABS(_xll.RtGet(SourceAlias,$M9,BID)-N9)</f>
        <v>3.7431127060560954E-5</v>
      </c>
      <c r="Z9" s="127">
        <f>ABS(_xll.RtGet(SourceAlias,$M9,ASK)-O9)</f>
        <v>3.7431127060560954E-5</v>
      </c>
      <c r="AA9" s="16">
        <f>ABS(_xll.RtGet(SourceAlias,$P9,BID)-Q9)</f>
        <v>5.2875392952955735E-10</v>
      </c>
      <c r="AB9" s="16">
        <f>ABS(_xll.RtGet(SourceAlias,$P9,ASK)-R9)</f>
        <v>5.2875392952955735E-10</v>
      </c>
      <c r="AC9" s="16">
        <f>ABS(_xll.RtGet(SourceAlias,$S9,BID)-T9)</f>
        <v>2.6424698384985845E-7</v>
      </c>
      <c r="AD9" s="16">
        <f>ABS(_xll.RtGet(SourceAlias,$S9,ASK)-U9)</f>
        <v>2.6424698384985845E-7</v>
      </c>
      <c r="AE9" s="41" t="s">
        <v>70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1.25" customHeight="1" x14ac:dyDescent="0.2">
      <c r="A10" s="2"/>
      <c r="B10" s="2"/>
      <c r="C10" s="169"/>
      <c r="D10" s="21" t="s">
        <v>50</v>
      </c>
      <c r="E10" s="21" t="s">
        <v>70</v>
      </c>
      <c r="F10" s="143" t="str">
        <f>IF(Contribute="abcd",IF($F$2&lt;&gt;-1,_xll.RtContribute(SourceAlias,M10,Fields,N10:O10,"SCOPE:SERVER"),_xll.RtContribute(SourceAlias,"DDS_INSERT_S",$F$2:$H$2,M10:O10,"SCOPE:SERVER FTC:ALL")),"stopped")</f>
        <v>stopped</v>
      </c>
      <c r="G10" s="21" t="str">
        <f>IF(Contribute="abcd",IF($F$2&lt;&gt;-1,_xll.RtContribute(SourceAlias,P10,Fields,Q10:R10,"SCOPE:SERVER"),_xll.RtContribute(SourceAlias,"DDS_INSERT_S",$F$2:$H$2,P10:R10,"SCOPE:SERVER FTC:ALL")),"stopped")</f>
        <v>stopped</v>
      </c>
      <c r="H10" s="21" t="str">
        <f>IF(Contribute="abcd",IF($F$2&lt;&gt;-1,_xll.RtContribute(SourceAlias,S10,Fields,T10:U10,"SCOPE:SERVER"),_xll.RtContribute(SourceAlias,"DDS_INSERT_S",$F$2:$H$2,S10:U10,"SCOPE:SERVER FTC:ALL")),"stopped")</f>
        <v>stopped</v>
      </c>
      <c r="I10" s="2"/>
      <c r="J10" s="15"/>
      <c r="K10" s="16"/>
      <c r="L10" s="16"/>
      <c r="M10" s="125" t="str">
        <f t="shared" si="0"/>
        <v>AUD1M2WD=</v>
      </c>
      <c r="N10" s="126">
        <f>'1M Pricing'!H10*100</f>
        <v>2.0252843267118323</v>
      </c>
      <c r="O10" s="126">
        <f t="shared" si="8"/>
        <v>2.0252843267118323</v>
      </c>
      <c r="P10" s="15" t="str">
        <f t="shared" si="1"/>
        <v>AUD3M2WD=</v>
      </c>
      <c r="Q10" s="16">
        <f>'3M Pricing'!H10*100</f>
        <v>2.2992442103971538</v>
      </c>
      <c r="R10" s="16">
        <f t="shared" si="9"/>
        <v>2.2992442103971538</v>
      </c>
      <c r="S10" s="15" t="str">
        <f t="shared" si="2"/>
        <v>AUD6M2WD=</v>
      </c>
      <c r="T10" s="16">
        <f>'6M Pricing'!H10*100</f>
        <v>2.4438454802343363</v>
      </c>
      <c r="U10" s="16">
        <f t="shared" si="10"/>
        <v>2.4438454802343363</v>
      </c>
      <c r="V10" s="98" t="s">
        <v>70</v>
      </c>
      <c r="W10" s="16"/>
      <c r="X10" s="16"/>
      <c r="Y10" s="127">
        <f>ABS(_xll.RtGet(SourceAlias,$M10,BID)-N10)</f>
        <v>1.0260288167529552E-5</v>
      </c>
      <c r="Z10" s="127">
        <f>ABS(_xll.RtGet(SourceAlias,$M10,ASK)-O10)</f>
        <v>1.0260288167529552E-5</v>
      </c>
      <c r="AA10" s="16">
        <f>ABS(_xll.RtGet(SourceAlias,$P10,BID)-Q10)</f>
        <v>6.0284621739015165E-10</v>
      </c>
      <c r="AB10" s="16">
        <f>ABS(_xll.RtGet(SourceAlias,$P10,ASK)-R10)</f>
        <v>6.0284621739015165E-10</v>
      </c>
      <c r="AC10" s="16">
        <f>ABS(_xll.RtGet(SourceAlias,$S10,BID)-T10)</f>
        <v>4.7523433632790102E-7</v>
      </c>
      <c r="AD10" s="16">
        <f>ABS(_xll.RtGet(SourceAlias,$S10,ASK)-U10)</f>
        <v>4.7523433632790102E-7</v>
      </c>
      <c r="AE10" s="41" t="s">
        <v>70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1.25" customHeight="1" x14ac:dyDescent="0.2">
      <c r="A11" s="2"/>
      <c r="B11" s="2"/>
      <c r="C11" s="169"/>
      <c r="D11" s="21" t="s">
        <v>51</v>
      </c>
      <c r="E11" s="21" t="s">
        <v>70</v>
      </c>
      <c r="F11" s="143" t="str">
        <f>IF(Contribute="abcd",IF($F$2&lt;&gt;-1,_xll.RtContribute(SourceAlias,M11,Fields,N11:O11,"SCOPE:SERVER"),_xll.RtContribute(SourceAlias,"DDS_INSERT_S",$F$2:$H$2,M11:O11,"SCOPE:SERVER FTC:ALL")),"stopped")</f>
        <v>stopped</v>
      </c>
      <c r="G11" s="21" t="str">
        <f>IF(Contribute="abcd",IF($F$2&lt;&gt;-1,_xll.RtContribute(SourceAlias,P11,Fields,Q11:R11,"SCOPE:SERVER"),_xll.RtContribute(SourceAlias,"DDS_INSERT_S",$F$2:$H$2,P11:R11,"SCOPE:SERVER FTC:ALL")),"stopped")</f>
        <v>stopped</v>
      </c>
      <c r="H11" s="21" t="str">
        <f>IF(Contribute="abcd",IF($F$2&lt;&gt;-1,_xll.RtContribute(SourceAlias,S11,Fields,T11:U11,"SCOPE:SERVER"),_xll.RtContribute(SourceAlias,"DDS_INSERT_S",$F$2:$H$2,S11:U11,"SCOPE:SERVER FTC:ALL")),"stopped")</f>
        <v>stopped</v>
      </c>
      <c r="I11" s="2"/>
      <c r="J11" s="15"/>
      <c r="K11" s="16"/>
      <c r="L11" s="16"/>
      <c r="M11" s="125" t="str">
        <f t="shared" si="0"/>
        <v>AUD1M3WD=</v>
      </c>
      <c r="N11" s="126">
        <f>'1M Pricing'!H11*100</f>
        <v>2.0260946081382323</v>
      </c>
      <c r="O11" s="126">
        <f t="shared" si="8"/>
        <v>2.0260946081382323</v>
      </c>
      <c r="P11" s="15" t="str">
        <f t="shared" si="1"/>
        <v>AUD3M3WD=</v>
      </c>
      <c r="Q11" s="16">
        <f>'3M Pricing'!H11*100</f>
        <v>2.2981855788175789</v>
      </c>
      <c r="R11" s="16">
        <f t="shared" si="9"/>
        <v>2.2981855788175789</v>
      </c>
      <c r="S11" s="15" t="str">
        <f t="shared" si="2"/>
        <v>AUD6M3WD=</v>
      </c>
      <c r="T11" s="16">
        <f>'6M Pricing'!H11*100</f>
        <v>2.4443995827002367</v>
      </c>
      <c r="U11" s="16">
        <f t="shared" si="10"/>
        <v>2.4443995827002367</v>
      </c>
      <c r="V11" s="98" t="s">
        <v>70</v>
      </c>
      <c r="W11" s="16"/>
      <c r="X11" s="16"/>
      <c r="Y11" s="127">
        <f>ABS(_xll.RtGet(SourceAlias,$M11,BID)-N11)</f>
        <v>1.1386086176790045E-4</v>
      </c>
      <c r="Z11" s="127">
        <f>ABS(_xll.RtGet(SourceAlias,$M11,ASK)-O11)</f>
        <v>1.1386086176790045E-4</v>
      </c>
      <c r="AA11" s="16">
        <f>ABS(_xll.RtGet(SourceAlias,$P11,BID)-Q11)</f>
        <v>1.8242118926536932E-10</v>
      </c>
      <c r="AB11" s="16">
        <f>ABS(_xll.RtGet(SourceAlias,$P11,ASK)-R11)</f>
        <v>1.8242118926536932E-10</v>
      </c>
      <c r="AC11" s="16">
        <f>ABS(_xll.RtGet(SourceAlias,$S11,BID)-T11)</f>
        <v>1.2972997631699457E-6</v>
      </c>
      <c r="AD11" s="16">
        <f>ABS(_xll.RtGet(SourceAlias,$S11,ASK)-U11)</f>
        <v>1.2972997631699457E-6</v>
      </c>
      <c r="AE11" s="41" t="s">
        <v>70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1.25" customHeight="1" x14ac:dyDescent="0.2">
      <c r="A12" s="2"/>
      <c r="B12" s="2"/>
      <c r="C12" s="169"/>
      <c r="D12" s="21" t="s">
        <v>52</v>
      </c>
      <c r="E12" s="21" t="str">
        <f>IF(Contribute="abcd",IF($F$2&lt;&gt;-1,_xll.RtContribute(SourceAlias,J12,Fields,K12:L12,"SCOPE:SERVER"),_xll.RtContribute(SourceAlias,"DDS_INSERT_S",$F$2:$H$2,K12:L12,"SCOPE:SERVER FTC:ALL")),"stopped")</f>
        <v>stopped</v>
      </c>
      <c r="F12" s="143" t="str">
        <f>IF(Contribute="abcd",IF($F$2&lt;&gt;-1,_xll.RtContribute(SourceAlias,M12,Fields,N12:O12,"SCOPE:SERVER"),_xll.RtContribute(SourceAlias,"DDS_INSERT_S",$F$2:$H$2,M12:O12,"SCOPE:SERVER FTC:ALL")),"stopped")</f>
        <v>stopped</v>
      </c>
      <c r="G12" s="21" t="str">
        <f>IF(Contribute="abcd",IF($F$2&lt;&gt;-1,_xll.RtContribute(SourceAlias,P12,Fields,Q12:R12,"SCOPE:SERVER"),_xll.RtContribute(SourceAlias,"DDS_INSERT_S",$F$2:$H$2,P12:R12,"SCOPE:SERVER FTC:ALL")),"stopped")</f>
        <v>stopped</v>
      </c>
      <c r="H12" s="21" t="str">
        <f>IF(Contribute="abcd",IF($F$2&lt;&gt;-1,_xll.RtContribute(SourceAlias,S12,Fields,T12:U12,"SCOPE:SERVER"),_xll.RtContribute(SourceAlias,"DDS_INSERT_S",$F$2:$H$2,S12:U12,"SCOPE:SERVER FTC:ALL")),"stopped")</f>
        <v>stopped</v>
      </c>
      <c r="I12" s="2"/>
      <c r="J12" s="15" t="str">
        <f t="shared" ref="J12:J18" si="11">Currency&amp;"ON"&amp;D12&amp;"="</f>
        <v>AUDON1MD=</v>
      </c>
      <c r="K12" s="16">
        <f>'ON Pricing'!H12*100</f>
        <v>1.9999999999474074</v>
      </c>
      <c r="L12" s="16">
        <f t="shared" si="7"/>
        <v>1.9999999999474074</v>
      </c>
      <c r="M12" s="125" t="str">
        <f t="shared" si="0"/>
        <v>AUD1M1MD=</v>
      </c>
      <c r="N12" s="126">
        <f>'1M Pricing'!H12*100</f>
        <v>2.0268387074696865</v>
      </c>
      <c r="O12" s="126">
        <f t="shared" si="8"/>
        <v>2.0268387074696865</v>
      </c>
      <c r="P12" s="15" t="str">
        <f t="shared" si="1"/>
        <v>AUD3M1MD=</v>
      </c>
      <c r="Q12" s="16">
        <f>'3M Pricing'!H12*100</f>
        <v>2.2969220122143543</v>
      </c>
      <c r="R12" s="16">
        <f t="shared" si="9"/>
        <v>2.2969220122143543</v>
      </c>
      <c r="S12" s="15" t="str">
        <f t="shared" si="2"/>
        <v>AUD6M1MD=</v>
      </c>
      <c r="T12" s="16">
        <f>'6M Pricing'!H12*100</f>
        <v>2.4453813177658517</v>
      </c>
      <c r="U12" s="16">
        <f t="shared" si="10"/>
        <v>2.4453813177658517</v>
      </c>
      <c r="V12" s="98" t="s">
        <v>70</v>
      </c>
      <c r="W12" s="16">
        <f>ABS(_xll.RtGet(SourceAlias,$J12,BID)-K12)</f>
        <v>5.2592596944123216E-11</v>
      </c>
      <c r="X12" s="16">
        <f>ABS(_xll.RtGet(SourceAlias,$J12,ASK)-L12)</f>
        <v>5.2592596944123216E-11</v>
      </c>
      <c r="Y12" s="127">
        <f>ABS(_xll.RtGet(SourceAlias,$M12,BID)-N12)</f>
        <v>8.2940530313546645E-5</v>
      </c>
      <c r="Z12" s="127">
        <f>ABS(_xll.RtGet(SourceAlias,$M12,ASK)-O12)</f>
        <v>8.2940530313546645E-5</v>
      </c>
      <c r="AA12" s="16">
        <f>ABS(_xll.RtGet(SourceAlias,$P12,BID)-Q12)</f>
        <v>7.8564577066231323E-10</v>
      </c>
      <c r="AB12" s="16">
        <f>ABS(_xll.RtGet(SourceAlias,$P12,ASK)-R12)</f>
        <v>7.8564577066231323E-10</v>
      </c>
      <c r="AC12" s="16">
        <f>ABS(_xll.RtGet(SourceAlias,$S12,BID)-T12)</f>
        <v>6.1767658516842516E-6</v>
      </c>
      <c r="AD12" s="16">
        <f>ABS(_xll.RtGet(SourceAlias,$S12,ASK)-U12)</f>
        <v>6.1767658516842516E-6</v>
      </c>
      <c r="AE12" s="41" t="s">
        <v>70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1.25" customHeight="1" x14ac:dyDescent="0.2">
      <c r="A13" s="2"/>
      <c r="B13" s="2"/>
      <c r="C13" s="169"/>
      <c r="D13" s="21" t="s">
        <v>53</v>
      </c>
      <c r="E13" s="21" t="str">
        <f>IF(Contribute="abcd",IF($F$2&lt;&gt;-1,_xll.RtContribute(SourceAlias,J13,Fields,K13:L13,"SCOPE:SERVER"),_xll.RtContribute(SourceAlias,"DDS_INSERT_S",$F$2:$H$2,K13:L13,"SCOPE:SERVER FTC:ALL")),"stopped")</f>
        <v>stopped</v>
      </c>
      <c r="F13" s="143" t="s">
        <v>70</v>
      </c>
      <c r="G13" s="21" t="str">
        <f>IF(Contribute="abcd",IF($F$2&lt;&gt;-1,_xll.RtContribute(SourceAlias,P13,Fields,Q13:R13,"SCOPE:SERVER"),_xll.RtContribute(SourceAlias,"DDS_INSERT_S",$F$2:$H$2,P13:R13,"SCOPE:SERVER FTC:ALL")),"stopped")</f>
        <v>stopped</v>
      </c>
      <c r="H13" s="21" t="str">
        <f>IF(Contribute="abcd",IF($F$2&lt;&gt;-1,_xll.RtContribute(SourceAlias,S13,Fields,T13:U13,"SCOPE:SERVER"),_xll.RtContribute(SourceAlias,"DDS_INSERT_S",$F$2:$H$2,S13:U13,"SCOPE:SERVER FTC:ALL")),"stopped")</f>
        <v>stopped</v>
      </c>
      <c r="I13" s="2"/>
      <c r="J13" s="15" t="str">
        <f t="shared" si="11"/>
        <v>AUDON2MD=</v>
      </c>
      <c r="K13" s="16">
        <f>'ON Pricing'!H13*100</f>
        <v>1.9949999998748038</v>
      </c>
      <c r="L13" s="16">
        <f t="shared" si="7"/>
        <v>1.9949999998748038</v>
      </c>
      <c r="M13" s="125"/>
      <c r="N13" s="126"/>
      <c r="O13" s="126"/>
      <c r="P13" s="15" t="str">
        <f t="shared" si="1"/>
        <v>AUD3M2MD=</v>
      </c>
      <c r="Q13" s="16">
        <f>'3M Pricing'!H13*100</f>
        <v>2.2891558318826197</v>
      </c>
      <c r="R13" s="16">
        <f t="shared" si="9"/>
        <v>2.2891558318826197</v>
      </c>
      <c r="S13" s="15" t="str">
        <f t="shared" si="2"/>
        <v>AUD6M2MD=</v>
      </c>
      <c r="T13" s="16">
        <f>'6M Pricing'!H13*100</f>
        <v>2.4421984227251876</v>
      </c>
      <c r="U13" s="16">
        <f t="shared" si="10"/>
        <v>2.4421984227251876</v>
      </c>
      <c r="V13" s="98" t="s">
        <v>70</v>
      </c>
      <c r="W13" s="16">
        <f>ABS(_xll.RtGet(SourceAlias,$J13,BID)-K13)</f>
        <v>1.2519607572869518E-10</v>
      </c>
      <c r="X13" s="16">
        <f>ABS(_xll.RtGet(SourceAlias,$J13,ASK)-L13)</f>
        <v>1.2519607572869518E-10</v>
      </c>
      <c r="Y13" s="127"/>
      <c r="Z13" s="127"/>
      <c r="AA13" s="16">
        <f>ABS(_xll.RtGet(SourceAlias,$P13,BID)-Q13)</f>
        <v>1.882619837800803E-9</v>
      </c>
      <c r="AB13" s="16">
        <f>ABS(_xll.RtGet(SourceAlias,$P13,ASK)-R13)</f>
        <v>1.882619837800803E-9</v>
      </c>
      <c r="AC13" s="16">
        <f>ABS(_xll.RtGet(SourceAlias,$S13,BID)-T13)</f>
        <v>1.2036274812388115E-5</v>
      </c>
      <c r="AD13" s="16">
        <f>ABS(_xll.RtGet(SourceAlias,$S13,ASK)-U13)</f>
        <v>1.2036274812388115E-5</v>
      </c>
      <c r="AE13" s="41" t="s">
        <v>70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1.25" customHeight="1" x14ac:dyDescent="0.2">
      <c r="A14" s="2"/>
      <c r="B14" s="2"/>
      <c r="C14" s="169"/>
      <c r="D14" s="21" t="s">
        <v>54</v>
      </c>
      <c r="E14" s="21" t="str">
        <f>IF(Contribute="abcd",IF($F$2&lt;&gt;-1,_xll.RtContribute(SourceAlias,J14,Fields,K14:L14,"SCOPE:SERVER"),_xll.RtContribute(SourceAlias,"DDS_INSERT_S",$F$2:$H$2,K14:L14,"SCOPE:SERVER FTC:ALL")),"stopped")</f>
        <v>stopped</v>
      </c>
      <c r="F14" s="143" t="s">
        <v>70</v>
      </c>
      <c r="G14" s="21" t="str">
        <f>IF(Contribute="abcd",IF($F$2&lt;&gt;-1,_xll.RtContribute(SourceAlias,P14,Fields,Q14:R14,"SCOPE:SERVER"),_xll.RtContribute(SourceAlias,"DDS_INSERT_S",$F$2:$H$2,P14:R14,"SCOPE:SERVER FTC:ALL")),"stopped")</f>
        <v>stopped</v>
      </c>
      <c r="H14" s="21" t="str">
        <f>IF(Contribute="abcd",IF($F$2&lt;&gt;-1,_xll.RtContribute(SourceAlias,S14,Fields,T14:U14,"SCOPE:SERVER"),_xll.RtContribute(SourceAlias,"DDS_INSERT_S",$F$2:$H$2,S14:U14,"SCOPE:SERVER FTC:ALL")),"stopped")</f>
        <v>stopped</v>
      </c>
      <c r="I14" s="2"/>
      <c r="J14" s="15" t="str">
        <f t="shared" si="11"/>
        <v>AUDON3MD=</v>
      </c>
      <c r="K14" s="16">
        <f>'ON Pricing'!H14*100</f>
        <v>1.979999999930947</v>
      </c>
      <c r="L14" s="16">
        <f t="shared" si="7"/>
        <v>1.979999999930947</v>
      </c>
      <c r="M14" s="128"/>
      <c r="N14" s="129"/>
      <c r="O14" s="129"/>
      <c r="P14" s="15" t="str">
        <f t="shared" si="1"/>
        <v>AUD3M3MD=</v>
      </c>
      <c r="Q14" s="16">
        <f>'3M Pricing'!H14*100</f>
        <v>2.2739603835599391</v>
      </c>
      <c r="R14" s="16">
        <f t="shared" si="9"/>
        <v>2.2739603835599391</v>
      </c>
      <c r="S14" s="15" t="str">
        <f t="shared" si="2"/>
        <v>AUD6M3MD=</v>
      </c>
      <c r="T14" s="16">
        <f>'6M Pricing'!H14*100</f>
        <v>2.4296202059641412</v>
      </c>
      <c r="U14" s="16">
        <f t="shared" si="10"/>
        <v>2.4296202059641412</v>
      </c>
      <c r="V14" s="98" t="s">
        <v>70</v>
      </c>
      <c r="W14" s="16">
        <f>ABS(_xll.RtGet(SourceAlias,$J14,BID)-K14)</f>
        <v>6.9052985551820711E-11</v>
      </c>
      <c r="X14" s="16">
        <f>ABS(_xll.RtGet(SourceAlias,$J14,ASK)-L14)</f>
        <v>6.9052985551820711E-11</v>
      </c>
      <c r="Y14" s="130"/>
      <c r="Z14" s="130"/>
      <c r="AA14" s="16">
        <f>ABS(_xll.RtGet(SourceAlias,$P14,BID)-Q14)</f>
        <v>5.4400608462401578E-9</v>
      </c>
      <c r="AB14" s="16">
        <f>ABS(_xll.RtGet(SourceAlias,$P14,ASK)-R14)</f>
        <v>5.4400608462401578E-9</v>
      </c>
      <c r="AC14" s="16">
        <f>ABS(_xll.RtGet(SourceAlias,$S14,BID)-T14)</f>
        <v>3.0780964141108313E-5</v>
      </c>
      <c r="AD14" s="16">
        <f>ABS(_xll.RtGet(SourceAlias,$S14,ASK)-U14)</f>
        <v>3.0780964141108313E-5</v>
      </c>
      <c r="AE14" s="41" t="s">
        <v>70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1.25" customHeight="1" x14ac:dyDescent="0.2">
      <c r="A15" s="2"/>
      <c r="B15" s="2"/>
      <c r="C15" s="169"/>
      <c r="D15" s="21" t="s">
        <v>55</v>
      </c>
      <c r="E15" s="21" t="str">
        <f>IF(Contribute="abcd",IF($F$2&lt;&gt;-1,_xll.RtContribute(SourceAlias,J15,Fields,K15:L15,"SCOPE:SERVER"),_xll.RtContribute(SourceAlias,"DDS_INSERT_S",$F$2:$H$2,K15:L15,"SCOPE:SERVER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IF(Contribute="abcd",IF($F$2&lt;&gt;-1,_xll.RtContribute(SourceAlias,S15,Fields,T15:U15,"SCOPE:SERVER"),_xll.RtContribute(SourceAlias,"DDS_INSERT_S",$F$2:$H$2,S15:U15,"SCOPE:SERVER FTC:ALL")),"stopped")</f>
        <v>stopped</v>
      </c>
      <c r="I15" s="2"/>
      <c r="J15" s="15" t="str">
        <f t="shared" si="11"/>
        <v>AUDON4MD=</v>
      </c>
      <c r="K15" s="16">
        <f>'ON Pricing'!H15*100</f>
        <v>1.9674999999462717</v>
      </c>
      <c r="L15" s="16">
        <f t="shared" si="7"/>
        <v>1.9674999999462717</v>
      </c>
      <c r="M15" s="125"/>
      <c r="N15" s="126"/>
      <c r="O15" s="126"/>
      <c r="P15" s="103"/>
      <c r="Q15" s="103"/>
      <c r="R15" s="103"/>
      <c r="S15" s="15" t="str">
        <f t="shared" si="2"/>
        <v>AUD6M4MD=</v>
      </c>
      <c r="T15" s="16">
        <f>'6M Pricing'!H15*100</f>
        <v>2.4197688711857301</v>
      </c>
      <c r="U15" s="16">
        <f t="shared" si="10"/>
        <v>2.4197688711857301</v>
      </c>
      <c r="V15" s="98" t="s">
        <v>70</v>
      </c>
      <c r="W15" s="16">
        <f>ABS(_xll.RtGet(SourceAlias,$J15,BID)-K15)</f>
        <v>5.3728355098314751E-11</v>
      </c>
      <c r="X15" s="16">
        <f>ABS(_xll.RtGet(SourceAlias,$J15,ASK)-L15)</f>
        <v>5.3728355098314751E-11</v>
      </c>
      <c r="Y15" s="127"/>
      <c r="Z15" s="127"/>
      <c r="AA15" s="104"/>
      <c r="AB15" s="104"/>
      <c r="AC15" s="16">
        <f>ABS(_xll.RtGet(SourceAlias,$S15,BID)-T15)</f>
        <v>1.3710581426984447E-4</v>
      </c>
      <c r="AD15" s="16">
        <f>ABS(_xll.RtGet(SourceAlias,$S15,ASK)-U15)</f>
        <v>1.3710581426984447E-4</v>
      </c>
      <c r="AE15" s="41" t="s">
        <v>70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1.25" customHeight="1" x14ac:dyDescent="0.2">
      <c r="A16" s="2"/>
      <c r="B16" s="2"/>
      <c r="C16" s="169"/>
      <c r="D16" s="21" t="s">
        <v>56</v>
      </c>
      <c r="E16" s="21" t="str">
        <f>IF(Contribute="abcd",IF($F$2&lt;&gt;-1,_xll.RtContribute(SourceAlias,J16,Fields,K16:L16,"SCOPE:SERVER"),_xll.RtContribute(SourceAlias,"DDS_INSERT_S",$F$2:$H$2,K16:L16,"SCOPE:SERVER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IF(Contribute="abcd",IF($F$2&lt;&gt;-1,_xll.RtContribute(SourceAlias,S16,Fields,T16:U16,"SCOPE:SERVER"),_xll.RtContribute(SourceAlias,"DDS_INSERT_S",$F$2:$H$2,S16:U16,"SCOPE:SERVER FTC:ALL")),"stopped")</f>
        <v>stopped</v>
      </c>
      <c r="I16" s="2"/>
      <c r="J16" s="15" t="str">
        <f t="shared" si="11"/>
        <v>AUDON5MD=</v>
      </c>
      <c r="K16" s="16">
        <f>'ON Pricing'!H16*100</f>
        <v>1.9524999999568238</v>
      </c>
      <c r="L16" s="16">
        <f t="shared" si="7"/>
        <v>1.9524999999568238</v>
      </c>
      <c r="M16" s="125"/>
      <c r="N16" s="126"/>
      <c r="O16" s="126"/>
      <c r="P16" s="103"/>
      <c r="Q16" s="103"/>
      <c r="R16" s="103"/>
      <c r="S16" s="15" t="str">
        <f t="shared" si="2"/>
        <v>AUD6M5MD=</v>
      </c>
      <c r="T16" s="16">
        <f>'6M Pricing'!H16*100</f>
        <v>2.4060012802185966</v>
      </c>
      <c r="U16" s="16">
        <f t="shared" si="10"/>
        <v>2.4060012802185966</v>
      </c>
      <c r="V16" s="98" t="s">
        <v>70</v>
      </c>
      <c r="W16" s="16">
        <f>ABS(_xll.RtGet(SourceAlias,$J16,BID)-K16)</f>
        <v>4.3176351383067413E-11</v>
      </c>
      <c r="X16" s="16">
        <f>ABS(_xll.RtGet(SourceAlias,$J16,ASK)-L16)</f>
        <v>4.3176351383067413E-11</v>
      </c>
      <c r="Y16" s="127"/>
      <c r="Z16" s="127"/>
      <c r="AA16" s="104"/>
      <c r="AB16" s="104"/>
      <c r="AC16" s="16">
        <f>ABS(_xll.RtGet(SourceAlias,$S16,BID)-T16)</f>
        <v>9.1798978140333887E-4</v>
      </c>
      <c r="AD16" s="16">
        <f>ABS(_xll.RtGet(SourceAlias,$S16,ASK)-U16)</f>
        <v>9.1798978140333887E-4</v>
      </c>
      <c r="AE16" s="41" t="s">
        <v>70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1.25" customHeight="1" x14ac:dyDescent="0.2">
      <c r="A17" s="2"/>
      <c r="B17" s="2"/>
      <c r="C17" s="169"/>
      <c r="D17" s="21" t="s">
        <v>57</v>
      </c>
      <c r="E17" s="21" t="str">
        <f>IF(Contribute="abcd",IF($F$2&lt;&gt;-1,_xll.RtContribute(SourceAlias,J17,Fields,K17:L17,"SCOPE:SERVER"),_xll.RtContribute(SourceAlias,"DDS_INSERT_S",$F$2:$H$2,K17:L17,"SCOPE:SERVER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IF(Contribute="abcd",IF($F$2&lt;&gt;-1,_xll.RtContribute(SourceAlias,S17,Fields,T17:U17,"SCOPE:SERVER"),_xll.RtContribute(SourceAlias,"DDS_INSERT_S",$F$2:$H$2,S17:U17,"SCOPE:SERVER FTC:ALL")),"stopped")</f>
        <v>stopped</v>
      </c>
      <c r="I17" s="2"/>
      <c r="J17" s="15" t="str">
        <f t="shared" si="11"/>
        <v>AUDON6MD=</v>
      </c>
      <c r="K17" s="16">
        <f>'ON Pricing'!H17*100</f>
        <v>1.9449999999639946</v>
      </c>
      <c r="L17" s="16">
        <f t="shared" si="7"/>
        <v>1.9449999999639946</v>
      </c>
      <c r="M17" s="128"/>
      <c r="N17" s="129"/>
      <c r="O17" s="129"/>
      <c r="P17" s="103"/>
      <c r="Q17" s="103"/>
      <c r="R17" s="103"/>
      <c r="S17" s="15" t="str">
        <f t="shared" si="2"/>
        <v>AUD6M6MD=</v>
      </c>
      <c r="T17" s="16">
        <f>'6M Pricing'!H17*100</f>
        <v>2.4022631830517454</v>
      </c>
      <c r="U17" s="16">
        <f t="shared" si="10"/>
        <v>2.4022631830517454</v>
      </c>
      <c r="V17" s="98" t="s">
        <v>70</v>
      </c>
      <c r="W17" s="16">
        <f>ABS(_xll.RtGet(SourceAlias,$J17,BID)-K17)</f>
        <v>3.6005198822408602E-11</v>
      </c>
      <c r="X17" s="16">
        <f>ABS(_xll.RtGet(SourceAlias,$J17,ASK)-L17)</f>
        <v>3.6005198822408602E-11</v>
      </c>
      <c r="Y17" s="130"/>
      <c r="Z17" s="130"/>
      <c r="AA17" s="104"/>
      <c r="AB17" s="104"/>
      <c r="AC17" s="16">
        <f>ABS(_xll.RtGet(SourceAlias,$S17,BID)-T17)</f>
        <v>5.2578051745300058E-5</v>
      </c>
      <c r="AD17" s="16">
        <f>ABS(_xll.RtGet(SourceAlias,$S17,ASK)-U17)</f>
        <v>5.2578051745300058E-5</v>
      </c>
      <c r="AE17" s="41" t="s">
        <v>70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1.25" customHeight="1" x14ac:dyDescent="0.2">
      <c r="A18" s="2"/>
      <c r="B18" s="2"/>
      <c r="C18" s="170"/>
      <c r="D18" s="22" t="s">
        <v>58</v>
      </c>
      <c r="E18" s="22" t="str">
        <f>IF(Contribute="abcd",IF($F$2&lt;&gt;-1,_xll.RtContribute(SourceAlias,J18,Fields,K18:L18,"SCOPE:SERVER"),_xll.RtContribute(SourceAlias,"DDS_INSERT_S",$F$2:$H$2,K18:L18,"SCOPE:SERVER FTC:ALL")),"stopped")</f>
        <v>stopped</v>
      </c>
      <c r="F18" s="144" t="s">
        <v>70</v>
      </c>
      <c r="G18" s="100" t="s">
        <v>70</v>
      </c>
      <c r="H18" s="22" t="s">
        <v>70</v>
      </c>
      <c r="I18" s="2"/>
      <c r="J18" s="15" t="str">
        <f t="shared" si="11"/>
        <v>AUDON9MD=</v>
      </c>
      <c r="K18" s="16">
        <f>'ON Pricing'!H18*100</f>
        <v>1.9099999999759265</v>
      </c>
      <c r="L18" s="16">
        <f t="shared" ref="L18" si="12">K18</f>
        <v>1.9099999999759265</v>
      </c>
      <c r="M18" s="131"/>
      <c r="N18" s="132"/>
      <c r="O18" s="132"/>
      <c r="P18" s="103"/>
      <c r="Q18" s="103"/>
      <c r="R18" s="103"/>
      <c r="S18" s="15"/>
      <c r="T18" s="16"/>
      <c r="U18" s="16"/>
      <c r="V18" s="98" t="s">
        <v>70</v>
      </c>
      <c r="W18" s="16">
        <f>ABS(_xll.RtGet(SourceAlias,$J18,BID)-K18)</f>
        <v>2.4073409932157119E-11</v>
      </c>
      <c r="X18" s="16">
        <f>ABS(_xll.RtGet(SourceAlias,$J18,ASK)-L18)</f>
        <v>2.4073409932157119E-11</v>
      </c>
      <c r="Y18" s="133"/>
      <c r="Z18" s="133"/>
      <c r="AA18" s="104"/>
      <c r="AB18" s="104"/>
      <c r="AC18" s="16"/>
      <c r="AD18" s="16"/>
      <c r="AE18" s="41" t="s">
        <v>70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1.25" customHeight="1" x14ac:dyDescent="0.2">
      <c r="A19" s="2" t="b">
        <v>1</v>
      </c>
      <c r="B19" s="121">
        <f t="array" ref="B19:B25">_xll.qlASXNextDates(_xll.qlSettingsEvaluationDate(Trigger),A19:A25)</f>
        <v>42440</v>
      </c>
      <c r="C19" s="171" t="s">
        <v>92</v>
      </c>
      <c r="D19" s="96" t="str">
        <f>_xll.qlASXcode(B19,Trigger)</f>
        <v>H6</v>
      </c>
      <c r="E19" s="107" t="s">
        <v>70</v>
      </c>
      <c r="F19" s="145" t="s">
        <v>70</v>
      </c>
      <c r="G19" s="20" t="str">
        <f>IF(Contribute="abcd",IF($F$2&lt;&gt;-1,_xll.RtContribute(SourceAlias,P19,Fields,Q19:R19,"SCOPE:SERVER"),_xll.RtContribute(SourceAlias,"DDS_INSERT_S",$F$2:$H$2,P19:R19,"SCOPE:SERVER FTC:ALL")),"stopped")</f>
        <v>stopped</v>
      </c>
      <c r="H19" s="115" t="s">
        <v>70</v>
      </c>
      <c r="I19" s="2"/>
      <c r="J19" s="101"/>
      <c r="K19" s="101"/>
      <c r="L19" s="101"/>
      <c r="M19" s="134"/>
      <c r="N19" s="135"/>
      <c r="O19" s="135"/>
      <c r="P19" s="13" t="str">
        <f t="shared" ref="P19:P25" si="13">Currency&amp;$P$4&amp;D19</f>
        <v>AUD3MH6</v>
      </c>
      <c r="Q19" s="14">
        <f>'3M Pricing'!H19</f>
        <v>97.784999999991356</v>
      </c>
      <c r="R19" s="14">
        <f t="shared" ref="R19:R25" si="14">Q19</f>
        <v>97.784999999991356</v>
      </c>
      <c r="S19" s="101"/>
      <c r="T19" s="101"/>
      <c r="U19" s="101"/>
      <c r="V19" s="98" t="s">
        <v>70</v>
      </c>
      <c r="W19" s="102"/>
      <c r="X19" s="107"/>
      <c r="Y19" s="136"/>
      <c r="Z19" s="136"/>
      <c r="AA19" s="14">
        <f>ABS(_xll.RtGet(SourceAlias,$P19,BID)-Q19)</f>
        <v>8.6401996668428183E-12</v>
      </c>
      <c r="AB19" s="14">
        <f>ABS(_xll.RtGet(SourceAlias,$P19,ASK)-R19)</f>
        <v>8.6401996668428183E-12</v>
      </c>
      <c r="AC19" s="102"/>
      <c r="AD19" s="102"/>
      <c r="AE19" s="41" t="s">
        <v>70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1.25" customHeight="1" x14ac:dyDescent="0.2">
      <c r="A20" s="2" t="b">
        <v>1</v>
      </c>
      <c r="B20" s="121">
        <v>42531</v>
      </c>
      <c r="C20" s="172"/>
      <c r="D20" s="97" t="str">
        <f>_xll.qlASXcode(B20,Trigger)</f>
        <v>M6</v>
      </c>
      <c r="E20" s="108" t="s">
        <v>70</v>
      </c>
      <c r="F20" s="146" t="s">
        <v>70</v>
      </c>
      <c r="G20" s="21" t="str">
        <f>IF(Contribute="abcd",IF($F$2&lt;&gt;-1,_xll.RtContribute(SourceAlias,P20,Fields,Q20:R20,"SCOPE:SERVER"),_xll.RtContribute(SourceAlias,"DDS_INSERT_S",$F$2:$H$2,P20:R20,"SCOPE:SERVER FTC:ALL")),"stopped")</f>
        <v>stopped</v>
      </c>
      <c r="H20" s="116" t="s">
        <v>70</v>
      </c>
      <c r="I20" s="2"/>
      <c r="J20" s="103"/>
      <c r="K20" s="103"/>
      <c r="L20" s="103"/>
      <c r="M20" s="128"/>
      <c r="N20" s="129"/>
      <c r="O20" s="129"/>
      <c r="P20" s="15" t="str">
        <f t="shared" si="13"/>
        <v>AUD3MM6</v>
      </c>
      <c r="Q20" s="16">
        <f>'3M Pricing'!H20</f>
        <v>97.845000000000041</v>
      </c>
      <c r="R20" s="16">
        <f t="shared" si="14"/>
        <v>97.845000000000041</v>
      </c>
      <c r="S20" s="103"/>
      <c r="T20" s="103"/>
      <c r="U20" s="103"/>
      <c r="V20" s="98" t="s">
        <v>70</v>
      </c>
      <c r="W20" s="104"/>
      <c r="X20" s="108"/>
      <c r="Y20" s="130"/>
      <c r="Z20" s="130"/>
      <c r="AA20" s="16">
        <f>ABS(_xll.RtGet(SourceAlias,$P20,BID)-Q20)</f>
        <v>4.2632564145606011E-14</v>
      </c>
      <c r="AB20" s="16">
        <f>ABS(_xll.RtGet(SourceAlias,$P20,ASK)-R20)</f>
        <v>4.2632564145606011E-14</v>
      </c>
      <c r="AC20" s="104"/>
      <c r="AD20" s="104"/>
      <c r="AE20" s="41" t="s">
        <v>70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1.25" customHeight="1" x14ac:dyDescent="0.2">
      <c r="A21" s="2" t="b">
        <v>1</v>
      </c>
      <c r="B21" s="121">
        <v>42622</v>
      </c>
      <c r="C21" s="172"/>
      <c r="D21" s="97" t="str">
        <f>_xll.qlASXcode(B21,Trigger)</f>
        <v>U6</v>
      </c>
      <c r="E21" s="108" t="s">
        <v>70</v>
      </c>
      <c r="F21" s="146" t="s">
        <v>70</v>
      </c>
      <c r="G21" s="21" t="str">
        <f>IF(Contribute="abcd",IF($F$2&lt;&gt;-1,_xll.RtContribute(SourceAlias,P21,Fields,Q21:R21,"SCOPE:SERVER"),_xll.RtContribute(SourceAlias,"DDS_INSERT_S",$F$2:$H$2,P21:R21,"SCOPE:SERVER FTC:ALL")),"stopped")</f>
        <v>stopped</v>
      </c>
      <c r="H21" s="116" t="s">
        <v>70</v>
      </c>
      <c r="I21" s="2"/>
      <c r="J21" s="103"/>
      <c r="K21" s="103"/>
      <c r="L21" s="103"/>
      <c r="M21" s="128"/>
      <c r="N21" s="129"/>
      <c r="O21" s="129"/>
      <c r="P21" s="15" t="str">
        <f t="shared" si="13"/>
        <v>AUD3MU6</v>
      </c>
      <c r="Q21" s="16">
        <f>'3M Pricing'!H21</f>
        <v>97.813619077638975</v>
      </c>
      <c r="R21" s="16">
        <f t="shared" si="14"/>
        <v>97.813619077638975</v>
      </c>
      <c r="S21" s="103"/>
      <c r="T21" s="103"/>
      <c r="U21" s="103"/>
      <c r="V21" s="98" t="s">
        <v>70</v>
      </c>
      <c r="W21" s="104"/>
      <c r="X21" s="108"/>
      <c r="Y21" s="130"/>
      <c r="Z21" s="130"/>
      <c r="AA21" s="16">
        <f>ABS(_xll.RtGet(SourceAlias,$P21,BID)-Q21)</f>
        <v>3.5040636102223743E-4</v>
      </c>
      <c r="AB21" s="16">
        <f>ABS(_xll.RtGet(SourceAlias,$P21,ASK)-R21)</f>
        <v>3.5040636102223743E-4</v>
      </c>
      <c r="AC21" s="104"/>
      <c r="AD21" s="104"/>
      <c r="AE21" s="41" t="s">
        <v>70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1.25" customHeight="1" x14ac:dyDescent="0.2">
      <c r="A22" s="2" t="b">
        <v>1</v>
      </c>
      <c r="B22" s="121">
        <v>42713</v>
      </c>
      <c r="C22" s="172"/>
      <c r="D22" s="97" t="str">
        <f>_xll.qlASXcode(B22,Trigger)</f>
        <v>Z6</v>
      </c>
      <c r="E22" s="108" t="s">
        <v>70</v>
      </c>
      <c r="F22" s="146" t="s">
        <v>70</v>
      </c>
      <c r="G22" s="21" t="str">
        <f>IF(Contribute="abcd",IF($F$2&lt;&gt;-1,_xll.RtContribute(SourceAlias,P22,Fields,Q22:R22,"SCOPE:SERVER"),_xll.RtContribute(SourceAlias,"DDS_INSERT_S",$F$2:$H$2,P22:R22,"SCOPE:SERVER FTC:ALL")),"stopped")</f>
        <v>stopped</v>
      </c>
      <c r="H22" s="116" t="s">
        <v>70</v>
      </c>
      <c r="I22" s="2"/>
      <c r="J22" s="103"/>
      <c r="K22" s="103"/>
      <c r="L22" s="103"/>
      <c r="M22" s="128"/>
      <c r="N22" s="129"/>
      <c r="O22" s="129"/>
      <c r="P22" s="15" t="str">
        <f t="shared" si="13"/>
        <v>AUD3MZ6</v>
      </c>
      <c r="Q22" s="16">
        <f>'3M Pricing'!H22</f>
        <v>97.824346265756816</v>
      </c>
      <c r="R22" s="16">
        <f t="shared" si="14"/>
        <v>97.824346265756816</v>
      </c>
      <c r="S22" s="103"/>
      <c r="T22" s="103"/>
      <c r="U22" s="103"/>
      <c r="V22" s="98" t="s">
        <v>70</v>
      </c>
      <c r="W22" s="104"/>
      <c r="X22" s="108"/>
      <c r="Y22" s="130"/>
      <c r="Z22" s="130"/>
      <c r="AA22" s="16">
        <f>ABS(_xll.RtGet(SourceAlias,$P22,BID)-Q22)</f>
        <v>3.5868924318549489E-4</v>
      </c>
      <c r="AB22" s="16">
        <f>ABS(_xll.RtGet(SourceAlias,$P22,ASK)-R22)</f>
        <v>3.5868924318549489E-4</v>
      </c>
      <c r="AC22" s="104"/>
      <c r="AD22" s="104"/>
      <c r="AE22" s="41" t="s">
        <v>70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1.25" customHeight="1" x14ac:dyDescent="0.2">
      <c r="A23" s="2" t="b">
        <v>1</v>
      </c>
      <c r="B23" s="121">
        <v>42804</v>
      </c>
      <c r="C23" s="172"/>
      <c r="D23" s="97" t="str">
        <f>_xll.qlASXcode(B23,Trigger)</f>
        <v>H7</v>
      </c>
      <c r="E23" s="108" t="s">
        <v>70</v>
      </c>
      <c r="F23" s="146" t="s">
        <v>70</v>
      </c>
      <c r="G23" s="21" t="str">
        <f>IF(Contribute="abcd",IF($F$2&lt;&gt;-1,_xll.RtContribute(SourceAlias,P23,Fields,Q23:R23,"SCOPE:SERVER"),_xll.RtContribute(SourceAlias,"DDS_INSERT_S",$F$2:$H$2,P23:R23,"SCOPE:SERVER FTC:ALL")),"stopped")</f>
        <v>stopped</v>
      </c>
      <c r="H23" s="116" t="s">
        <v>70</v>
      </c>
      <c r="I23" s="2"/>
      <c r="J23" s="103"/>
      <c r="K23" s="103"/>
      <c r="L23" s="103"/>
      <c r="M23" s="128"/>
      <c r="N23" s="129"/>
      <c r="O23" s="129"/>
      <c r="P23" s="15" t="str">
        <f t="shared" si="13"/>
        <v>AUD3MH7</v>
      </c>
      <c r="Q23" s="16">
        <f>'3M Pricing'!H23</f>
        <v>97.837146334230425</v>
      </c>
      <c r="R23" s="16">
        <f t="shared" si="14"/>
        <v>97.837146334230425</v>
      </c>
      <c r="S23" s="103"/>
      <c r="T23" s="103"/>
      <c r="U23" s="103"/>
      <c r="V23" s="98" t="s">
        <v>70</v>
      </c>
      <c r="W23" s="104"/>
      <c r="X23" s="108"/>
      <c r="Y23" s="130"/>
      <c r="Z23" s="130"/>
      <c r="AA23" s="16">
        <f>ABS(_xll.RtGet(SourceAlias,$P23,BID)-Q23)</f>
        <v>9.6121769573187521E-5</v>
      </c>
      <c r="AB23" s="16">
        <f>ABS(_xll.RtGet(SourceAlias,$P23,ASK)-R23)</f>
        <v>9.6121769573187521E-5</v>
      </c>
      <c r="AC23" s="104"/>
      <c r="AD23" s="104"/>
      <c r="AE23" s="41" t="s">
        <v>70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1.25" customHeight="1" x14ac:dyDescent="0.2">
      <c r="A24" s="2" t="b">
        <v>1</v>
      </c>
      <c r="B24" s="121">
        <v>42895</v>
      </c>
      <c r="C24" s="172"/>
      <c r="D24" s="97" t="str">
        <f>_xll.qlASXcode(B24,Trigger)</f>
        <v>M7</v>
      </c>
      <c r="E24" s="108" t="s">
        <v>70</v>
      </c>
      <c r="F24" s="146" t="s">
        <v>70</v>
      </c>
      <c r="G24" s="21" t="str">
        <f>IF(Contribute="abcd",IF($F$2&lt;&gt;-1,_xll.RtContribute(SourceAlias,P24,Fields,Q24:R24,"SCOPE:SERVER"),_xll.RtContribute(SourceAlias,"DDS_INSERT_S",$F$2:$H$2,P24:R24,"SCOPE:SERVER FTC:ALL")),"stopped")</f>
        <v>stopped</v>
      </c>
      <c r="H24" s="116" t="s">
        <v>70</v>
      </c>
      <c r="I24" s="2"/>
      <c r="J24" s="103"/>
      <c r="K24" s="103"/>
      <c r="L24" s="103"/>
      <c r="M24" s="128"/>
      <c r="N24" s="129"/>
      <c r="O24" s="129"/>
      <c r="P24" s="15" t="str">
        <f t="shared" ref="P24" si="15">Currency&amp;$P$4&amp;D24</f>
        <v>AUD3MM7</v>
      </c>
      <c r="Q24" s="16">
        <f>'3M Pricing'!H24</f>
        <v>97.820365313174008</v>
      </c>
      <c r="R24" s="16">
        <f t="shared" ref="R24" si="16">Q24</f>
        <v>97.820365313174008</v>
      </c>
      <c r="S24" s="103"/>
      <c r="T24" s="103"/>
      <c r="U24" s="103"/>
      <c r="V24" s="98"/>
      <c r="W24" s="104"/>
      <c r="X24" s="108"/>
      <c r="Y24" s="130"/>
      <c r="Z24" s="130"/>
      <c r="AA24" s="16">
        <f>ABS(_xll.RtGet(SourceAlias,$P24,BID)-Q24)</f>
        <v>1.1332917401318809E-4</v>
      </c>
      <c r="AB24" s="16">
        <f>ABS(_xll.RtGet(SourceAlias,$P24,ASK)-R24)</f>
        <v>1.1332917401318809E-4</v>
      </c>
      <c r="AC24" s="104"/>
      <c r="AD24" s="104"/>
      <c r="AE24" s="41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1.25" customHeight="1" x14ac:dyDescent="0.2">
      <c r="A25" s="2" t="b">
        <v>1</v>
      </c>
      <c r="B25" s="121">
        <v>42986</v>
      </c>
      <c r="C25" s="173"/>
      <c r="D25" s="148" t="str">
        <f>_xll.qlASXcode(B25,Trigger)</f>
        <v>U7</v>
      </c>
      <c r="E25" s="109" t="s">
        <v>70</v>
      </c>
      <c r="F25" s="147"/>
      <c r="G25" s="22" t="str">
        <f>IF(Contribute="abcd",IF($F$2&lt;&gt;-1,_xll.RtContribute(SourceAlias,P25,Fields,Q25:R25,"SCOPE:SERVER"),_xll.RtContribute(SourceAlias,"DDS_INSERT_S",$F$2:$H$2,P25:R25,"SCOPE:SERVER FTC:ALL")),"stopped")</f>
        <v>stopped</v>
      </c>
      <c r="H25" s="117" t="s">
        <v>70</v>
      </c>
      <c r="I25" s="2"/>
      <c r="J25" s="105"/>
      <c r="K25" s="105"/>
      <c r="L25" s="105"/>
      <c r="M25" s="131"/>
      <c r="N25" s="132"/>
      <c r="O25" s="132"/>
      <c r="P25" s="17" t="str">
        <f t="shared" si="13"/>
        <v>AUD3MU7</v>
      </c>
      <c r="Q25" s="18">
        <f>'3M Pricing'!H25</f>
        <v>97.775208373571076</v>
      </c>
      <c r="R25" s="18">
        <f t="shared" si="14"/>
        <v>97.775208373571076</v>
      </c>
      <c r="S25" s="105"/>
      <c r="T25" s="105"/>
      <c r="U25" s="105"/>
      <c r="V25" s="98" t="s">
        <v>70</v>
      </c>
      <c r="W25" s="106"/>
      <c r="X25" s="109"/>
      <c r="Y25" s="137"/>
      <c r="Z25" s="137"/>
      <c r="AA25" s="18" t="e">
        <f>ABS(_xll.RtGet(SourceAlias,$P25,BID)-Q25)</f>
        <v>#VALUE!</v>
      </c>
      <c r="AB25" s="18" t="e">
        <f>ABS(_xll.RtGet(SourceAlias,$P25,ASK)-R25)</f>
        <v>#VALUE!</v>
      </c>
      <c r="AC25" s="106"/>
      <c r="AD25" s="106"/>
      <c r="AE25" s="41" t="s">
        <v>70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1.25" customHeight="1" x14ac:dyDescent="0.2">
      <c r="A26" s="2"/>
      <c r="B26" s="2"/>
      <c r="C26" s="168" t="s">
        <v>93</v>
      </c>
      <c r="D26" s="20" t="s">
        <v>21</v>
      </c>
      <c r="E26" s="21" t="s">
        <v>70</v>
      </c>
      <c r="F26" s="143" t="str">
        <f>IF(Contribute="abcd",IF($F$2&lt;&gt;-1,_xll.RtContribute(SourceAlias,M26,Fields,N26:O26,"SCOPE:SERVER"),_xll.RtContribute(SourceAlias,"DDS_INSERT_S",$F$2:$H$2,M26:O26,"SCOPE:SERVER FTC:ALL")),"stopped")</f>
        <v>stopped</v>
      </c>
      <c r="G26" s="99" t="s">
        <v>70</v>
      </c>
      <c r="H26" s="21" t="s">
        <v>70</v>
      </c>
      <c r="I26" s="2"/>
      <c r="J26" s="13"/>
      <c r="K26" s="14"/>
      <c r="L26" s="14"/>
      <c r="M26" s="122" t="str">
        <f>Currency&amp;$M$4&amp;D26&amp;"="</f>
        <v>AUD1M3M=</v>
      </c>
      <c r="N26" s="123">
        <f>'1M Pricing'!H26*100</f>
        <v>2.0113293975979789</v>
      </c>
      <c r="O26" s="123">
        <f>N26</f>
        <v>2.0113293975979789</v>
      </c>
      <c r="P26" s="101"/>
      <c r="Q26" s="101"/>
      <c r="R26" s="101"/>
      <c r="S26" s="13"/>
      <c r="T26" s="14"/>
      <c r="U26" s="14"/>
      <c r="V26" s="98" t="s">
        <v>70</v>
      </c>
      <c r="W26" s="14"/>
      <c r="X26" s="14"/>
      <c r="Y26" s="124">
        <f>ABS(_xll.RtGet(SourceAlias,$M26,BID)-N26)</f>
        <v>1.902785979788213E-4</v>
      </c>
      <c r="Z26" s="124">
        <f>ABS(_xll.RtGet(SourceAlias,$M26,ASK)-O26)</f>
        <v>1.902785979788213E-4</v>
      </c>
      <c r="AA26" s="102"/>
      <c r="AB26" s="102"/>
      <c r="AC26" s="14"/>
      <c r="AD26" s="14"/>
      <c r="AE26" s="4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1.25" customHeight="1" x14ac:dyDescent="0.2">
      <c r="A27" s="2"/>
      <c r="B27" s="2"/>
      <c r="C27" s="169"/>
      <c r="D27" s="21" t="s">
        <v>14</v>
      </c>
      <c r="E27" s="21" t="s">
        <v>70</v>
      </c>
      <c r="F27" s="143" t="str">
        <f>IF(Contribute="abcd",IF($F$2&lt;&gt;-1,_xll.RtContribute(SourceAlias,M27,Fields,N27:O27,"SCOPE:SERVER"),_xll.RtContribute(SourceAlias,"DDS_INSERT_S",$F$2:$H$2,M27:O27,"SCOPE:SERVER FTC:ALL")),"stopped")</f>
        <v>stopped</v>
      </c>
      <c r="G27" s="99" t="s">
        <v>70</v>
      </c>
      <c r="H27" s="21" t="s">
        <v>70</v>
      </c>
      <c r="I27" s="2"/>
      <c r="J27" s="15"/>
      <c r="K27" s="16"/>
      <c r="L27" s="16"/>
      <c r="M27" s="125" t="str">
        <f>Currency&amp;$M$4&amp;D27&amp;"="</f>
        <v>AUD1M6M=</v>
      </c>
      <c r="N27" s="126">
        <f>'1M Pricing'!H27*100</f>
        <v>1.9854894493893667</v>
      </c>
      <c r="O27" s="126">
        <f>N27</f>
        <v>1.9854894493893667</v>
      </c>
      <c r="P27" s="103"/>
      <c r="Q27" s="103"/>
      <c r="R27" s="103"/>
      <c r="S27" s="15"/>
      <c r="T27" s="16"/>
      <c r="U27" s="16"/>
      <c r="V27" s="98" t="s">
        <v>70</v>
      </c>
      <c r="W27" s="16"/>
      <c r="X27" s="16"/>
      <c r="Y27" s="127">
        <f>ABS(_xll.RtGet(SourceAlias,$M27,BID)-N27)</f>
        <v>1.8150238936653906E-4</v>
      </c>
      <c r="Z27" s="127">
        <f>ABS(_xll.RtGet(SourceAlias,$M27,ASK)-O27)</f>
        <v>1.8150238936653906E-4</v>
      </c>
      <c r="AA27" s="104"/>
      <c r="AB27" s="104"/>
      <c r="AC27" s="16"/>
      <c r="AD27" s="16"/>
      <c r="AE27" s="4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1.25" customHeight="1" x14ac:dyDescent="0.2">
      <c r="A28" s="2"/>
      <c r="B28" s="2"/>
      <c r="C28" s="169"/>
      <c r="D28" s="21" t="s">
        <v>24</v>
      </c>
      <c r="E28" s="21" t="s">
        <v>70</v>
      </c>
      <c r="F28" s="143" t="str">
        <f>IF(Contribute="abcd",IF($F$2&lt;&gt;-1,_xll.RtContribute(SourceAlias,M28,Fields,N28:O28,"SCOPE:SERVER"),_xll.RtContribute(SourceAlias,"DDS_INSERT_S",$F$2:$H$2,M28:O28,"SCOPE:SERVER FTC:ALL")),"stopped")</f>
        <v>stopped</v>
      </c>
      <c r="G28" s="99" t="s">
        <v>70</v>
      </c>
      <c r="H28" s="21" t="s">
        <v>70</v>
      </c>
      <c r="I28" s="2"/>
      <c r="J28" s="15"/>
      <c r="K28" s="16"/>
      <c r="L28" s="16"/>
      <c r="M28" s="125" t="str">
        <f>Currency&amp;$M$4&amp;D28&amp;"="</f>
        <v>AUD1M9M=</v>
      </c>
      <c r="N28" s="126">
        <f>'1M Pricing'!H28*100</f>
        <v>1.9629917260433383</v>
      </c>
      <c r="O28" s="126">
        <f>N28</f>
        <v>1.9629917260433383</v>
      </c>
      <c r="P28" s="103"/>
      <c r="Q28" s="103"/>
      <c r="R28" s="103"/>
      <c r="S28" s="15"/>
      <c r="T28" s="16"/>
      <c r="U28" s="16"/>
      <c r="V28" s="98" t="s">
        <v>70</v>
      </c>
      <c r="W28" s="16"/>
      <c r="X28" s="16"/>
      <c r="Y28" s="127">
        <f>ABS(_xll.RtGet(SourceAlias,$M28,BID)-N28)</f>
        <v>8.2328043338186774E-5</v>
      </c>
      <c r="Z28" s="127">
        <f>ABS(_xll.RtGet(SourceAlias,$M28,ASK)-O28)</f>
        <v>8.2328043338186774E-5</v>
      </c>
      <c r="AA28" s="104"/>
      <c r="AB28" s="104"/>
      <c r="AC28" s="16"/>
      <c r="AD28" s="16"/>
      <c r="AE28" s="41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1.25" customHeight="1" x14ac:dyDescent="0.2">
      <c r="A29" s="2"/>
      <c r="B29" s="167"/>
      <c r="C29" s="169"/>
      <c r="D29" s="21" t="s">
        <v>25</v>
      </c>
      <c r="E29" s="21" t="str">
        <f>IF(Contribute="abcd",IF($F$2&lt;&gt;-1,_xll.RtContribute(SourceAlias,J29,Fields,K29:L29,"SCOPE:SERVER"),_xll.RtContribute(SourceAlias,"DDS_INSERT_S",$F$2:$H$2,K29:L29,"SCOPE:SERVER FTC:ALL")),"stopped")</f>
        <v>stopped</v>
      </c>
      <c r="F29" s="143" t="str">
        <f>IF(Contribute="abcd",IF($F$2&lt;&gt;-1,_xll.RtContribute(SourceAlias,M29,Fields,N29:O29,"SCOPE:SERVER"),_xll.RtContribute(SourceAlias,"DDS_INSERT_S",$F$2:$H$2,M29:O29,"SCOPE:SERVER FTC:ALL")),"stopped")</f>
        <v>stopped</v>
      </c>
      <c r="G29" s="21" t="str">
        <f>IF(Contribute="abcd",IF($F$2&lt;&gt;-1,_xll.RtContribute(SourceAlias,P29,Fields,Q29:R29,"SCOPE:SERVER"),_xll.RtContribute(SourceAlias,"DDS_INSERT_S",$F$2:$H$2,P29:R29,"SCOPE:SERVER FTC:ALL")),"stopped")</f>
        <v>stopped</v>
      </c>
      <c r="H29" s="21" t="str">
        <f>IF(Contribute="abcd",IF($F$2&lt;&gt;-1,_xll.RtContribute(SourceAlias,S29,Fields,T29:U29,"SCOPE:SERVER"),_xll.RtContribute(SourceAlias,"DDS_INSERT_S",$F$2:$H$2,S29:U29,"SCOPE:SERVER FTC:ALL")),"stopped")</f>
        <v>stopped</v>
      </c>
      <c r="I29" s="2"/>
      <c r="J29" s="15" t="str">
        <f t="shared" ref="J29:J44" si="17">Currency&amp;"ON"&amp;D29&amp;"D"&amp;"="</f>
        <v>AUDON1YD=</v>
      </c>
      <c r="K29" s="16">
        <f>'ON Pricing'!H29*100</f>
        <v>1.8999999999818193</v>
      </c>
      <c r="L29" s="16">
        <f t="shared" ref="L29:L44" si="18">K29</f>
        <v>1.8999999999818193</v>
      </c>
      <c r="M29" s="125" t="str">
        <f>Currency&amp;$M$4&amp;D29&amp;"="</f>
        <v>AUD1M1Y=</v>
      </c>
      <c r="N29" s="126">
        <f>'1M Pricing'!H29*100</f>
        <v>1.9640988415372933</v>
      </c>
      <c r="O29" s="126">
        <f>N29</f>
        <v>1.9640988415372933</v>
      </c>
      <c r="P29" s="15" t="str">
        <f>Currency&amp;$P$4&amp;D29&amp;"="</f>
        <v>AUD3M1Y=</v>
      </c>
      <c r="Q29" s="16">
        <f>'3M Pricing'!H29*100</f>
        <v>2.2075000000246749</v>
      </c>
      <c r="R29" s="16">
        <f>Q29</f>
        <v>2.2075000000246749</v>
      </c>
      <c r="S29" s="15" t="str">
        <f>Currency&amp;$S$4&amp;D29&amp;"="</f>
        <v>AUD6M1Y=</v>
      </c>
      <c r="T29" s="16">
        <f>'6M Pricing'!H29*100</f>
        <v>2.3588688513978306</v>
      </c>
      <c r="U29" s="16">
        <f>T29</f>
        <v>2.3588688513978306</v>
      </c>
      <c r="V29" s="98" t="s">
        <v>70</v>
      </c>
      <c r="W29" s="16">
        <f>ABS(_xll.RtGet(SourceAlias,$J29,BID)-K29)</f>
        <v>1.8180568162051713E-11</v>
      </c>
      <c r="X29" s="16">
        <f>ABS(_xll.RtGet(SourceAlias,$J29,ASK)-L29)</f>
        <v>1.8180568162051713E-11</v>
      </c>
      <c r="Y29" s="127">
        <f>ABS(_xll.RtGet(SourceAlias,$M29,BID)-N29)</f>
        <v>4.7405537293432332E-5</v>
      </c>
      <c r="Z29" s="127">
        <f>ABS(_xll.RtGet(SourceAlias,$M29,ASK)-O29)</f>
        <v>4.7405537293432332E-5</v>
      </c>
      <c r="AA29" s="16">
        <f>ABS(_xll.RtGet(SourceAlias,$P29,BID)-Q29)</f>
        <v>2.4674928766899029E-11</v>
      </c>
      <c r="AB29" s="16">
        <f>ABS(_xll.RtGet(SourceAlias,$P29,ASK)-R29)</f>
        <v>2.4674928766899029E-11</v>
      </c>
      <c r="AC29" s="16">
        <f>ABS(_xll.RtGet(SourceAlias,$S29,BID)-T29)</f>
        <v>2.3239783075723608E-7</v>
      </c>
      <c r="AD29" s="16">
        <f>ABS(_xll.RtGet(SourceAlias,$S29,ASK)-U29)</f>
        <v>2.3239783075723608E-7</v>
      </c>
      <c r="AE29" s="41" t="s">
        <v>70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1.25" customHeight="1" x14ac:dyDescent="0.2">
      <c r="A30" s="2"/>
      <c r="B30" s="2"/>
      <c r="C30" s="169"/>
      <c r="D30" s="21" t="s">
        <v>67</v>
      </c>
      <c r="E30" s="21" t="str">
        <f>IF(Contribute="abcd",IF($F$2&lt;&gt;-1,_xll.RtContribute(SourceAlias,J30,Fields,K30:L30,"SCOPE:SERVER"),_xll.RtContribute(SourceAlias,"DDS_INSERT_S",$F$2:$H$2,K30:L30,"SCOPE:SERVER FTC:ALL")),"stopped")</f>
        <v>stopped</v>
      </c>
      <c r="F30" s="143" t="s">
        <v>70</v>
      </c>
      <c r="G30" s="21" t="s">
        <v>70</v>
      </c>
      <c r="H30" s="21" t="s">
        <v>70</v>
      </c>
      <c r="I30" s="2"/>
      <c r="J30" s="15" t="str">
        <f t="shared" si="17"/>
        <v>AUDON18MD=</v>
      </c>
      <c r="K30" s="16">
        <f>'ON Pricing'!H30*100</f>
        <v>1.8849999999878326</v>
      </c>
      <c r="L30" s="16">
        <f t="shared" si="18"/>
        <v>1.8849999999878326</v>
      </c>
      <c r="M30" s="125"/>
      <c r="N30" s="126"/>
      <c r="O30" s="126"/>
      <c r="P30" s="15"/>
      <c r="Q30" s="16"/>
      <c r="R30" s="16"/>
      <c r="S30" s="15"/>
      <c r="T30" s="16"/>
      <c r="U30" s="16"/>
      <c r="V30" s="98" t="s">
        <v>70</v>
      </c>
      <c r="W30" s="16">
        <f>ABS(_xll.RtGet(SourceAlias,$J30,BID)-K30)</f>
        <v>1.2167378216076941E-11</v>
      </c>
      <c r="X30" s="16">
        <f>ABS(_xll.RtGet(SourceAlias,$J30,ASK)-L30)</f>
        <v>1.2167378216076941E-11</v>
      </c>
      <c r="Y30" s="127"/>
      <c r="Z30" s="127"/>
      <c r="AA30" s="16"/>
      <c r="AB30" s="16"/>
      <c r="AC30" s="16"/>
      <c r="AD30" s="16"/>
      <c r="AE30" s="41" t="s">
        <v>70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1.25" customHeight="1" x14ac:dyDescent="0.2">
      <c r="A31" s="2"/>
      <c r="B31" s="2"/>
      <c r="C31" s="169"/>
      <c r="D31" s="21" t="s">
        <v>26</v>
      </c>
      <c r="E31" s="21" t="str">
        <f>IF(Contribute="abcd",IF($F$2&lt;&gt;-1,_xll.RtContribute(SourceAlias,J31,Fields,K31:L31,"SCOPE:SERVER"),_xll.RtContribute(SourceAlias,"DDS_INSERT_S",$F$2:$H$2,K31:L31,"SCOPE:SERVER FTC:ALL")),"stopped")</f>
        <v>stopped</v>
      </c>
      <c r="F31" s="143" t="str">
        <f>IF(Contribute="abcd",IF($F$2&lt;&gt;-1,_xll.RtContribute(SourceAlias,M31,Fields,N31:O31,"SCOPE:SERVER"),_xll.RtContribute(SourceAlias,"DDS_INSERT_S",$F$2:$H$2,M31:O31,"SCOPE:SERVER FTC:ALL")),"stopped")</f>
        <v>stopped</v>
      </c>
      <c r="G31" s="21" t="str">
        <f>IF(Contribute="abcd",IF($F$2&lt;&gt;-1,_xll.RtContribute(SourceAlias,P31,Fields,Q31:R31,"SCOPE:SERVER"),_xll.RtContribute(SourceAlias,"DDS_INSERT_S",$F$2:$H$2,P31:R31,"SCOPE:SERVER FTC:ALL")),"stopped")</f>
        <v>stopped</v>
      </c>
      <c r="H31" s="21" t="str">
        <f>IF(Contribute="abcd",IF($F$2&lt;&gt;-1,_xll.RtContribute(SourceAlias,S31,Fields,T31:U31,"SCOPE:SERVER"),_xll.RtContribute(SourceAlias,"DDS_INSERT_S",$F$2:$H$2,S31:U31,"SCOPE:SERVER FTC:ALL")),"stopped")</f>
        <v>stopped</v>
      </c>
      <c r="I31" s="2"/>
      <c r="J31" s="15" t="str">
        <f t="shared" si="17"/>
        <v>AUDON2YD=</v>
      </c>
      <c r="K31" s="16">
        <f>'ON Pricing'!H31*100</f>
        <v>1.9099999999908603</v>
      </c>
      <c r="L31" s="16">
        <f t="shared" si="18"/>
        <v>1.9099999999908603</v>
      </c>
      <c r="M31" s="125" t="str">
        <f t="shared" ref="M31:M38" si="19">Currency&amp;$M$4&amp;D31&amp;"="</f>
        <v>AUD1M2Y=</v>
      </c>
      <c r="N31" s="126">
        <f>'1M Pricing'!H31*100</f>
        <v>1.9714997248818096</v>
      </c>
      <c r="O31" s="126">
        <f>N31</f>
        <v>1.9714997248818096</v>
      </c>
      <c r="P31" s="15" t="str">
        <f t="shared" ref="P31:P38" si="20">Currency&amp;$P$4&amp;D31&amp;"="</f>
        <v>AUD3M2Y=</v>
      </c>
      <c r="Q31" s="16">
        <f>'3M Pricing'!H31*100</f>
        <v>2.1975000000201792</v>
      </c>
      <c r="R31" s="16">
        <f>Q31</f>
        <v>2.1975000000201792</v>
      </c>
      <c r="S31" s="15" t="str">
        <f t="shared" ref="S31:S38" si="21">Currency&amp;$S$4&amp;D31&amp;"="</f>
        <v>AUD6M2Y=</v>
      </c>
      <c r="T31" s="16">
        <f>'6M Pricing'!H31*100</f>
        <v>2.3454206411348837</v>
      </c>
      <c r="U31" s="16">
        <f>T31</f>
        <v>2.3454206411348837</v>
      </c>
      <c r="V31" s="98" t="s">
        <v>70</v>
      </c>
      <c r="W31" s="16">
        <f>ABS(_xll.RtGet(SourceAlias,$J31,BID)-K31)</f>
        <v>9.1395779833192137E-12</v>
      </c>
      <c r="X31" s="16">
        <f>ABS(_xll.RtGet(SourceAlias,$J31,ASK)-L31)</f>
        <v>9.1395779833192137E-12</v>
      </c>
      <c r="Y31" s="127">
        <f>ABS(_xll.RtGet(SourceAlias,$M31,BID)-N31)</f>
        <v>2.6466118190571208E-5</v>
      </c>
      <c r="Z31" s="127">
        <f>ABS(_xll.RtGet(SourceAlias,$M31,ASK)-O31)</f>
        <v>2.6466118190571208E-5</v>
      </c>
      <c r="AA31" s="16">
        <f>ABS(_xll.RtGet(SourceAlias,$P31,BID)-Q31)</f>
        <v>2.0179413695586845E-11</v>
      </c>
      <c r="AB31" s="16">
        <f>ABS(_xll.RtGet(SourceAlias,$P31,ASK)-R31)</f>
        <v>2.0179413695586845E-11</v>
      </c>
      <c r="AC31" s="16">
        <f>ABS(_xll.RtGet(SourceAlias,$S31,BID)-T31)</f>
        <v>1.3488365979696937E-10</v>
      </c>
      <c r="AD31" s="16">
        <f>ABS(_xll.RtGet(SourceAlias,$S31,ASK)-U31)</f>
        <v>1.3488365979696937E-10</v>
      </c>
      <c r="AE31" s="41" t="s">
        <v>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1.25" customHeight="1" x14ac:dyDescent="0.2">
      <c r="A32" s="2"/>
      <c r="B32" s="2"/>
      <c r="C32" s="169"/>
      <c r="D32" s="21" t="s">
        <v>27</v>
      </c>
      <c r="E32" s="21" t="str">
        <f>IF(Contribute="abcd",IF($F$2&lt;&gt;-1,_xll.RtContribute(SourceAlias,J32,Fields,K32:L32,"SCOPE:SERVER"),_xll.RtContribute(SourceAlias,"DDS_INSERT_S",$F$2:$H$2,K32:L32,"SCOPE:SERVER FTC:ALL")),"stopped")</f>
        <v>stopped</v>
      </c>
      <c r="F32" s="143" t="str">
        <f>IF(Contribute="abcd",IF($F$2&lt;&gt;-1,_xll.RtContribute(SourceAlias,M32,Fields,N32:O32,"SCOPE:SERVER"),_xll.RtContribute(SourceAlias,"DDS_INSERT_S",$F$2:$H$2,M32:O32,"SCOPE:SERVER FTC:ALL")),"stopped")</f>
        <v>stopped</v>
      </c>
      <c r="G32" s="21" t="str">
        <f>IF(Contribute="abcd",IF($F$2&lt;&gt;-1,_xll.RtContribute(SourceAlias,P32,Fields,Q32:R32,"SCOPE:SERVER"),_xll.RtContribute(SourceAlias,"DDS_INSERT_S",$F$2:$H$2,P32:R32,"SCOPE:SERVER FTC:ALL")),"stopped")</f>
        <v>stopped</v>
      </c>
      <c r="H32" s="21" t="str">
        <f>IF(Contribute="abcd",IF($F$2&lt;&gt;-1,_xll.RtContribute(SourceAlias,S32,Fields,T32:U32,"SCOPE:SERVER"),_xll.RtContribute(SourceAlias,"DDS_INSERT_S",$F$2:$H$2,S32:U32,"SCOPE:SERVER FTC:ALL")),"stopped")</f>
        <v>stopped</v>
      </c>
      <c r="I32" s="2"/>
      <c r="J32" s="15" t="str">
        <f t="shared" si="17"/>
        <v>AUDON3YD=</v>
      </c>
      <c r="K32" s="16">
        <f>'ON Pricing'!H32*100</f>
        <v>1.9999999999938183</v>
      </c>
      <c r="L32" s="16">
        <f t="shared" si="18"/>
        <v>1.9999999999938183</v>
      </c>
      <c r="M32" s="125" t="str">
        <f t="shared" si="19"/>
        <v>AUD1M3Y=</v>
      </c>
      <c r="N32" s="126">
        <f>'1M Pricing'!H32*100</f>
        <v>2.0574180898789396</v>
      </c>
      <c r="O32" s="126">
        <f>N32</f>
        <v>2.0574180898789396</v>
      </c>
      <c r="P32" s="15" t="str">
        <f t="shared" si="20"/>
        <v>AUD3M3Y=</v>
      </c>
      <c r="Q32" s="16">
        <f>'3M Pricing'!H32*100</f>
        <v>2.2648525088879929</v>
      </c>
      <c r="R32" s="16">
        <f>Q32</f>
        <v>2.2648525088879929</v>
      </c>
      <c r="S32" s="15" t="str">
        <f t="shared" si="21"/>
        <v>AUD6M3Y=</v>
      </c>
      <c r="T32" s="16">
        <f>'6M Pricing'!H32*100</f>
        <v>2.4019938801152487</v>
      </c>
      <c r="U32" s="16">
        <f>T32</f>
        <v>2.4019938801152487</v>
      </c>
      <c r="V32" s="98" t="s">
        <v>70</v>
      </c>
      <c r="W32" s="16">
        <f>ABS(_xll.RtGet(SourceAlias,$J32,BID)-K32)</f>
        <v>6.1817218011128716E-12</v>
      </c>
      <c r="X32" s="16">
        <f>ABS(_xll.RtGet(SourceAlias,$J32,ASK)-L32)</f>
        <v>6.1817218011128716E-12</v>
      </c>
      <c r="Y32" s="127">
        <f>ABS(_xll.RtGet(SourceAlias,$M32,BID)-N32)</f>
        <v>8.3231121060567403E-5</v>
      </c>
      <c r="Z32" s="127">
        <f>ABS(_xll.RtGet(SourceAlias,$M32,ASK)-O32)</f>
        <v>8.3231121060567403E-5</v>
      </c>
      <c r="AA32" s="16">
        <f>ABS(_xll.RtGet(SourceAlias,$P32,BID)-Q32)</f>
        <v>1.474911120071809E-4</v>
      </c>
      <c r="AB32" s="16">
        <f>ABS(_xll.RtGet(SourceAlias,$P32,ASK)-R32)</f>
        <v>1.474911120071809E-4</v>
      </c>
      <c r="AC32" s="16">
        <f>ABS(_xll.RtGet(SourceAlias,$S32,BID)-T32)</f>
        <v>2.0467688475145351E-4</v>
      </c>
      <c r="AD32" s="16">
        <f>ABS(_xll.RtGet(SourceAlias,$S32,ASK)-U32)</f>
        <v>2.0467688475145351E-4</v>
      </c>
      <c r="AE32" s="41" t="s">
        <v>70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1.25" customHeight="1" x14ac:dyDescent="0.2">
      <c r="A33" s="2"/>
      <c r="B33" s="2"/>
      <c r="C33" s="169"/>
      <c r="D33" s="21" t="s">
        <v>28</v>
      </c>
      <c r="E33" s="21" t="str">
        <f>IF(Contribute="abcd",IF($F$2&lt;&gt;-1,_xll.RtContribute(SourceAlias,J33,Fields,K33:L33,"SCOPE:SERVER"),_xll.RtContribute(SourceAlias,"DDS_INSERT_S",$F$2:$H$2,K33:L33,"SCOPE:SERVER FTC:ALL")),"stopped")</f>
        <v>stopped</v>
      </c>
      <c r="F33" s="143" t="str">
        <f>IF(Contribute="abcd",IF($F$2&lt;&gt;-1,_xll.RtContribute(SourceAlias,M33,Fields,N33:O33,"SCOPE:SERVER"),_xll.RtContribute(SourceAlias,"DDS_INSERT_S",$F$2:$H$2,M33:O33,"SCOPE:SERVER FTC:ALL")),"stopped")</f>
        <v>stopped</v>
      </c>
      <c r="G33" s="21" t="str">
        <f>IF(Contribute="abcd",IF($F$2&lt;&gt;-1,_xll.RtContribute(SourceAlias,P33,Fields,Q33:R33,"SCOPE:SERVER"),_xll.RtContribute(SourceAlias,"DDS_INSERT_S",$F$2:$H$2,P33:R33,"SCOPE:SERVER FTC:ALL")),"stopped")</f>
        <v>stopped</v>
      </c>
      <c r="H33" s="21" t="str">
        <f>IF(Contribute="abcd",IF($F$2&lt;&gt;-1,_xll.RtContribute(SourceAlias,S33,Fields,T33:U33,"SCOPE:SERVER"),_xll.RtContribute(SourceAlias,"DDS_INSERT_S",$F$2:$H$2,S33:U33,"SCOPE:SERVER FTC:ALL")),"stopped")</f>
        <v>stopped</v>
      </c>
      <c r="I33" s="2"/>
      <c r="J33" s="15" t="str">
        <f t="shared" si="17"/>
        <v>AUDON4YD=</v>
      </c>
      <c r="K33" s="16">
        <f>'ON Pricing'!H33*100</f>
        <v>2.1149999999953115</v>
      </c>
      <c r="L33" s="16">
        <f t="shared" si="18"/>
        <v>2.1149999999953115</v>
      </c>
      <c r="M33" s="125" t="str">
        <f t="shared" si="19"/>
        <v>AUD1M4Y=</v>
      </c>
      <c r="N33" s="126">
        <f>'1M Pricing'!H33*100</f>
        <v>2.1715283134309282</v>
      </c>
      <c r="O33" s="126">
        <f>N33</f>
        <v>2.1715283134309282</v>
      </c>
      <c r="P33" s="15" t="str">
        <f t="shared" si="20"/>
        <v>AUD3M4Y=</v>
      </c>
      <c r="Q33" s="16">
        <f>'3M Pricing'!H33*100</f>
        <v>2.3582718967434508</v>
      </c>
      <c r="R33" s="16">
        <f>Q33</f>
        <v>2.3582718967434508</v>
      </c>
      <c r="S33" s="15" t="str">
        <f t="shared" si="21"/>
        <v>AUD6M4Y=</v>
      </c>
      <c r="T33" s="16">
        <f>'6M Pricing'!H33*100</f>
        <v>2.4823924035525868</v>
      </c>
      <c r="U33" s="16">
        <f>T33</f>
        <v>2.4823924035525868</v>
      </c>
      <c r="V33" s="98" t="s">
        <v>70</v>
      </c>
      <c r="W33" s="16">
        <f>ABS(_xll.RtGet(SourceAlias,$J33,BID)-K33)</f>
        <v>4.6886938775969611E-12</v>
      </c>
      <c r="X33" s="16">
        <f>ABS(_xll.RtGet(SourceAlias,$J33,ASK)-L33)</f>
        <v>4.6886938775969611E-12</v>
      </c>
      <c r="Y33" s="127">
        <f>ABS(_xll.RtGet(SourceAlias,$M33,BID)-N33)</f>
        <v>2.9001856907173718E-4</v>
      </c>
      <c r="Z33" s="127">
        <f>ABS(_xll.RtGet(SourceAlias,$M33,ASK)-O33)</f>
        <v>2.9001856907173718E-4</v>
      </c>
      <c r="AA33" s="16">
        <f>ABS(_xll.RtGet(SourceAlias,$P33,BID)-Q33)</f>
        <v>1.7104525654909608E-4</v>
      </c>
      <c r="AB33" s="16">
        <f>ABS(_xll.RtGet(SourceAlias,$P33,ASK)-R33)</f>
        <v>1.7104525654909608E-4</v>
      </c>
      <c r="AC33" s="16">
        <f>ABS(_xll.RtGet(SourceAlias,$S33,BID)-T33)</f>
        <v>1.0759644741309415E-4</v>
      </c>
      <c r="AD33" s="16">
        <f>ABS(_xll.RtGet(SourceAlias,$S33,ASK)-U33)</f>
        <v>1.0759644741309415E-4</v>
      </c>
      <c r="AE33" s="41" t="s">
        <v>70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1.25" customHeight="1" x14ac:dyDescent="0.2">
      <c r="A34" s="2"/>
      <c r="B34" s="2"/>
      <c r="C34" s="169"/>
      <c r="D34" s="21" t="s">
        <v>29</v>
      </c>
      <c r="E34" s="21" t="str">
        <f>IF(Contribute="abcd",IF($F$2&lt;&gt;-1,_xll.RtContribute(SourceAlias,J34,Fields,K34:L34,"SCOPE:SERVER"),_xll.RtContribute(SourceAlias,"DDS_INSERT_S",$F$2:$H$2,K34:L34,"SCOPE:SERVER FTC:ALL")),"stopped")</f>
        <v>stopped</v>
      </c>
      <c r="F34" s="143" t="str">
        <f>IF(Contribute="abcd",IF($F$2&lt;&gt;-1,_xll.RtContribute(SourceAlias,M34,Fields,N34:O34,"SCOPE:SERVER"),_xll.RtContribute(SourceAlias,"DDS_INSERT_S",$F$2:$H$2,M34:O34,"SCOPE:SERVER FTC:ALL")),"stopped")</f>
        <v>stopped</v>
      </c>
      <c r="G34" s="21" t="str">
        <f>IF(Contribute="abcd",IF($F$2&lt;&gt;-1,_xll.RtContribute(SourceAlias,P34,Fields,Q34:R34,"SCOPE:SERVER"),_xll.RtContribute(SourceAlias,"DDS_INSERT_S",$F$2:$H$2,P34:R34,"SCOPE:SERVER FTC:ALL")),"stopped")</f>
        <v>stopped</v>
      </c>
      <c r="H34" s="21" t="str">
        <f>IF(Contribute="abcd",IF($F$2&lt;&gt;-1,_xll.RtContribute(SourceAlias,S34,Fields,T34:U34,"SCOPE:SERVER"),_xll.RtContribute(SourceAlias,"DDS_INSERT_S",$F$2:$H$2,S34:U34,"SCOPE:SERVER FTC:ALL")),"stopped")</f>
        <v>stopped</v>
      </c>
      <c r="I34" s="2"/>
      <c r="J34" s="15" t="str">
        <f t="shared" si="17"/>
        <v>AUDON5YD=</v>
      </c>
      <c r="K34" s="16">
        <f>'ON Pricing'!H34*100</f>
        <v>2.242999999996202</v>
      </c>
      <c r="L34" s="16">
        <f t="shared" si="18"/>
        <v>2.242999999996202</v>
      </c>
      <c r="M34" s="125" t="str">
        <f t="shared" si="19"/>
        <v>AUD1M5Y=</v>
      </c>
      <c r="N34" s="126">
        <f>'1M Pricing'!H34*100</f>
        <v>2.2966452183931207</v>
      </c>
      <c r="O34" s="126">
        <f>N34</f>
        <v>2.2966452183931207</v>
      </c>
      <c r="P34" s="15" t="str">
        <f t="shared" si="20"/>
        <v>AUD3M5Y=</v>
      </c>
      <c r="Q34" s="16">
        <f>'3M Pricing'!H34*100</f>
        <v>2.4738615920984803</v>
      </c>
      <c r="R34" s="16">
        <f>Q34</f>
        <v>2.4738615920984803</v>
      </c>
      <c r="S34" s="15" t="str">
        <f t="shared" si="21"/>
        <v>AUD6M5Y=</v>
      </c>
      <c r="T34" s="16">
        <f>'6M Pricing'!H34*100</f>
        <v>2.5874129414548754</v>
      </c>
      <c r="U34" s="16">
        <f>T34</f>
        <v>2.5874129414548754</v>
      </c>
      <c r="V34" s="98" t="s">
        <v>70</v>
      </c>
      <c r="W34" s="16">
        <f>ABS(_xll.RtGet(SourceAlias,$J34,BID)-K34)</f>
        <v>3.7978509226377355E-12</v>
      </c>
      <c r="X34" s="16">
        <f>ABS(_xll.RtGet(SourceAlias,$J34,ASK)-L34)</f>
        <v>3.7978509226377355E-12</v>
      </c>
      <c r="Y34" s="127">
        <f>ABS(_xll.RtGet(SourceAlias,$M34,BID)-N34)</f>
        <v>2.6511460687927979E-4</v>
      </c>
      <c r="Z34" s="127">
        <f>ABS(_xll.RtGet(SourceAlias,$M34,ASK)-O34)</f>
        <v>2.6511460687927979E-4</v>
      </c>
      <c r="AA34" s="16">
        <f>ABS(_xll.RtGet(SourceAlias,$P34,BID)-Q34)</f>
        <v>1.3837390151971718E-4</v>
      </c>
      <c r="AB34" s="16">
        <f>ABS(_xll.RtGet(SourceAlias,$P34,ASK)-R34)</f>
        <v>1.3837390151971718E-4</v>
      </c>
      <c r="AC34" s="16">
        <f>ABS(_xll.RtGet(SourceAlias,$S34,BID)-T34)</f>
        <v>8.7058545124474307E-5</v>
      </c>
      <c r="AD34" s="16">
        <f>ABS(_xll.RtGet(SourceAlias,$S34,ASK)-U34)</f>
        <v>8.7058545124474307E-5</v>
      </c>
      <c r="AE34" s="41" t="s">
        <v>70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1.25" customHeight="1" x14ac:dyDescent="0.2">
      <c r="A35" s="2"/>
      <c r="B35" s="2"/>
      <c r="C35" s="169"/>
      <c r="D35" s="21" t="s">
        <v>30</v>
      </c>
      <c r="E35" s="21" t="str">
        <f>IF(Contribute="abcd",IF($F$2&lt;&gt;-1,_xll.RtContribute(SourceAlias,J35,Fields,K35:L35,"SCOPE:SERVER"),_xll.RtContribute(SourceAlias,"DDS_INSERT_S",$F$2:$H$2,K35:L35,"SCOPE:SERVER FTC:ALL")),"stopped")</f>
        <v>stopped</v>
      </c>
      <c r="F35" s="143" t="str">
        <f>IF(Contribute="abcd",IF($F$2&lt;&gt;-1,_xll.RtContribute(SourceAlias,M35,Fields,N35:O35,"SCOPE:SERVER"),_xll.RtContribute(SourceAlias,"DDS_INSERT_S",$F$2:$H$2,M35:O35,"SCOPE:SERVER FTC:ALL")),"stopped")</f>
        <v>stopped</v>
      </c>
      <c r="G35" s="21" t="str">
        <f>IF(Contribute="abcd",IF($F$2&lt;&gt;-1,_xll.RtContribute(SourceAlias,P35,Fields,Q35:R35,"SCOPE:SERVER"),_xll.RtContribute(SourceAlias,"DDS_INSERT_S",$F$2:$H$2,P35:R35,"SCOPE:SERVER FTC:ALL")),"stopped")</f>
        <v>stopped</v>
      </c>
      <c r="H35" s="21" t="str">
        <f>IF(Contribute="abcd",IF($F$2&lt;&gt;-1,_xll.RtContribute(SourceAlias,S35,Fields,T35:U35,"SCOPE:SERVER"),_xll.RtContribute(SourceAlias,"DDS_INSERT_S",$F$2:$H$2,S35:U35,"SCOPE:SERVER FTC:ALL")),"stopped")</f>
        <v>stopped</v>
      </c>
      <c r="I35" s="2"/>
      <c r="J35" s="15" t="str">
        <f t="shared" si="17"/>
        <v>AUDON6YD=</v>
      </c>
      <c r="K35" s="16">
        <f>'ON Pricing'!H35*100</f>
        <v>2.3629999999967906</v>
      </c>
      <c r="L35" s="16">
        <f t="shared" si="18"/>
        <v>2.3629999999967906</v>
      </c>
      <c r="M35" s="125" t="str">
        <f t="shared" si="19"/>
        <v>AUD1M6Y=</v>
      </c>
      <c r="N35" s="126">
        <f>'1M Pricing'!H35*100</f>
        <v>2.4197026975212443</v>
      </c>
      <c r="O35" s="126">
        <f t="shared" ref="O35:O38" si="22">N35</f>
        <v>2.4197026975212443</v>
      </c>
      <c r="P35" s="15" t="str">
        <f t="shared" si="20"/>
        <v>AUD3M6Y=</v>
      </c>
      <c r="Q35" s="16">
        <f>'3M Pricing'!H35*100</f>
        <v>2.5876854147630279</v>
      </c>
      <c r="R35" s="16">
        <f t="shared" ref="R35:R38" si="23">Q35</f>
        <v>2.5876854147630279</v>
      </c>
      <c r="S35" s="15" t="str">
        <f t="shared" si="21"/>
        <v>AUD6M6Y=</v>
      </c>
      <c r="T35" s="16">
        <f>'6M Pricing'!H35*100</f>
        <v>2.6936765261980984</v>
      </c>
      <c r="U35" s="16">
        <f t="shared" ref="U35:U38" si="24">T35</f>
        <v>2.6936765261980984</v>
      </c>
      <c r="V35" s="98" t="s">
        <v>70</v>
      </c>
      <c r="W35" s="16">
        <f>ABS(_xll.RtGet(SourceAlias,$J35,BID)-K35)</f>
        <v>3.2094327195864025E-12</v>
      </c>
      <c r="X35" s="16">
        <f>ABS(_xll.RtGet(SourceAlias,$J35,ASK)-L35)</f>
        <v>3.2094327195864025E-12</v>
      </c>
      <c r="Y35" s="127">
        <f>ABS(_xll.RtGet(SourceAlias,$M35,BID)-N35)</f>
        <v>3.8403547875587307E-4</v>
      </c>
      <c r="Z35" s="127">
        <f>ABS(_xll.RtGet(SourceAlias,$M35,ASK)-O35)</f>
        <v>3.8403547875587307E-4</v>
      </c>
      <c r="AA35" s="16">
        <f>ABS(_xll.RtGet(SourceAlias,$P35,BID)-Q35)</f>
        <v>1.1311223697196837E-4</v>
      </c>
      <c r="AB35" s="16">
        <f>ABS(_xll.RtGet(SourceAlias,$P35,ASK)-R35)</f>
        <v>1.1311223697196837E-4</v>
      </c>
      <c r="AC35" s="16">
        <f>ABS(_xll.RtGet(SourceAlias,$S35,BID)-T35)</f>
        <v>7.3473801901702274E-5</v>
      </c>
      <c r="AD35" s="16">
        <f>ABS(_xll.RtGet(SourceAlias,$S35,ASK)-U35)</f>
        <v>7.3473801901702274E-5</v>
      </c>
      <c r="AE35" s="41" t="s">
        <v>70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1.25" customHeight="1" x14ac:dyDescent="0.2">
      <c r="A36" s="2"/>
      <c r="B36" s="2"/>
      <c r="C36" s="169"/>
      <c r="D36" s="21" t="s">
        <v>31</v>
      </c>
      <c r="E36" s="21" t="str">
        <f>IF(Contribute="abcd",IF($F$2&lt;&gt;-1,_xll.RtContribute(SourceAlias,J36,Fields,K36:L36,"SCOPE:SERVER"),_xll.RtContribute(SourceAlias,"DDS_INSERT_S",$F$2:$H$2,K36:L36,"SCOPE:SERVER FTC:ALL")),"stopped")</f>
        <v>stopped</v>
      </c>
      <c r="F36" s="143" t="str">
        <f>IF(Contribute="abcd",IF($F$2&lt;&gt;-1,_xll.RtContribute(SourceAlias,M36,Fields,N36:O36,"SCOPE:SERVER"),_xll.RtContribute(SourceAlias,"DDS_INSERT_S",$F$2:$H$2,M36:O36,"SCOPE:SERVER FTC:ALL")),"stopped")</f>
        <v>stopped</v>
      </c>
      <c r="G36" s="21" t="str">
        <f>IF(Contribute="abcd",IF($F$2&lt;&gt;-1,_xll.RtContribute(SourceAlias,P36,Fields,Q36:R36,"SCOPE:SERVER"),_xll.RtContribute(SourceAlias,"DDS_INSERT_S",$F$2:$H$2,P36:R36,"SCOPE:SERVER FTC:ALL")),"stopped")</f>
        <v>stopped</v>
      </c>
      <c r="H36" s="21" t="str">
        <f>IF(Contribute="abcd",IF($F$2&lt;&gt;-1,_xll.RtContribute(SourceAlias,S36,Fields,T36:U36,"SCOPE:SERVER"),_xll.RtContribute(SourceAlias,"DDS_INSERT_S",$F$2:$H$2,S36:U36,"SCOPE:SERVER FTC:ALL")),"stopped")</f>
        <v>stopped</v>
      </c>
      <c r="I36" s="2"/>
      <c r="J36" s="15" t="str">
        <f t="shared" si="17"/>
        <v>AUDON7YD=</v>
      </c>
      <c r="K36" s="16">
        <f>'ON Pricing'!H36*100</f>
        <v>2.4829999999972094</v>
      </c>
      <c r="L36" s="16">
        <f t="shared" si="18"/>
        <v>2.4829999999972094</v>
      </c>
      <c r="M36" s="125" t="str">
        <f t="shared" si="19"/>
        <v>AUD1M7Y=</v>
      </c>
      <c r="N36" s="126">
        <f>'1M Pricing'!H36*100</f>
        <v>2.52936406131567</v>
      </c>
      <c r="O36" s="126">
        <f t="shared" si="22"/>
        <v>2.52936406131567</v>
      </c>
      <c r="P36" s="15" t="str">
        <f t="shared" si="20"/>
        <v>AUD3M7Y=</v>
      </c>
      <c r="Q36" s="16">
        <f>'3M Pricing'!H36*100</f>
        <v>2.6900161680324035</v>
      </c>
      <c r="R36" s="16">
        <f t="shared" si="23"/>
        <v>2.6900161680324035</v>
      </c>
      <c r="S36" s="15" t="str">
        <f t="shared" si="21"/>
        <v>AUD6M7Y=</v>
      </c>
      <c r="T36" s="16">
        <f>'6M Pricing'!H36*100</f>
        <v>2.7899361744716087</v>
      </c>
      <c r="U36" s="16">
        <f t="shared" si="24"/>
        <v>2.7899361744716087</v>
      </c>
      <c r="V36" s="98" t="s">
        <v>70</v>
      </c>
      <c r="W36" s="16">
        <f>ABS(_xll.RtGet(SourceAlias,$J36,BID)-K36)</f>
        <v>2.7906565946977935E-12</v>
      </c>
      <c r="X36" s="16">
        <f>ABS(_xll.RtGet(SourceAlias,$J36,ASK)-L36)</f>
        <v>2.7906565946977935E-12</v>
      </c>
      <c r="Y36" s="127">
        <f>ABS(_xll.RtGet(SourceAlias,$M36,BID)-N36)</f>
        <v>2.3968568432986004E-4</v>
      </c>
      <c r="Z36" s="127">
        <f>ABS(_xll.RtGet(SourceAlias,$M36,ASK)-O36)</f>
        <v>2.3968568432986004E-4</v>
      </c>
      <c r="AA36" s="16">
        <f>ABS(_xll.RtGet(SourceAlias,$P36,BID)-Q36)</f>
        <v>1.0141696759635721E-4</v>
      </c>
      <c r="AB36" s="16">
        <f>ABS(_xll.RtGet(SourceAlias,$P36,ASK)-R36)</f>
        <v>1.0141696759635721E-4</v>
      </c>
      <c r="AC36" s="16">
        <f>ABS(_xll.RtGet(SourceAlias,$S36,BID)-T36)</f>
        <v>6.382552839134803E-5</v>
      </c>
      <c r="AD36" s="16">
        <f>ABS(_xll.RtGet(SourceAlias,$S36,ASK)-U36)</f>
        <v>6.382552839134803E-5</v>
      </c>
      <c r="AE36" s="41" t="s">
        <v>70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1.25" customHeight="1" x14ac:dyDescent="0.2">
      <c r="A37" s="2"/>
      <c r="B37" s="2"/>
      <c r="C37" s="169"/>
      <c r="D37" s="21" t="s">
        <v>32</v>
      </c>
      <c r="E37" s="21" t="str">
        <f>IF(Contribute="abcd",IF($F$2&lt;&gt;-1,_xll.RtContribute(SourceAlias,J37,Fields,K37:L37,"SCOPE:SERVER"),_xll.RtContribute(SourceAlias,"DDS_INSERT_S",$F$2:$H$2,K37:L37,"SCOPE:SERVER FTC:ALL")),"stopped")</f>
        <v>stopped</v>
      </c>
      <c r="F37" s="143" t="str">
        <f>IF(Contribute="abcd",IF($F$2&lt;&gt;-1,_xll.RtContribute(SourceAlias,M37,Fields,N37:O37,"SCOPE:SERVER"),_xll.RtContribute(SourceAlias,"DDS_INSERT_S",$F$2:$H$2,M37:O37,"SCOPE:SERVER FTC:ALL")),"stopped")</f>
        <v>stopped</v>
      </c>
      <c r="G37" s="21" t="str">
        <f>IF(Contribute="abcd",IF($F$2&lt;&gt;-1,_xll.RtContribute(SourceAlias,P37,Fields,Q37:R37,"SCOPE:SERVER"),_xll.RtContribute(SourceAlias,"DDS_INSERT_S",$F$2:$H$2,P37:R37,"SCOPE:SERVER FTC:ALL")),"stopped")</f>
        <v>stopped</v>
      </c>
      <c r="H37" s="21" t="str">
        <f>IF(Contribute="abcd",IF($F$2&lt;&gt;-1,_xll.RtContribute(SourceAlias,S37,Fields,T37:U37,"SCOPE:SERVER"),_xll.RtContribute(SourceAlias,"DDS_INSERT_S",$F$2:$H$2,S37:U37,"SCOPE:SERVER FTC:ALL")),"stopped")</f>
        <v>stopped</v>
      </c>
      <c r="I37" s="2"/>
      <c r="J37" s="15" t="str">
        <f t="shared" si="17"/>
        <v>AUDON8YD=</v>
      </c>
      <c r="K37" s="16">
        <f>'ON Pricing'!H37*100</f>
        <v>2.5649999999975344</v>
      </c>
      <c r="L37" s="16">
        <f t="shared" si="18"/>
        <v>2.5649999999975344</v>
      </c>
      <c r="M37" s="125" t="str">
        <f t="shared" si="19"/>
        <v>AUD1M8Y=</v>
      </c>
      <c r="N37" s="126">
        <f>'1M Pricing'!H37*100</f>
        <v>2.6219789562008167</v>
      </c>
      <c r="O37" s="126">
        <f t="shared" si="22"/>
        <v>2.6219789562008167</v>
      </c>
      <c r="P37" s="15" t="str">
        <f t="shared" si="20"/>
        <v>AUD3M8Y=</v>
      </c>
      <c r="Q37" s="16">
        <f>'3M Pricing'!H37*100</f>
        <v>2.7795591600260563</v>
      </c>
      <c r="R37" s="16">
        <f t="shared" si="23"/>
        <v>2.7795591600260563</v>
      </c>
      <c r="S37" s="15" t="str">
        <f t="shared" si="21"/>
        <v>AUD6M8Y=</v>
      </c>
      <c r="T37" s="16">
        <f>'6M Pricing'!H37*100</f>
        <v>2.8774434115369196</v>
      </c>
      <c r="U37" s="16">
        <f t="shared" si="24"/>
        <v>2.8774434115369196</v>
      </c>
      <c r="V37" s="98" t="s">
        <v>70</v>
      </c>
      <c r="W37" s="16">
        <f>ABS(_xll.RtGet(SourceAlias,$J37,BID)-K37)</f>
        <v>2.4655832930875476E-12</v>
      </c>
      <c r="X37" s="16">
        <f>ABS(_xll.RtGet(SourceAlias,$J37,ASK)-L37)</f>
        <v>2.4655832930875476E-12</v>
      </c>
      <c r="Y37" s="127">
        <f>ABS(_xll.RtGet(SourceAlias,$M37,BID)-N37)</f>
        <v>5.6554920081675064E-4</v>
      </c>
      <c r="Z37" s="127">
        <f>ABS(_xll.RtGet(SourceAlias,$M37,ASK)-O37)</f>
        <v>5.6554920081675064E-4</v>
      </c>
      <c r="AA37" s="16">
        <f>ABS(_xll.RtGet(SourceAlias,$P37,BID)-Q37)</f>
        <v>9.9848973943661434E-5</v>
      </c>
      <c r="AB37" s="16">
        <f>ABS(_xll.RtGet(SourceAlias,$P37,ASK)-R37)</f>
        <v>9.9848973943661434E-5</v>
      </c>
      <c r="AC37" s="16">
        <f>ABS(_xll.RtGet(SourceAlias,$S37,BID)-T37)</f>
        <v>5.6588463080320395E-5</v>
      </c>
      <c r="AD37" s="16">
        <f>ABS(_xll.RtGet(SourceAlias,$S37,ASK)-U37)</f>
        <v>5.6588463080320395E-5</v>
      </c>
      <c r="AE37" s="41" t="s">
        <v>70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ht="11.25" customHeight="1" x14ac:dyDescent="0.2">
      <c r="A38" s="2"/>
      <c r="B38" s="2"/>
      <c r="C38" s="169"/>
      <c r="D38" s="21" t="s">
        <v>33</v>
      </c>
      <c r="E38" s="21" t="str">
        <f>IF(Contribute="abcd",IF($F$2&lt;&gt;-1,_xll.RtContribute(SourceAlias,J38,Fields,K38:L38,"SCOPE:SERVER"),_xll.RtContribute(SourceAlias,"DDS_INSERT_S",$F$2:$H$2,K38:L38,"SCOPE:SERVER FTC:ALL")),"stopped")</f>
        <v>stopped</v>
      </c>
      <c r="F38" s="143" t="str">
        <f>IF(Contribute="abcd",IF($F$2&lt;&gt;-1,_xll.RtContribute(SourceAlias,M38,Fields,N38:O38,"SCOPE:SERVER"),_xll.RtContribute(SourceAlias,"DDS_INSERT_S",$F$2:$H$2,M38:O38,"SCOPE:SERVER FTC:ALL")),"stopped")</f>
        <v>stopped</v>
      </c>
      <c r="G38" s="21" t="str">
        <f>IF(Contribute="abcd",IF($F$2&lt;&gt;-1,_xll.RtContribute(SourceAlias,P38,Fields,Q38:R38,"SCOPE:SERVER"),_xll.RtContribute(SourceAlias,"DDS_INSERT_S",$F$2:$H$2,P38:R38,"SCOPE:SERVER FTC:ALL")),"stopped")</f>
        <v>stopped</v>
      </c>
      <c r="H38" s="21" t="str">
        <f>IF(Contribute="abcd",IF($F$2&lt;&gt;-1,_xll.RtContribute(SourceAlias,S38,Fields,T38:U38,"SCOPE:SERVER"),_xll.RtContribute(SourceAlias,"DDS_INSERT_S",$F$2:$H$2,S38:U38,"SCOPE:SERVER FTC:ALL")),"stopped")</f>
        <v>stopped</v>
      </c>
      <c r="I38" s="2"/>
      <c r="J38" s="15" t="str">
        <f t="shared" si="17"/>
        <v>AUDON9YD=</v>
      </c>
      <c r="K38" s="16">
        <f>'ON Pricing'!H38*100</f>
        <v>2.6499999999977768</v>
      </c>
      <c r="L38" s="16">
        <f t="shared" si="18"/>
        <v>2.6499999999977768</v>
      </c>
      <c r="M38" s="125" t="str">
        <f t="shared" si="19"/>
        <v>AUD1M9Y=</v>
      </c>
      <c r="N38" s="126">
        <f>'1M Pricing'!H38*100</f>
        <v>2.7023376284700538</v>
      </c>
      <c r="O38" s="126">
        <f t="shared" si="22"/>
        <v>2.7023376284700538</v>
      </c>
      <c r="P38" s="15" t="str">
        <f t="shared" si="20"/>
        <v>AUD3M9Y=</v>
      </c>
      <c r="Q38" s="16">
        <f>'3M Pricing'!H38*100</f>
        <v>2.8595435372670259</v>
      </c>
      <c r="R38" s="16">
        <f t="shared" si="23"/>
        <v>2.8595435372670259</v>
      </c>
      <c r="S38" s="15" t="str">
        <f t="shared" si="21"/>
        <v>AUD6M9Y=</v>
      </c>
      <c r="T38" s="16">
        <f>'6M Pricing'!H38*100</f>
        <v>2.9549240736922648</v>
      </c>
      <c r="U38" s="16">
        <f t="shared" si="24"/>
        <v>2.9549240736922648</v>
      </c>
      <c r="V38" s="98" t="s">
        <v>70</v>
      </c>
      <c r="W38" s="16">
        <f>ABS(_xll.RtGet(SourceAlias,$J38,BID)-K38)</f>
        <v>2.2231105845094135E-12</v>
      </c>
      <c r="X38" s="16">
        <f>ABS(_xll.RtGet(SourceAlias,$J38,ASK)-L38)</f>
        <v>2.2231105845094135E-12</v>
      </c>
      <c r="Y38" s="127">
        <f>ABS(_xll.RtGet(SourceAlias,$M38,BID)-N38)</f>
        <v>3.3165047005390136E-4</v>
      </c>
      <c r="Z38" s="127">
        <f>ABS(_xll.RtGet(SourceAlias,$M38,ASK)-O38)</f>
        <v>3.3165047005390136E-4</v>
      </c>
      <c r="AA38" s="16">
        <f>ABS(_xll.RtGet(SourceAlias,$P38,BID)-Q38)</f>
        <v>1.0055173297418563E-4</v>
      </c>
      <c r="AB38" s="16">
        <f>ABS(_xll.RtGet(SourceAlias,$P38,ASK)-R38)</f>
        <v>1.0055173297418563E-4</v>
      </c>
      <c r="AC38" s="16">
        <f>ABS(_xll.RtGet(SourceAlias,$S38,BID)-T38)</f>
        <v>7.5926307735230125E-5</v>
      </c>
      <c r="AD38" s="16">
        <f>ABS(_xll.RtGet(SourceAlias,$S38,ASK)-U38)</f>
        <v>7.5926307735230125E-5</v>
      </c>
      <c r="AE38" s="41" t="s">
        <v>70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2">
      <c r="A39" s="2"/>
      <c r="B39" s="2"/>
      <c r="C39" s="169"/>
      <c r="D39" s="21" t="s">
        <v>34</v>
      </c>
      <c r="E39" s="21" t="str">
        <f>IF(Contribute="abcd",IF($F$2&lt;&gt;-1,_xll.RtContribute(SourceAlias,J39,Fields,K39:L39,"SCOPE:SERVER"),_xll.RtContribute(SourceAlias,"DDS_INSERT_S",$F$2:$H$2,K39:L39,"SCOPE:SERVER FTC:ALL")),"stopped")</f>
        <v>stopped</v>
      </c>
      <c r="F39" s="143" t="str">
        <f>IF(Contribute="abcd",IF($F$2&lt;&gt;-1,_xll.RtContribute(SourceAlias,M39,Fields,N39:O39,"SCOPE:SERVER"),_xll.RtContribute(SourceAlias,"DDS_INSERT_S",$F$2:$H$2,M39:O39,"SCOPE:SERVER FTC:ALL")),"stopped")</f>
        <v>stopped</v>
      </c>
      <c r="G39" s="21" t="str">
        <f>IF(Contribute="abcd",IF($F$2&lt;&gt;-1,_xll.RtContribute(SourceAlias,P39,Fields,Q39:R39,"SCOPE:SERVER"),_xll.RtContribute(SourceAlias,"DDS_INSERT_S",$F$2:$H$2,P39:R39,"SCOPE:SERVER FTC:ALL")),"stopped")</f>
        <v>stopped</v>
      </c>
      <c r="H39" s="21" t="str">
        <f>IF(Contribute="abcd",IF($F$2&lt;&gt;-1,_xll.RtContribute(SourceAlias,S39,Fields,T39:U39,"SCOPE:SERVER"),_xll.RtContribute(SourceAlias,"DDS_INSERT_S",$F$2:$H$2,S39:U39,"SCOPE:SERVER FTC:ALL")),"stopped")</f>
        <v>stopped</v>
      </c>
      <c r="I39" s="2"/>
      <c r="J39" s="15" t="str">
        <f t="shared" si="17"/>
        <v>AUDON10YD=</v>
      </c>
      <c r="K39" s="16">
        <f>'ON Pricing'!H39*100</f>
        <v>2.7329999999979635</v>
      </c>
      <c r="L39" s="16">
        <f t="shared" si="18"/>
        <v>2.7329999999979635</v>
      </c>
      <c r="M39" s="125" t="str">
        <f t="shared" ref="M39:M44" si="25">Currency&amp;$M$4&amp;D39&amp;"="</f>
        <v>AUD1M10Y=</v>
      </c>
      <c r="N39" s="126">
        <f>'1M Pricing'!H39*100</f>
        <v>2.7766458315951135</v>
      </c>
      <c r="O39" s="126">
        <f t="shared" ref="O39:O44" si="26">N39</f>
        <v>2.7766458315951135</v>
      </c>
      <c r="P39" s="15" t="str">
        <f t="shared" ref="P39:P44" si="27">Currency&amp;$P$4&amp;D39&amp;"="</f>
        <v>AUD3M10Y=</v>
      </c>
      <c r="Q39" s="16">
        <f>'3M Pricing'!H39*100</f>
        <v>2.9346391388690112</v>
      </c>
      <c r="R39" s="16">
        <f t="shared" ref="R39:R44" si="28">Q39</f>
        <v>2.9346391388690112</v>
      </c>
      <c r="S39" s="15" t="str">
        <f t="shared" ref="S39:S44" si="29">Currency&amp;$S$4&amp;D39&amp;"="</f>
        <v>AUD6M10Y=</v>
      </c>
      <c r="T39" s="16">
        <f>'6M Pricing'!H39*100</f>
        <v>3.0211806612837506</v>
      </c>
      <c r="U39" s="16">
        <f t="shared" ref="U39:U44" si="30">T39</f>
        <v>3.0211806612837506</v>
      </c>
      <c r="V39" s="98" t="s">
        <v>70</v>
      </c>
      <c r="W39" s="16">
        <f>ABS(_xll.RtGet(SourceAlias,$J39,BID)-K39)</f>
        <v>2.0365931163723872E-12</v>
      </c>
      <c r="X39" s="16">
        <f>ABS(_xll.RtGet(SourceAlias,$J39,ASK)-L39)</f>
        <v>2.0365931163723872E-12</v>
      </c>
      <c r="Y39" s="127">
        <f>ABS(_xll.RtGet(SourceAlias,$M39,BID)-N39)</f>
        <v>2.3157740488644052E-4</v>
      </c>
      <c r="Z39" s="127">
        <f>ABS(_xll.RtGet(SourceAlias,$M39,ASK)-O39)</f>
        <v>2.3157740488644052E-4</v>
      </c>
      <c r="AA39" s="16">
        <f>ABS(_xll.RtGet(SourceAlias,$P39,BID)-Q39)</f>
        <v>9.76861309887056E-5</v>
      </c>
      <c r="AB39" s="16">
        <f>ABS(_xll.RtGet(SourceAlias,$P39,ASK)-R39)</f>
        <v>9.76861309887056E-5</v>
      </c>
      <c r="AC39" s="16">
        <f>ABS(_xll.RtGet(SourceAlias,$S39,BID)-T39)</f>
        <v>6.9338716249589538E-5</v>
      </c>
      <c r="AD39" s="16">
        <f>ABS(_xll.RtGet(SourceAlias,$S39,ASK)-U39)</f>
        <v>6.9338716249589538E-5</v>
      </c>
      <c r="AE39" s="41" t="s">
        <v>70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">
      <c r="A40" s="2"/>
      <c r="B40" s="2"/>
      <c r="C40" s="169"/>
      <c r="D40" s="21" t="s">
        <v>35</v>
      </c>
      <c r="E40" s="21" t="str">
        <f>IF(Contribute="abcd",IF($F$2&lt;&gt;-1,_xll.RtContribute(SourceAlias,J40,Fields,K40:L40,"SCOPE:SERVER"),_xll.RtContribute(SourceAlias,"DDS_INSERT_S",$F$2:$H$2,K40:L40,"SCOPE:SERVER FTC:ALL")),"stopped")</f>
        <v>stopped</v>
      </c>
      <c r="F40" s="143" t="str">
        <f>IF(Contribute="abcd",IF($F$2&lt;&gt;-1,_xll.RtContribute(SourceAlias,M40,Fields,N40:O40,"SCOPE:SERVER"),_xll.RtContribute(SourceAlias,"DDS_INSERT_S",$F$2:$H$2,M40:O40,"SCOPE:SERVER FTC:ALL")),"stopped")</f>
        <v>stopped</v>
      </c>
      <c r="G40" s="21" t="str">
        <f>IF(Contribute="abcd",IF($F$2&lt;&gt;-1,_xll.RtContribute(SourceAlias,P40,Fields,Q40:R40,"SCOPE:SERVER"),_xll.RtContribute(SourceAlias,"DDS_INSERT_S",$F$2:$H$2,P40:R40,"SCOPE:SERVER FTC:ALL")),"stopped")</f>
        <v>stopped</v>
      </c>
      <c r="H40" s="21" t="str">
        <f>IF(Contribute="abcd",IF($F$2&lt;&gt;-1,_xll.RtContribute(SourceAlias,S40,Fields,T40:U40,"SCOPE:SERVER"),_xll.RtContribute(SourceAlias,"DDS_INSERT_S",$F$2:$H$2,S40:U40,"SCOPE:SERVER FTC:ALL")),"stopped")</f>
        <v>stopped</v>
      </c>
      <c r="I40" s="2"/>
      <c r="J40" s="15" t="str">
        <f t="shared" si="17"/>
        <v>AUDON12YD=</v>
      </c>
      <c r="K40" s="16">
        <f>'ON Pricing'!H40*100</f>
        <v>2.8679999999946744</v>
      </c>
      <c r="L40" s="16">
        <f t="shared" si="18"/>
        <v>2.8679999999946744</v>
      </c>
      <c r="M40" s="125" t="str">
        <f t="shared" si="25"/>
        <v>AUD1M12Y=</v>
      </c>
      <c r="N40" s="126">
        <f>'1M Pricing'!H40*100</f>
        <v>2.9100971896639556</v>
      </c>
      <c r="O40" s="126">
        <f t="shared" si="26"/>
        <v>2.9100971896639556</v>
      </c>
      <c r="P40" s="15" t="str">
        <f t="shared" si="27"/>
        <v>AUD3M12Y=</v>
      </c>
      <c r="Q40" s="16">
        <f>'3M Pricing'!H40*100</f>
        <v>3.0699716475778942</v>
      </c>
      <c r="R40" s="16">
        <f t="shared" si="28"/>
        <v>3.0699716475778942</v>
      </c>
      <c r="S40" s="15" t="str">
        <f t="shared" si="29"/>
        <v>AUD6M12Y=</v>
      </c>
      <c r="T40" s="16">
        <f>'6M Pricing'!H40*100</f>
        <v>3.1461904518234518</v>
      </c>
      <c r="U40" s="16">
        <f t="shared" si="30"/>
        <v>3.1461904518234518</v>
      </c>
      <c r="V40" s="98" t="s">
        <v>70</v>
      </c>
      <c r="W40" s="16">
        <f>ABS(_xll.RtGet(SourceAlias,$J40,BID)-K40)</f>
        <v>5.3255178045219509E-12</v>
      </c>
      <c r="X40" s="16">
        <f>ABS(_xll.RtGet(SourceAlias,$J40,ASK)-L40)</f>
        <v>5.3255178045219509E-12</v>
      </c>
      <c r="Y40" s="127">
        <f>ABS(_xll.RtGet(SourceAlias,$M40,BID)-N40)</f>
        <v>2.1143133604439868E-4</v>
      </c>
      <c r="Z40" s="127">
        <f>ABS(_xll.RtGet(SourceAlias,$M40,ASK)-O40)</f>
        <v>2.1143133604439868E-4</v>
      </c>
      <c r="AA40" s="16">
        <f>ABS(_xll.RtGet(SourceAlias,$P40,BID)-Q40)</f>
        <v>8.3879422105859192E-5</v>
      </c>
      <c r="AB40" s="16">
        <f>ABS(_xll.RtGet(SourceAlias,$P40,ASK)-R40)</f>
        <v>8.3879422105859192E-5</v>
      </c>
      <c r="AC40" s="16">
        <f>ABS(_xll.RtGet(SourceAlias,$S40,BID)-T40)</f>
        <v>5.9548176548407383E-5</v>
      </c>
      <c r="AD40" s="16">
        <f>ABS(_xll.RtGet(SourceAlias,$S40,ASK)-U40)</f>
        <v>5.9548176548407383E-5</v>
      </c>
      <c r="AE40" s="41" t="s">
        <v>70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2">
      <c r="A41" s="2"/>
      <c r="B41" s="2"/>
      <c r="C41" s="169"/>
      <c r="D41" s="21" t="s">
        <v>36</v>
      </c>
      <c r="E41" s="21" t="str">
        <f>IF(Contribute="abcd",IF($F$2&lt;&gt;-1,_xll.RtContribute(SourceAlias,J41,Fields,K41:L41,"SCOPE:SERVER"),_xll.RtContribute(SourceAlias,"DDS_INSERT_S",$F$2:$H$2,K41:L41,"SCOPE:SERVER FTC:ALL")),"stopped")</f>
        <v>stopped</v>
      </c>
      <c r="F41" s="143" t="str">
        <f>IF(Contribute="abcd",IF($F$2&lt;&gt;-1,_xll.RtContribute(SourceAlias,M41,Fields,N41:O41,"SCOPE:SERVER"),_xll.RtContribute(SourceAlias,"DDS_INSERT_S",$F$2:$H$2,M41:O41,"SCOPE:SERVER FTC:ALL")),"stopped")</f>
        <v>stopped</v>
      </c>
      <c r="G41" s="21" t="str">
        <f>IF(Contribute="abcd",IF($F$2&lt;&gt;-1,_xll.RtContribute(SourceAlias,P41,Fields,Q41:R41,"SCOPE:SERVER"),_xll.RtContribute(SourceAlias,"DDS_INSERT_S",$F$2:$H$2,P41:R41,"SCOPE:SERVER FTC:ALL")),"stopped")</f>
        <v>stopped</v>
      </c>
      <c r="H41" s="21" t="str">
        <f>IF(Contribute="abcd",IF($F$2&lt;&gt;-1,_xll.RtContribute(SourceAlias,S41,Fields,T41:U41,"SCOPE:SERVER"),_xll.RtContribute(SourceAlias,"DDS_INSERT_S",$F$2:$H$2,S41:U41,"SCOPE:SERVER FTC:ALL")),"stopped")</f>
        <v>stopped</v>
      </c>
      <c r="I41" s="2"/>
      <c r="J41" s="15" t="str">
        <f t="shared" si="17"/>
        <v>AUDON15YD=</v>
      </c>
      <c r="K41" s="16">
        <f>'ON Pricing'!H41*100</f>
        <v>3.01800000000007</v>
      </c>
      <c r="L41" s="16">
        <f t="shared" si="18"/>
        <v>3.01800000000007</v>
      </c>
      <c r="M41" s="125" t="str">
        <f t="shared" si="25"/>
        <v>AUD1M15Y=</v>
      </c>
      <c r="N41" s="126">
        <f>'1M Pricing'!H41*100</f>
        <v>3.0557798919070236</v>
      </c>
      <c r="O41" s="126">
        <f t="shared" si="26"/>
        <v>3.0557798919070236</v>
      </c>
      <c r="P41" s="15" t="str">
        <f t="shared" si="27"/>
        <v>AUD3M15Y=</v>
      </c>
      <c r="Q41" s="16">
        <f>'3M Pricing'!H41*100</f>
        <v>3.2163850072298725</v>
      </c>
      <c r="R41" s="16">
        <f t="shared" si="28"/>
        <v>3.2163850072298725</v>
      </c>
      <c r="S41" s="15" t="str">
        <f t="shared" si="29"/>
        <v>AUD6M15Y=</v>
      </c>
      <c r="T41" s="16">
        <f>'6M Pricing'!H41*100</f>
        <v>3.2836858115549621</v>
      </c>
      <c r="U41" s="16">
        <f t="shared" si="30"/>
        <v>3.2836858115549621</v>
      </c>
      <c r="V41" s="98" t="s">
        <v>70</v>
      </c>
      <c r="W41" s="16">
        <f>ABS(_xll.RtGet(SourceAlias,$J41,BID)-K41)</f>
        <v>7.0166095156309893E-14</v>
      </c>
      <c r="X41" s="16">
        <f>ABS(_xll.RtGet(SourceAlias,$J41,ASK)-L41)</f>
        <v>7.0166095156309893E-14</v>
      </c>
      <c r="Y41" s="127">
        <f>ABS(_xll.RtGet(SourceAlias,$M41,BID)-N41)</f>
        <v>2.1516809297628114E-4</v>
      </c>
      <c r="Z41" s="127">
        <f>ABS(_xll.RtGet(SourceAlias,$M41,ASK)-O41)</f>
        <v>2.1516809297628114E-4</v>
      </c>
      <c r="AA41" s="16">
        <f>ABS(_xll.RtGet(SourceAlias,$P41,BID)-Q41)</f>
        <v>9.0938770127557689E-5</v>
      </c>
      <c r="AB41" s="16">
        <f>ABS(_xll.RtGet(SourceAlias,$P41,ASK)-R41)</f>
        <v>9.0938770127557689E-5</v>
      </c>
      <c r="AC41" s="16">
        <f>ABS(_xll.RtGet(SourceAlias,$S41,BID)-T41)</f>
        <v>6.4188445037860475E-5</v>
      </c>
      <c r="AD41" s="16">
        <f>ABS(_xll.RtGet(SourceAlias,$S41,ASK)-U41)</f>
        <v>6.4188445037860475E-5</v>
      </c>
      <c r="AE41" s="41" t="s">
        <v>70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x14ac:dyDescent="0.2">
      <c r="A42" s="2"/>
      <c r="B42" s="2"/>
      <c r="C42" s="169"/>
      <c r="D42" s="21" t="s">
        <v>37</v>
      </c>
      <c r="E42" s="21" t="str">
        <f>IF(Contribute="abcd",IF($F$2&lt;&gt;-1,_xll.RtContribute(SourceAlias,J42,Fields,K42:L42,"SCOPE:SERVER"),_xll.RtContribute(SourceAlias,"DDS_INSERT_S",$F$2:$H$2,K42:L42,"SCOPE:SERVER FTC:ALL")),"stopped")</f>
        <v>stopped</v>
      </c>
      <c r="F42" s="143" t="str">
        <f>IF(Contribute="abcd",IF($F$2&lt;&gt;-1,_xll.RtContribute(SourceAlias,M42,Fields,N42:O42,"SCOPE:SERVER"),_xll.RtContribute(SourceAlias,"DDS_INSERT_S",$F$2:$H$2,M42:O42,"SCOPE:SERVER FTC:ALL")),"stopped")</f>
        <v>stopped</v>
      </c>
      <c r="G42" s="21" t="str">
        <f>IF(Contribute="abcd",IF($F$2&lt;&gt;-1,_xll.RtContribute(SourceAlias,P42,Fields,Q42:R42,"SCOPE:SERVER"),_xll.RtContribute(SourceAlias,"DDS_INSERT_S",$F$2:$H$2,P42:R42,"SCOPE:SERVER FTC:ALL")),"stopped")</f>
        <v>stopped</v>
      </c>
      <c r="H42" s="21" t="str">
        <f>IF(Contribute="abcd",IF($F$2&lt;&gt;-1,_xll.RtContribute(SourceAlias,S42,Fields,T42:U42,"SCOPE:SERVER"),_xll.RtContribute(SourceAlias,"DDS_INSERT_S",$F$2:$H$2,S42:U42,"SCOPE:SERVER FTC:ALL")),"stopped")</f>
        <v>stopped</v>
      </c>
      <c r="I42" s="2"/>
      <c r="J42" s="15" t="str">
        <f t="shared" si="17"/>
        <v>AUDON20YD=</v>
      </c>
      <c r="K42" s="16">
        <f>'ON Pricing'!H42*100</f>
        <v>3.1780000000005986</v>
      </c>
      <c r="L42" s="16">
        <f t="shared" si="18"/>
        <v>3.1780000000005986</v>
      </c>
      <c r="M42" s="125" t="str">
        <f t="shared" si="25"/>
        <v>AUD1M20Y=</v>
      </c>
      <c r="N42" s="126">
        <f>'1M Pricing'!H42*100</f>
        <v>3.2137697453845524</v>
      </c>
      <c r="O42" s="126">
        <f t="shared" si="26"/>
        <v>3.2137697453845524</v>
      </c>
      <c r="P42" s="15" t="str">
        <f t="shared" si="27"/>
        <v>AUD3M20Y=</v>
      </c>
      <c r="Q42" s="16">
        <f>'3M Pricing'!H42*100</f>
        <v>3.3751908824486003</v>
      </c>
      <c r="R42" s="16">
        <f t="shared" si="28"/>
        <v>3.3751908824486003</v>
      </c>
      <c r="S42" s="15" t="str">
        <f t="shared" si="29"/>
        <v>AUD6M20Y=</v>
      </c>
      <c r="T42" s="16">
        <f>'6M Pricing'!H42*100</f>
        <v>3.4311959289351206</v>
      </c>
      <c r="U42" s="16">
        <f t="shared" si="30"/>
        <v>3.4311959289351206</v>
      </c>
      <c r="V42" s="98" t="s">
        <v>70</v>
      </c>
      <c r="W42" s="16">
        <f>ABS(_xll.RtGet(SourceAlias,$J42,BID)-K42)</f>
        <v>5.9863225487788441E-13</v>
      </c>
      <c r="X42" s="16">
        <f>ABS(_xll.RtGet(SourceAlias,$J42,ASK)-L42)</f>
        <v>5.9863225487788441E-13</v>
      </c>
      <c r="Y42" s="127">
        <f>ABS(_xll.RtGet(SourceAlias,$M42,BID)-N42)</f>
        <v>1.9436061544775285E-4</v>
      </c>
      <c r="Z42" s="127">
        <f>ABS(_xll.RtGet(SourceAlias,$M42,ASK)-O42)</f>
        <v>1.9436061544775285E-4</v>
      </c>
      <c r="AA42" s="16">
        <f>ABS(_xll.RtGet(SourceAlias,$P42,BID)-Q42)</f>
        <v>8.1174551399776362E-5</v>
      </c>
      <c r="AB42" s="16">
        <f>ABS(_xll.RtGet(SourceAlias,$P42,ASK)-R42)</f>
        <v>8.1174551399776362E-5</v>
      </c>
      <c r="AC42" s="16">
        <f>ABS(_xll.RtGet(SourceAlias,$S42,BID)-T42)</f>
        <v>5.4071064879313013E-5</v>
      </c>
      <c r="AD42" s="16">
        <f>ABS(_xll.RtGet(SourceAlias,$S42,ASK)-U42)</f>
        <v>5.4071064879313013E-5</v>
      </c>
      <c r="AE42" s="41" t="s">
        <v>70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">
      <c r="A43" s="2"/>
      <c r="B43" s="2"/>
      <c r="C43" s="169"/>
      <c r="D43" s="21" t="s">
        <v>38</v>
      </c>
      <c r="E43" s="21" t="str">
        <f>IF(Contribute="abcd",IF($F$2&lt;&gt;-1,_xll.RtContribute(SourceAlias,J43,Fields,K43:L43,"SCOPE:SERVER"),_xll.RtContribute(SourceAlias,"DDS_INSERT_S",$F$2:$H$2,K43:L43,"SCOPE:SERVER FTC:ALL")),"stopped")</f>
        <v>stopped</v>
      </c>
      <c r="F43" s="143" t="str">
        <f>IF(Contribute="abcd",IF($F$2&lt;&gt;-1,_xll.RtContribute(SourceAlias,M43,Fields,N43:O43,"SCOPE:SERVER"),_xll.RtContribute(SourceAlias,"DDS_INSERT_S",$F$2:$H$2,M43:O43,"SCOPE:SERVER FTC:ALL")),"stopped")</f>
        <v>stopped</v>
      </c>
      <c r="G43" s="21" t="str">
        <f>IF(Contribute="abcd",IF($F$2&lt;&gt;-1,_xll.RtContribute(SourceAlias,P43,Fields,Q43:R43,"SCOPE:SERVER"),_xll.RtContribute(SourceAlias,"DDS_INSERT_S",$F$2:$H$2,P43:R43,"SCOPE:SERVER FTC:ALL")),"stopped")</f>
        <v>stopped</v>
      </c>
      <c r="H43" s="21" t="str">
        <f>IF(Contribute="abcd",IF($F$2&lt;&gt;-1,_xll.RtContribute(SourceAlias,S43,Fields,T43:U43,"SCOPE:SERVER"),_xll.RtContribute(SourceAlias,"DDS_INSERT_S",$F$2:$H$2,S43:U43,"SCOPE:SERVER FTC:ALL")),"stopped")</f>
        <v>stopped</v>
      </c>
      <c r="I43" s="2"/>
      <c r="J43" s="15" t="str">
        <f t="shared" si="17"/>
        <v>AUDON25YD=</v>
      </c>
      <c r="K43" s="16">
        <f>'ON Pricing'!H43*100</f>
        <v>3.2249999999984347</v>
      </c>
      <c r="L43" s="16">
        <f t="shared" si="18"/>
        <v>3.2249999999984347</v>
      </c>
      <c r="M43" s="125" t="str">
        <f t="shared" si="25"/>
        <v>AUD1M25Y=</v>
      </c>
      <c r="N43" s="126">
        <f>'1M Pricing'!H43*100</f>
        <v>3.2606938232625651</v>
      </c>
      <c r="O43" s="126">
        <f t="shared" si="26"/>
        <v>3.2606938232625651</v>
      </c>
      <c r="P43" s="15" t="str">
        <f t="shared" si="27"/>
        <v>AUD3M25Y=</v>
      </c>
      <c r="Q43" s="16">
        <f>'3M Pricing'!H43*100</f>
        <v>3.4223503463764224</v>
      </c>
      <c r="R43" s="16">
        <f t="shared" si="28"/>
        <v>3.4223503463764224</v>
      </c>
      <c r="S43" s="15" t="str">
        <f t="shared" si="29"/>
        <v>AUD6M25Y=</v>
      </c>
      <c r="T43" s="16">
        <f>'6M Pricing'!H43*100</f>
        <v>3.4737019098151349</v>
      </c>
      <c r="U43" s="16">
        <f t="shared" si="30"/>
        <v>3.4737019098151349</v>
      </c>
      <c r="V43" s="98" t="s">
        <v>70</v>
      </c>
      <c r="W43" s="16">
        <f>ABS(_xll.RtGet(SourceAlias,$J43,BID)-K43)</f>
        <v>1.5654144647214707E-12</v>
      </c>
      <c r="X43" s="16">
        <f>ABS(_xll.RtGet(SourceAlias,$J43,ASK)-L43)</f>
        <v>1.5654144647214707E-12</v>
      </c>
      <c r="Y43" s="127">
        <f>ABS(_xll.RtGet(SourceAlias,$M43,BID)-N43)</f>
        <v>1.7028273743502353E-4</v>
      </c>
      <c r="Z43" s="127">
        <f>ABS(_xll.RtGet(SourceAlias,$M43,ASK)-O43)</f>
        <v>1.7028273743502353E-4</v>
      </c>
      <c r="AA43" s="16">
        <f>ABS(_xll.RtGet(SourceAlias,$P43,BID)-Q43)</f>
        <v>7.0788623577566767E-5</v>
      </c>
      <c r="AB43" s="16">
        <f>ABS(_xll.RtGet(SourceAlias,$P43,ASK)-R43)</f>
        <v>7.0788623577566767E-5</v>
      </c>
      <c r="AC43" s="16">
        <f>ABS(_xll.RtGet(SourceAlias,$S43,BID)-T43)</f>
        <v>4.8090184864957308E-5</v>
      </c>
      <c r="AD43" s="16">
        <f>ABS(_xll.RtGet(SourceAlias,$S43,ASK)-U43)</f>
        <v>4.8090184864957308E-5</v>
      </c>
      <c r="AE43" s="41" t="s">
        <v>70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">
      <c r="A44" s="2"/>
      <c r="B44" s="2"/>
      <c r="C44" s="170"/>
      <c r="D44" s="22" t="s">
        <v>39</v>
      </c>
      <c r="E44" s="22" t="str">
        <f>IF(Contribute="abcd",IF($F$2&lt;&gt;-1,_xll.RtContribute(SourceAlias,J44,Fields,K44:L44,"SCOPE:SERVER"),_xll.RtContribute(SourceAlias,"DDS_INSERT_S",$F$2:$H$2,K44:L44,"SCOPE:SERVER FTC:ALL")),"stopped")</f>
        <v>stopped</v>
      </c>
      <c r="F44" s="144" t="str">
        <f>IF(Contribute="abcd",IF($F$2&lt;&gt;-1,_xll.RtContribute(SourceAlias,M44,Fields,N44:O44,"SCOPE:SERVER"),_xll.RtContribute(SourceAlias,"DDS_INSERT_S",$F$2:$H$2,M44:O44,"SCOPE:SERVER FTC:ALL")),"stopped")</f>
        <v>stopped</v>
      </c>
      <c r="G44" s="22" t="str">
        <f>IF(Contribute="abcd",IF($F$2&lt;&gt;-1,_xll.RtContribute(SourceAlias,P44,Fields,Q44:R44,"SCOPE:SERVER"),_xll.RtContribute(SourceAlias,"DDS_INSERT_S",$F$2:$H$2,P44:R44,"SCOPE:SERVER FTC:ALL")),"stopped")</f>
        <v>stopped</v>
      </c>
      <c r="H44" s="22" t="str">
        <f>IF(Contribute="abcd",IF($F$2&lt;&gt;-1,_xll.RtContribute(SourceAlias,S44,Fields,T44:U44,"SCOPE:SERVER"),_xll.RtContribute(SourceAlias,"DDS_INSERT_S",$F$2:$H$2,S44:U44,"SCOPE:SERVER FTC:ALL")),"stopped")</f>
        <v>stopped</v>
      </c>
      <c r="I44" s="2"/>
      <c r="J44" s="17" t="str">
        <f t="shared" si="17"/>
        <v>AUDON30YD=</v>
      </c>
      <c r="K44" s="18">
        <f>'ON Pricing'!H44*100</f>
        <v>3.2049999999997727</v>
      </c>
      <c r="L44" s="18">
        <f t="shared" si="18"/>
        <v>3.2049999999997727</v>
      </c>
      <c r="M44" s="138" t="str">
        <f t="shared" si="25"/>
        <v>AUD1M30Y=</v>
      </c>
      <c r="N44" s="139">
        <f>'1M Pricing'!H44*100</f>
        <v>3.2410041771684344</v>
      </c>
      <c r="O44" s="139">
        <f t="shared" si="26"/>
        <v>3.2410041771684344</v>
      </c>
      <c r="P44" s="17" t="str">
        <f t="shared" si="27"/>
        <v>AUD3M30Y=</v>
      </c>
      <c r="Q44" s="18">
        <f>'3M Pricing'!H44*100</f>
        <v>3.4025427368974013</v>
      </c>
      <c r="R44" s="18">
        <f t="shared" si="28"/>
        <v>3.4025427368974013</v>
      </c>
      <c r="S44" s="17" t="str">
        <f t="shared" si="29"/>
        <v>AUD6M30Y=</v>
      </c>
      <c r="T44" s="18">
        <f>'6M Pricing'!H44*100</f>
        <v>3.4499568204436462</v>
      </c>
      <c r="U44" s="18">
        <f t="shared" si="30"/>
        <v>3.4499568204436462</v>
      </c>
      <c r="V44" s="98" t="s">
        <v>70</v>
      </c>
      <c r="W44" s="18">
        <f>ABS(_xll.RtGet(SourceAlias,$J44,BID)-K44)</f>
        <v>2.2737367544323206E-13</v>
      </c>
      <c r="X44" s="18">
        <f>ABS(_xll.RtGet(SourceAlias,$J44,ASK)-L44)</f>
        <v>2.2737367544323206E-13</v>
      </c>
      <c r="Y44" s="140">
        <f>ABS(_xll.RtGet(SourceAlias,$M44,BID)-N44)</f>
        <v>1.5457083156578122E-4</v>
      </c>
      <c r="Z44" s="140">
        <f>ABS(_xll.RtGet(SourceAlias,$M44,ASK)-O44)</f>
        <v>1.5457083156578122E-4</v>
      </c>
      <c r="AA44" s="18">
        <f>ABS(_xll.RtGet(SourceAlias,$P44,BID)-Q44)</f>
        <v>6.3620102598527239E-5</v>
      </c>
      <c r="AB44" s="18">
        <f>ABS(_xll.RtGet(SourceAlias,$P44,ASK)-R44)</f>
        <v>6.3620102598527239E-5</v>
      </c>
      <c r="AC44" s="18">
        <f>ABS(_xll.RtGet(SourceAlias,$S44,BID)-T44)</f>
        <v>4.3179556354022708E-5</v>
      </c>
      <c r="AD44" s="18">
        <f>ABS(_xll.RtGet(SourceAlias,$S44,ASK)-U44)</f>
        <v>4.3179556354022708E-5</v>
      </c>
      <c r="AE44" s="41" t="s">
        <v>70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">
      <c r="A45" s="2"/>
      <c r="B45" s="2"/>
      <c r="C45" s="2"/>
      <c r="D45" s="2"/>
      <c r="E45" s="2"/>
      <c r="F45" s="2"/>
      <c r="G45" s="2"/>
      <c r="H45" s="2"/>
      <c r="I45" s="3"/>
      <c r="J45" s="8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2"/>
      <c r="Z45" s="3"/>
      <c r="AA45" s="2"/>
      <c r="AB45" s="3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">
      <c r="A46" s="2"/>
      <c r="B46" s="2"/>
      <c r="C46" s="2"/>
      <c r="D46" s="2"/>
      <c r="E46" s="2"/>
      <c r="F46" s="2"/>
      <c r="G46" s="2"/>
      <c r="H46" s="2"/>
      <c r="I46" s="3"/>
      <c r="J46" s="8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2"/>
      <c r="Z46" s="3"/>
      <c r="AA46" s="2"/>
      <c r="AB46" s="3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">
      <c r="A47" s="2"/>
      <c r="B47" s="2"/>
      <c r="C47" s="2"/>
      <c r="D47" s="2"/>
      <c r="E47" s="2"/>
      <c r="F47" s="2"/>
      <c r="G47" s="2"/>
      <c r="H47" s="2"/>
      <c r="I47" s="3"/>
      <c r="J47" s="8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2"/>
      <c r="Z47" s="3"/>
      <c r="AA47" s="2"/>
      <c r="AB47" s="3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">
      <c r="A48" s="2"/>
      <c r="B48" s="2"/>
      <c r="C48" s="2"/>
      <c r="D48" s="2"/>
      <c r="E48" s="2"/>
      <c r="F48" s="2"/>
      <c r="G48" s="2"/>
      <c r="H48" s="2"/>
      <c r="I48" s="3"/>
      <c r="J48" s="8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2"/>
      <c r="Z48" s="3"/>
      <c r="AA48" s="2"/>
      <c r="AB48" s="3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">
      <c r="A49" s="2"/>
      <c r="B49" s="2"/>
      <c r="C49" s="2"/>
      <c r="D49" s="2"/>
      <c r="E49" s="2"/>
      <c r="F49" s="2"/>
      <c r="G49" s="2"/>
      <c r="H49" s="2"/>
      <c r="I49" s="3"/>
      <c r="J49" s="8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2"/>
      <c r="Z49" s="3"/>
      <c r="AA49" s="2"/>
      <c r="AB49" s="3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2">
      <c r="A50" s="2"/>
      <c r="B50" s="2"/>
      <c r="C50" s="2"/>
      <c r="D50" s="2"/>
      <c r="E50" s="2"/>
      <c r="F50" s="2"/>
      <c r="G50" s="2"/>
      <c r="H50" s="2"/>
      <c r="I50" s="3"/>
      <c r="J50" s="8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3"/>
      <c r="AA50" s="2"/>
      <c r="AB50" s="3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2">
      <c r="A51" s="2"/>
      <c r="B51" s="2"/>
      <c r="C51" s="2"/>
      <c r="D51" s="2"/>
      <c r="E51" s="2"/>
      <c r="F51" s="2"/>
      <c r="G51" s="2"/>
      <c r="H51" s="2"/>
      <c r="I51" s="3"/>
      <c r="J51" s="8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2"/>
      <c r="Z51" s="3"/>
      <c r="AA51" s="2"/>
      <c r="AB51" s="3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2">
      <c r="A52" s="2"/>
      <c r="B52" s="2"/>
      <c r="C52" s="2"/>
      <c r="D52" s="2"/>
      <c r="E52" s="2"/>
      <c r="F52" s="2"/>
      <c r="G52" s="2"/>
      <c r="H52" s="2"/>
      <c r="I52" s="3"/>
      <c r="J52" s="8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2"/>
      <c r="Z52" s="3"/>
      <c r="AA52" s="2"/>
      <c r="AB52" s="3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">
      <c r="A53" s="2"/>
      <c r="B53" s="2"/>
      <c r="C53" s="2"/>
      <c r="D53" s="2"/>
      <c r="E53" s="2"/>
      <c r="F53" s="2"/>
      <c r="G53" s="2"/>
      <c r="H53" s="2"/>
      <c r="I53" s="3"/>
      <c r="J53" s="8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2"/>
      <c r="Z53" s="3"/>
      <c r="AA53" s="2"/>
      <c r="AB53" s="3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">
      <c r="A54" s="2"/>
      <c r="B54" s="2"/>
      <c r="C54" s="2"/>
      <c r="D54" s="2"/>
      <c r="E54" s="2"/>
      <c r="F54" s="2"/>
      <c r="G54" s="2"/>
      <c r="H54" s="2"/>
      <c r="I54" s="3"/>
      <c r="J54" s="8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2"/>
      <c r="Z54" s="3"/>
      <c r="AA54" s="2"/>
      <c r="AB54" s="3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3"/>
      <c r="AA55" s="2"/>
      <c r="AB55" s="3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2"/>
      <c r="Z56" s="3"/>
      <c r="AA56" s="2"/>
      <c r="AB56" s="3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2"/>
      <c r="Z57" s="3"/>
      <c r="AA57" s="2"/>
      <c r="AB57" s="3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2"/>
      <c r="Z58" s="3"/>
      <c r="AA58" s="2"/>
      <c r="AB58" s="3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2"/>
      <c r="Z59" s="3"/>
      <c r="AA59" s="2"/>
      <c r="AB59" s="3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2"/>
      <c r="Z60" s="3"/>
      <c r="AA60" s="2"/>
      <c r="AB60" s="3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2"/>
      <c r="Z61" s="3"/>
      <c r="AA61" s="2"/>
      <c r="AB61" s="3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2"/>
      <c r="Z62" s="3"/>
      <c r="AA62" s="2"/>
      <c r="AB62" s="3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2"/>
      <c r="Z63" s="3"/>
      <c r="AA63" s="2"/>
      <c r="AB63" s="3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3"/>
      <c r="AA64" s="2"/>
      <c r="AB64" s="3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3"/>
      <c r="AA65" s="2"/>
      <c r="AB65" s="3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3"/>
      <c r="AA66" s="2"/>
      <c r="AB66" s="3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2"/>
      <c r="Z67" s="3"/>
      <c r="AA67" s="2"/>
      <c r="AB67" s="3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2"/>
      <c r="Z68" s="3"/>
      <c r="AA68" s="2"/>
      <c r="AB68" s="3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2"/>
      <c r="Z69" s="3"/>
      <c r="AA69" s="2"/>
      <c r="AB69" s="3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2"/>
      <c r="Z70" s="3"/>
      <c r="AA70" s="2"/>
      <c r="AB70" s="3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2"/>
      <c r="Z71" s="3"/>
      <c r="AA71" s="2"/>
      <c r="AB71" s="3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2"/>
      <c r="Z72" s="3"/>
      <c r="AA72" s="2"/>
      <c r="AB72" s="3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2"/>
      <c r="Z73" s="3"/>
      <c r="AA73" s="2"/>
      <c r="AB73" s="3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2"/>
      <c r="Z74" s="3"/>
      <c r="AA74" s="2"/>
      <c r="AB74" s="3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2"/>
      <c r="Z75" s="3"/>
      <c r="AA75" s="2"/>
      <c r="AB75" s="3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2"/>
      <c r="Z76" s="3"/>
      <c r="AA76" s="2"/>
      <c r="AB76" s="3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2"/>
      <c r="Z77" s="3"/>
      <c r="AA77" s="2"/>
      <c r="AB77" s="3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2"/>
      <c r="Z78" s="3"/>
      <c r="AA78" s="2"/>
      <c r="AB78" s="3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2"/>
      <c r="Z79" s="3"/>
      <c r="AA79" s="2"/>
      <c r="AB79" s="3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2"/>
      <c r="Z80" s="3"/>
      <c r="AA80" s="2"/>
      <c r="AB80" s="3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2"/>
      <c r="Z81" s="3"/>
      <c r="AA81" s="2"/>
      <c r="AB81" s="3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2"/>
      <c r="Z82" s="3"/>
      <c r="AA82" s="2"/>
      <c r="AB82" s="3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2"/>
      <c r="Z83" s="3"/>
      <c r="AA83" s="2"/>
      <c r="AB83" s="3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2"/>
      <c r="Z84" s="3"/>
      <c r="AA84" s="2"/>
      <c r="AB84" s="3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2"/>
      <c r="Z85" s="3"/>
      <c r="AA85" s="2"/>
      <c r="AB85" s="3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2"/>
      <c r="Z86" s="3"/>
      <c r="AA86" s="2"/>
      <c r="AB86" s="3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2"/>
      <c r="Z87" s="3"/>
      <c r="AA87" s="2"/>
      <c r="AB87" s="3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2"/>
      <c r="Z88" s="3"/>
      <c r="AA88" s="2"/>
      <c r="AB88" s="3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2"/>
      <c r="Z89" s="3"/>
      <c r="AA89" s="2"/>
      <c r="AB89" s="3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2"/>
      <c r="Z90" s="3"/>
      <c r="AA90" s="2"/>
      <c r="AB90" s="3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2"/>
      <c r="Z91" s="3"/>
      <c r="AA91" s="2"/>
      <c r="AB91" s="3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2"/>
      <c r="Z92" s="3"/>
      <c r="AA92" s="2"/>
      <c r="AB92" s="3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2"/>
      <c r="Z93" s="3"/>
      <c r="AA93" s="2"/>
      <c r="AB93" s="3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2"/>
      <c r="Z94" s="3"/>
      <c r="AA94" s="2"/>
      <c r="AB94" s="3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2"/>
      <c r="Z95" s="3"/>
      <c r="AA95" s="2"/>
      <c r="AB95" s="3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2"/>
      <c r="Z96" s="3"/>
      <c r="AA96" s="2"/>
      <c r="AB96" s="3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2"/>
      <c r="Z97" s="3"/>
      <c r="AA97" s="2"/>
      <c r="AB97" s="3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2"/>
      <c r="Z98" s="3"/>
      <c r="AA98" s="2"/>
      <c r="AB98" s="3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2"/>
      <c r="Z99" s="3"/>
      <c r="AA99" s="2"/>
      <c r="AB99" s="3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2"/>
      <c r="Z100" s="3"/>
      <c r="AA100" s="2"/>
      <c r="AB100" s="3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2"/>
      <c r="Z101" s="3"/>
      <c r="AA101" s="2"/>
      <c r="AB101" s="3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2"/>
      <c r="Z102" s="3"/>
      <c r="AA102" s="2"/>
      <c r="AB102" s="3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x14ac:dyDescent="0.2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2"/>
      <c r="Z103" s="3"/>
      <c r="AA103" s="2"/>
      <c r="AB103" s="3"/>
      <c r="AC103" s="2"/>
      <c r="AD103" s="3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</sheetData>
  <mergeCells count="3">
    <mergeCell ref="C6:C18"/>
    <mergeCell ref="C19:C25"/>
    <mergeCell ref="C26:C44"/>
  </mergeCells>
  <conditionalFormatting sqref="D2">
    <cfRule type="cellIs" dxfId="1" priority="12" operator="equal">
      <formula>"abcd"</formula>
    </cfRule>
  </conditionalFormatting>
  <conditionalFormatting sqref="E6:H44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ignoredErrors>
    <ignoredError sqref="N6:N12 N26:N34 O25:O34 Q25:U34 Q39:U44 N39:N44 O39:O44 Q6:U23 O6:O23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30"/>
  <sheetViews>
    <sheetView showGridLines="0" workbookViewId="0"/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42353</v>
      </c>
      <c r="F6" s="162">
        <f>_xll.qlInterestRateIndexValueDate(OvernightIndex,E6,)</f>
        <v>42353</v>
      </c>
      <c r="G6" s="162">
        <f>_xll.qlInterestRateIndexMaturity(OvernightIndex,F6)</f>
        <v>42354</v>
      </c>
      <c r="H6" s="52">
        <f>_xll.qlIndexFixing(OvernightIndex,E6,TRUE,InterestRatesTrigger)</f>
        <v>1.9998671989852612E-2</v>
      </c>
      <c r="I6" s="55" t="str">
        <f>Contribution!J6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42354</v>
      </c>
      <c r="F7" s="156">
        <f>_xll.qlInterestRateIndexValueDate(OvernightIndex,E7,)</f>
        <v>42354</v>
      </c>
      <c r="G7" s="156">
        <f>_xll.qlInterestRateIndexMaturity(OvernightIndex,F7)</f>
        <v>42355</v>
      </c>
      <c r="H7" s="157">
        <f>_xll.qlIndexFixing(OvernightIndex,E7,TRUE,InterestRatesTrigger)</f>
        <v>1.999850874991882E-2</v>
      </c>
      <c r="I7" s="153" t="str">
        <f>Contribution!J7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42354</v>
      </c>
      <c r="F8" s="159">
        <f>_xll.qlInterestRateIndexValueDate(OvernightIndex,E8,)</f>
        <v>42354</v>
      </c>
      <c r="G8" s="159">
        <f>_xll.qlInterestRateIndexMaturity(OvernightIndex,F8)</f>
        <v>42355</v>
      </c>
      <c r="H8" s="160">
        <f>_xll.qlIndexFixing(OvernightIndex,E8,TRUE,InterestRatesTrigger)</f>
        <v>1.999850874991882E-2</v>
      </c>
      <c r="I8" s="154" t="str">
        <f>Contribution!J8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103</v>
      </c>
      <c r="D9" s="29" t="s">
        <v>59</v>
      </c>
      <c r="E9" s="48"/>
      <c r="F9" s="48">
        <f>_xll.qlSwapStartDate(L9)</f>
        <v>42354</v>
      </c>
      <c r="G9" s="48">
        <f>_xll.qlSwapMaturityDate(L9)</f>
        <v>42361</v>
      </c>
      <c r="H9" s="47">
        <f>_xll.qlOvernightIndexedSwapFairRate(L9,InterestRatesTrigger)</f>
        <v>2.0000000001115001E-2</v>
      </c>
      <c r="I9" s="38" t="str">
        <f>Contribution!J9</f>
        <v>AUDONSWD=</v>
      </c>
      <c r="J9" s="38" t="str">
        <f>Currency&amp;C9&amp;"OIS=ICAA"</f>
        <v>AUD1WOIS=ICAA</v>
      </c>
      <c r="K9" s="61"/>
      <c r="L9" s="29" t="str">
        <f>_xll.qlMakeOIS(,1,C9,OvernightIndex,,"0D",FixedLegDayCounter,,,Trigger)</f>
        <v>obj_002c2#0000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 t="s">
        <v>104</v>
      </c>
      <c r="F10" s="48">
        <f>_xll.qlSwapStartDate(L10)</f>
        <v>42354</v>
      </c>
      <c r="G10" s="48">
        <f>_xll.qlSwapMaturityDate(L10)</f>
        <v>42368</v>
      </c>
      <c r="H10" s="47">
        <f>_xll.qlOvernightIndexedSwapFairRate(L10,InterestRatesTrigger)</f>
        <v>2.0000006938740308E-2</v>
      </c>
      <c r="I10" s="38"/>
      <c r="J10" s="38"/>
      <c r="K10" s="60"/>
      <c r="L10" s="29" t="str">
        <f>_xll.qlMakeOIS(,1,C10,OvernightIndex,,"0D",FixedLegDayCounter,,,Trigger)</f>
        <v>obj_002d6#0000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/>
      <c r="F11" s="48">
        <f>_xll.qlSwapStartDate(L11)</f>
        <v>42354</v>
      </c>
      <c r="G11" s="48">
        <f>_xll.qlSwapMaturityDate(L11)</f>
        <v>42375</v>
      </c>
      <c r="H11" s="47">
        <f>_xll.qlOvernightIndexedSwapFairRate(L11,InterestRatesTrigger)</f>
        <v>1.9999828019398144E-2</v>
      </c>
      <c r="I11" s="38"/>
      <c r="J11" s="38"/>
      <c r="K11" s="60"/>
      <c r="L11" s="29" t="str">
        <f>_xll.qlMakeOIS(,1,C11,OvernightIndex,,"0D",FixedLegDayCounter,,,Trigger)</f>
        <v>obj_002c6#0000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/>
      <c r="F12" s="48">
        <f>_xll.qlSwapStartDate(L12)</f>
        <v>42354</v>
      </c>
      <c r="G12" s="48">
        <f>_xll.qlSwapMaturityDate(L12)</f>
        <v>42387</v>
      </c>
      <c r="H12" s="47">
        <f>_xll.qlOvernightIndexedSwapFairRate(L12,InterestRatesTrigger)</f>
        <v>1.9999999999474074E-2</v>
      </c>
      <c r="I12" s="38" t="str">
        <f>Contribution!J12</f>
        <v>AUDON1MD=</v>
      </c>
      <c r="J12" s="38" t="str">
        <f t="shared" ref="J12:J17" si="1">Currency&amp;C12&amp;"OIS=ICAA"</f>
        <v>AUD1MOIS=ICAA</v>
      </c>
      <c r="K12" s="60"/>
      <c r="L12" s="29" t="str">
        <f>_xll.qlMakeOIS(,1,C12,OvernightIndex,,"0D",FixedLegDayCounter,,,Trigger)</f>
        <v>obj_002ca#0000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/>
      <c r="F13" s="48">
        <f>_xll.qlSwapStartDate(L13)</f>
        <v>42354</v>
      </c>
      <c r="G13" s="48">
        <f>_xll.qlSwapMaturityDate(L13)</f>
        <v>42416</v>
      </c>
      <c r="H13" s="47">
        <f>_xll.qlOvernightIndexedSwapFairRate(L13,InterestRatesTrigger)</f>
        <v>1.9949999998748039E-2</v>
      </c>
      <c r="I13" s="38" t="str">
        <f>Contribution!J13</f>
        <v>AUDON2MD=</v>
      </c>
      <c r="J13" s="38" t="str">
        <f t="shared" si="1"/>
        <v>AUD2MOIS=ICAA</v>
      </c>
      <c r="K13" s="60"/>
      <c r="L13" s="29" t="str">
        <f>_xll.qlMakeOIS(,1,C13,OvernightIndex,,"0D",FixedLegDayCounter,,,Trigger)</f>
        <v>obj_002d0#0000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/>
      <c r="F14" s="48">
        <f>_xll.qlSwapStartDate(L14)</f>
        <v>42354</v>
      </c>
      <c r="G14" s="48">
        <f>_xll.qlSwapMaturityDate(L14)</f>
        <v>42445</v>
      </c>
      <c r="H14" s="47">
        <f>_xll.qlOvernightIndexedSwapFairRate(L14,InterestRatesTrigger)</f>
        <v>1.9799999999309471E-2</v>
      </c>
      <c r="I14" s="38" t="str">
        <f>Contribution!J14</f>
        <v>AUDON3MD=</v>
      </c>
      <c r="J14" s="38" t="str">
        <f t="shared" si="1"/>
        <v>AUD3MOIS=ICAA</v>
      </c>
      <c r="K14" s="60"/>
      <c r="L14" s="29" t="str">
        <f>_xll.qlMakeOIS(,1,C14,OvernightIndex,,"0D",FixedLegDayCounter,,,Trigger)</f>
        <v>obj_002bf#0000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/>
      <c r="F15" s="48">
        <f>_xll.qlSwapStartDate(L15)</f>
        <v>42354</v>
      </c>
      <c r="G15" s="48">
        <f>_xll.qlSwapMaturityDate(L15)</f>
        <v>42478</v>
      </c>
      <c r="H15" s="47">
        <f>_xll.qlOvernightIndexedSwapFairRate(L15,InterestRatesTrigger)</f>
        <v>1.9674999999462716E-2</v>
      </c>
      <c r="I15" s="38" t="str">
        <f>Contribution!J15</f>
        <v>AUDON4MD=</v>
      </c>
      <c r="J15" s="38" t="str">
        <f t="shared" si="1"/>
        <v>AUD4MOIS=ICAA</v>
      </c>
      <c r="K15" s="60"/>
      <c r="L15" s="29" t="str">
        <f>_xll.qlMakeOIS(,1,C15,OvernightIndex,,"0D",FixedLegDayCounter,,,Trigger)</f>
        <v>obj_002c5#0000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/>
      <c r="F16" s="48">
        <f>_xll.qlSwapStartDate(L16)</f>
        <v>42354</v>
      </c>
      <c r="G16" s="48">
        <f>_xll.qlSwapMaturityDate(L16)</f>
        <v>42506</v>
      </c>
      <c r="H16" s="47">
        <f>_xll.qlOvernightIndexedSwapFairRate(L16,InterestRatesTrigger)</f>
        <v>1.9524999999568238E-2</v>
      </c>
      <c r="I16" s="38" t="str">
        <f>Contribution!J16</f>
        <v>AUDON5MD=</v>
      </c>
      <c r="J16" s="38" t="str">
        <f t="shared" si="1"/>
        <v>AUD5MOIS=ICAA</v>
      </c>
      <c r="K16" s="60"/>
      <c r="L16" s="29" t="str">
        <f>_xll.qlMakeOIS(,1,C16,OvernightIndex,,"0D",FixedLegDayCounter,,,Trigger)</f>
        <v>obj_002be#0000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/>
      <c r="F17" s="48">
        <f>_xll.qlSwapStartDate(L17)</f>
        <v>42354</v>
      </c>
      <c r="G17" s="48">
        <f>_xll.qlSwapMaturityDate(L17)</f>
        <v>42537</v>
      </c>
      <c r="H17" s="47">
        <f>_xll.qlOvernightIndexedSwapFairRate(L17,InterestRatesTrigger)</f>
        <v>1.9449999999639946E-2</v>
      </c>
      <c r="I17" s="38" t="str">
        <f>Contribution!J17</f>
        <v>AUDON6MD=</v>
      </c>
      <c r="J17" s="38" t="str">
        <f t="shared" si="1"/>
        <v>AUD6MOIS=ICAA</v>
      </c>
      <c r="K17" s="60"/>
      <c r="L17" s="29" t="str">
        <f>_xll.qlMakeOIS(,1,C17,OvernightIndex,,"0D",FixedLegDayCounter,,,Trigger)</f>
        <v>obj_002cf#0000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/>
      <c r="F18" s="49">
        <f>_xll.qlSwapStartDate(L18)</f>
        <v>42354</v>
      </c>
      <c r="G18" s="49">
        <f>_xll.qlSwapMaturityDate(L18)</f>
        <v>42629</v>
      </c>
      <c r="H18" s="50">
        <f>_xll.qlOvernightIndexedSwapFairRate(L18,InterestRatesTrigger)</f>
        <v>1.9099999999759264E-2</v>
      </c>
      <c r="I18" s="40" t="str">
        <f>Contribution!J18</f>
        <v>AUDON9MD=</v>
      </c>
      <c r="J18" s="40" t="str">
        <f>Currency&amp;C18&amp;"OIS=ICAA"</f>
        <v>AUD9MOIS=ICAA</v>
      </c>
      <c r="K18" s="60"/>
      <c r="L18" s="29" t="str">
        <f>_xll.qlMakeOIS(,1,C18,OvernightIndex,,"0D",FixedLegDayCounter,,,Trigger)</f>
        <v>obj_002cd#0000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1"/>
      <c r="D24" s="29"/>
      <c r="E24" s="48"/>
      <c r="F24" s="48"/>
      <c r="G24" s="48"/>
      <c r="H24" s="47"/>
      <c r="I24" s="38"/>
      <c r="J24" s="38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2"/>
      <c r="D25" s="31"/>
      <c r="E25" s="49"/>
      <c r="F25" s="49"/>
      <c r="G25" s="49"/>
      <c r="H25" s="50"/>
      <c r="I25" s="40"/>
      <c r="J25" s="40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0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/>
      <c r="D28" s="29"/>
      <c r="E28" s="48"/>
      <c r="F28" s="48"/>
      <c r="G28" s="48"/>
      <c r="H28" s="47"/>
      <c r="I28" s="38"/>
      <c r="J28" s="38"/>
      <c r="K28" s="60"/>
      <c r="L28" s="29"/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25</v>
      </c>
      <c r="D29" s="29" t="s">
        <v>59</v>
      </c>
      <c r="E29" s="48"/>
      <c r="F29" s="48">
        <f>_xll.qlSwapStartDate(L29)</f>
        <v>42354</v>
      </c>
      <c r="G29" s="48">
        <f>_xll.qlSwapMaturityDate(L29)</f>
        <v>42720</v>
      </c>
      <c r="H29" s="47">
        <f>_xll.qlOvernightIndexedSwapFairRate(L29,InterestRatesTrigger)</f>
        <v>1.8999999999818194E-2</v>
      </c>
      <c r="I29" s="38" t="str">
        <f>Contribution!J29</f>
        <v>AUDON1YD=</v>
      </c>
      <c r="J29" s="38" t="str">
        <f t="shared" ref="J29:J44" si="2">Currency&amp;C29&amp;"MTOIS=ICAA"</f>
        <v>AUD1YMTOIS=ICAA</v>
      </c>
      <c r="K29" s="60"/>
      <c r="L29" s="29" t="str">
        <f>_xll.qlMakeOIS(,1,C29,OvernightIndex,,"0D",FixedLegDayCounter,,,Trigger)</f>
        <v>obj_002d7#0000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67</v>
      </c>
      <c r="D30" s="29" t="s">
        <v>59</v>
      </c>
      <c r="E30" s="48"/>
      <c r="F30" s="48">
        <f>_xll.qlSwapStartDate(L30)</f>
        <v>42354</v>
      </c>
      <c r="G30" s="48">
        <f>_xll.qlSwapMaturityDate(L30)</f>
        <v>42902</v>
      </c>
      <c r="H30" s="47">
        <f>_xll.qlOvernightIndexedSwapFairRate(L30,InterestRatesTrigger)</f>
        <v>1.8849999999878325E-2</v>
      </c>
      <c r="I30" s="38" t="str">
        <f>Contribution!J30</f>
        <v>AUDON18MD=</v>
      </c>
      <c r="J30" s="38" t="str">
        <f t="shared" si="2"/>
        <v>AUD18MMTOIS=ICAA</v>
      </c>
      <c r="K30" s="60"/>
      <c r="L30" s="29" t="str">
        <f>_xll.qlMakeOIS(,1,C30,OvernightIndex,,"0D",FixedLegDayCounter,,,Trigger)</f>
        <v>obj_002c3#0000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26</v>
      </c>
      <c r="D31" s="29" t="s">
        <v>59</v>
      </c>
      <c r="E31" s="48"/>
      <c r="F31" s="48">
        <f>_xll.qlSwapStartDate(L31)</f>
        <v>42354</v>
      </c>
      <c r="G31" s="48">
        <f>_xll.qlSwapMaturityDate(L31)</f>
        <v>43087</v>
      </c>
      <c r="H31" s="47">
        <f>_xll.qlOvernightIndexedSwapFairRate(L31,InterestRatesTrigger)</f>
        <v>1.9099999999908603E-2</v>
      </c>
      <c r="I31" s="38" t="str">
        <f>Contribution!J31</f>
        <v>AUDON2YD=</v>
      </c>
      <c r="J31" s="38" t="str">
        <f t="shared" si="2"/>
        <v>AUD2YMTOIS=ICAA</v>
      </c>
      <c r="K31" s="60"/>
      <c r="L31" s="29" t="str">
        <f>_xll.qlMakeOIS(,1,C31,OvernightIndex,,"0D",FixedLegDayCounter,,,Trigger)</f>
        <v>obj_002d1#0000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27</v>
      </c>
      <c r="D32" s="29" t="s">
        <v>59</v>
      </c>
      <c r="E32" s="48"/>
      <c r="F32" s="48">
        <f>_xll.qlSwapStartDate(L32)</f>
        <v>42354</v>
      </c>
      <c r="G32" s="48">
        <f>_xll.qlSwapMaturityDate(L32)</f>
        <v>43451</v>
      </c>
      <c r="H32" s="47">
        <f>_xll.qlOvernightIndexedSwapFairRate(L32,InterestRatesTrigger)</f>
        <v>1.9999999999938182E-2</v>
      </c>
      <c r="I32" s="38" t="str">
        <f>Contribution!J32</f>
        <v>AUDON3YD=</v>
      </c>
      <c r="J32" s="38" t="str">
        <f t="shared" si="2"/>
        <v>AUD3YMTOIS=ICAA</v>
      </c>
      <c r="K32" s="60"/>
      <c r="L32" s="29" t="str">
        <f>_xll.qlMakeOIS(,1,C32,OvernightIndex,,"0D",FixedLegDayCounter,,,Trigger)</f>
        <v>obj_002cb#0000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28</v>
      </c>
      <c r="D33" s="29" t="s">
        <v>59</v>
      </c>
      <c r="E33" s="48"/>
      <c r="F33" s="48">
        <f>_xll.qlSwapStartDate(L33)</f>
        <v>42354</v>
      </c>
      <c r="G33" s="48">
        <f>_xll.qlSwapMaturityDate(L33)</f>
        <v>43815</v>
      </c>
      <c r="H33" s="47">
        <f>_xll.qlOvernightIndexedSwapFairRate(L33,InterestRatesTrigger)</f>
        <v>2.1149999999953116E-2</v>
      </c>
      <c r="I33" s="38" t="str">
        <f>Contribution!J33</f>
        <v>AUDON4YD=</v>
      </c>
      <c r="J33" s="38" t="str">
        <f t="shared" si="2"/>
        <v>AUD4YMTOIS=ICAA</v>
      </c>
      <c r="K33" s="60"/>
      <c r="L33" s="29" t="str">
        <f>_xll.qlMakeOIS(,1,C33,OvernightIndex,,"0D",FixedLegDayCounter,,,Trigger)</f>
        <v>obj_002ce#0000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29</v>
      </c>
      <c r="D34" s="29" t="s">
        <v>59</v>
      </c>
      <c r="E34" s="48"/>
      <c r="F34" s="48">
        <f>_xll.qlSwapStartDate(L34)</f>
        <v>42354</v>
      </c>
      <c r="G34" s="48">
        <f>_xll.qlSwapMaturityDate(L34)</f>
        <v>44181</v>
      </c>
      <c r="H34" s="47">
        <f>_xll.qlOvernightIndexedSwapFairRate(L34,InterestRatesTrigger)</f>
        <v>2.2429999999962022E-2</v>
      </c>
      <c r="I34" s="38" t="str">
        <f>Contribution!J34</f>
        <v>AUDON5YD=</v>
      </c>
      <c r="J34" s="38" t="str">
        <f t="shared" si="2"/>
        <v>AUD5YMTOIS=ICAA</v>
      </c>
      <c r="K34" s="60"/>
      <c r="L34" s="29" t="str">
        <f>_xll.qlMakeOIS(,1,C34,OvernightIndex,,"0D",FixedLegDayCounter,,,Trigger)</f>
        <v>obj_002c9#0000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30</v>
      </c>
      <c r="D35" s="29" t="s">
        <v>59</v>
      </c>
      <c r="E35" s="48"/>
      <c r="F35" s="48">
        <f>_xll.qlSwapStartDate(L35)</f>
        <v>42354</v>
      </c>
      <c r="G35" s="48">
        <f>_xll.qlSwapMaturityDate(L35)</f>
        <v>44546</v>
      </c>
      <c r="H35" s="47">
        <f>_xll.qlOvernightIndexedSwapFairRate(L35,InterestRatesTrigger)</f>
        <v>2.3629999999967906E-2</v>
      </c>
      <c r="I35" s="38" t="str">
        <f>Contribution!J35</f>
        <v>AUDON6YD=</v>
      </c>
      <c r="J35" s="38" t="str">
        <f t="shared" si="2"/>
        <v>AUD6YMTOIS=ICAA</v>
      </c>
      <c r="K35" s="60"/>
      <c r="L35" s="29" t="str">
        <f>_xll.qlMakeOIS(,1,C35,OvernightIndex,,"0D",FixedLegDayCounter,,,Trigger)</f>
        <v>obj_002c8#0000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31</v>
      </c>
      <c r="D36" s="29" t="s">
        <v>59</v>
      </c>
      <c r="E36" s="48"/>
      <c r="F36" s="48">
        <f>_xll.qlSwapStartDate(L36)</f>
        <v>42354</v>
      </c>
      <c r="G36" s="48">
        <f>_xll.qlSwapMaturityDate(L36)</f>
        <v>44911</v>
      </c>
      <c r="H36" s="47">
        <f>_xll.qlOvernightIndexedSwapFairRate(L36,InterestRatesTrigger)</f>
        <v>2.4829999999972093E-2</v>
      </c>
      <c r="I36" s="38" t="str">
        <f>Contribution!J36</f>
        <v>AUDON7YD=</v>
      </c>
      <c r="J36" s="38" t="str">
        <f t="shared" si="2"/>
        <v>AUD7YMTOIS=ICAA</v>
      </c>
      <c r="K36" s="60"/>
      <c r="L36" s="29" t="str">
        <f>_xll.qlMakeOIS(,1,C36,OvernightIndex,,"0D",FixedLegDayCounter,,,Trigger)</f>
        <v>obj_002c0#0000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32</v>
      </c>
      <c r="D37" s="29" t="s">
        <v>59</v>
      </c>
      <c r="E37" s="48"/>
      <c r="F37" s="48">
        <f>_xll.qlSwapStartDate(L37)</f>
        <v>42354</v>
      </c>
      <c r="G37" s="48">
        <f>_xll.qlSwapMaturityDate(L37)</f>
        <v>45278</v>
      </c>
      <c r="H37" s="47">
        <f>_xll.qlOvernightIndexedSwapFairRate(L37,InterestRatesTrigger)</f>
        <v>2.5649999999975345E-2</v>
      </c>
      <c r="I37" s="38" t="str">
        <f>Contribution!J37</f>
        <v>AUDON8YD=</v>
      </c>
      <c r="J37" s="38" t="str">
        <f t="shared" si="2"/>
        <v>AUD8YMTOIS=ICAA</v>
      </c>
      <c r="K37" s="60"/>
      <c r="L37" s="29" t="str">
        <f>_xll.qlMakeOIS(,1,C37,OvernightIndex,,"0D",FixedLegDayCounter,,,Trigger)</f>
        <v>obj_002d5#0000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33</v>
      </c>
      <c r="D38" s="29" t="s">
        <v>59</v>
      </c>
      <c r="E38" s="48"/>
      <c r="F38" s="48">
        <f>_xll.qlSwapStartDate(L38)</f>
        <v>42354</v>
      </c>
      <c r="G38" s="48">
        <f>_xll.qlSwapMaturityDate(L38)</f>
        <v>45642</v>
      </c>
      <c r="H38" s="47">
        <f>_xll.qlOvernightIndexedSwapFairRate(L38,InterestRatesTrigger)</f>
        <v>2.6499999999977767E-2</v>
      </c>
      <c r="I38" s="38" t="str">
        <f>Contribution!J38</f>
        <v>AUDON9YD=</v>
      </c>
      <c r="J38" s="38" t="str">
        <f t="shared" si="2"/>
        <v>AUD9YMTOIS=ICAA</v>
      </c>
      <c r="K38" s="60"/>
      <c r="L38" s="29" t="str">
        <f>_xll.qlMakeOIS(,1,C38,OvernightIndex,,"0D",FixedLegDayCounter,,,Trigger)</f>
        <v>obj_002d4#0000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34</v>
      </c>
      <c r="D39" s="29" t="s">
        <v>59</v>
      </c>
      <c r="E39" s="48"/>
      <c r="F39" s="48">
        <f>_xll.qlSwapStartDate(L39)</f>
        <v>42354</v>
      </c>
      <c r="G39" s="48">
        <f>_xll.qlSwapMaturityDate(L39)</f>
        <v>46007</v>
      </c>
      <c r="H39" s="47">
        <f>_xll.qlOvernightIndexedSwapFairRate(L39,InterestRatesTrigger)</f>
        <v>2.7329999999979634E-2</v>
      </c>
      <c r="I39" s="38" t="str">
        <f>Contribution!J39</f>
        <v>AUDON10YD=</v>
      </c>
      <c r="J39" s="38" t="str">
        <f t="shared" si="2"/>
        <v>AUD10YMTOIS=ICAA</v>
      </c>
      <c r="K39" s="60"/>
      <c r="L39" s="29" t="str">
        <f>_xll.qlMakeOIS(,1,C39,OvernightIndex,,"0D",FixedLegDayCounter,,,Trigger)</f>
        <v>obj_002cc#0000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35</v>
      </c>
      <c r="D40" s="29" t="s">
        <v>59</v>
      </c>
      <c r="E40" s="48"/>
      <c r="F40" s="48">
        <f>_xll.qlSwapStartDate(L40)</f>
        <v>42354</v>
      </c>
      <c r="G40" s="48">
        <f>_xll.qlSwapMaturityDate(L40)</f>
        <v>46737</v>
      </c>
      <c r="H40" s="47">
        <f>_xll.qlOvernightIndexedSwapFairRate(L40,InterestRatesTrigger)</f>
        <v>2.8679999999946745E-2</v>
      </c>
      <c r="I40" s="38" t="str">
        <f>Contribution!J40</f>
        <v>AUDON12YD=</v>
      </c>
      <c r="J40" s="38" t="str">
        <f t="shared" si="2"/>
        <v>AUD12YMTOIS=ICAA</v>
      </c>
      <c r="K40" s="60"/>
      <c r="L40" s="29" t="str">
        <f>_xll.qlMakeOIS(,1,C40,OvernightIndex,,"0D",FixedLegDayCounter,,,Trigger)</f>
        <v>obj_002d3#0000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36</v>
      </c>
      <c r="D41" s="29" t="s">
        <v>59</v>
      </c>
      <c r="E41" s="48"/>
      <c r="F41" s="48">
        <f>_xll.qlSwapStartDate(L41)</f>
        <v>42354</v>
      </c>
      <c r="G41" s="48">
        <f>_xll.qlSwapMaturityDate(L41)</f>
        <v>47833</v>
      </c>
      <c r="H41" s="47">
        <f>_xll.qlOvernightIndexedSwapFairRate(L41,InterestRatesTrigger)</f>
        <v>3.0180000000000699E-2</v>
      </c>
      <c r="I41" s="38" t="str">
        <f>Contribution!J41</f>
        <v>AUDON15YD=</v>
      </c>
      <c r="J41" s="38" t="str">
        <f t="shared" si="2"/>
        <v>AUD15YMTOIS=ICAA</v>
      </c>
      <c r="K41" s="60"/>
      <c r="L41" s="29" t="str">
        <f>_xll.qlMakeOIS(,1,C41,OvernightIndex,,"0D",FixedLegDayCounter,,,Trigger)</f>
        <v>obj_002d2#0000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37</v>
      </c>
      <c r="D42" s="29" t="s">
        <v>59</v>
      </c>
      <c r="E42" s="48"/>
      <c r="F42" s="48">
        <f>_xll.qlSwapStartDate(L42)</f>
        <v>42354</v>
      </c>
      <c r="G42" s="48">
        <f>_xll.qlSwapMaturityDate(L42)</f>
        <v>49660</v>
      </c>
      <c r="H42" s="47">
        <f>_xll.qlOvernightIndexedSwapFairRate(L42,InterestRatesTrigger)</f>
        <v>3.1780000000005984E-2</v>
      </c>
      <c r="I42" s="38" t="str">
        <f>Contribution!J42</f>
        <v>AUDON20YD=</v>
      </c>
      <c r="J42" s="38" t="str">
        <f t="shared" si="2"/>
        <v>AUD20YMTOIS=ICAA</v>
      </c>
      <c r="K42" s="60"/>
      <c r="L42" s="29" t="str">
        <f>_xll.qlMakeOIS(,1,C42,OvernightIndex,,"0D",FixedLegDayCounter,,,Trigger)</f>
        <v>obj_002c1#0000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1" t="s">
        <v>38</v>
      </c>
      <c r="D43" s="29" t="s">
        <v>59</v>
      </c>
      <c r="E43" s="48"/>
      <c r="F43" s="48">
        <f>_xll.qlSwapStartDate(L43)</f>
        <v>42354</v>
      </c>
      <c r="G43" s="48">
        <f>_xll.qlSwapMaturityDate(L43)</f>
        <v>51487</v>
      </c>
      <c r="H43" s="47">
        <f>_xll.qlOvernightIndexedSwapFairRate(L43,InterestRatesTrigger)</f>
        <v>3.2249999999984347E-2</v>
      </c>
      <c r="I43" s="38" t="str">
        <f>Contribution!J43</f>
        <v>AUDON25YD=</v>
      </c>
      <c r="J43" s="38" t="str">
        <f t="shared" si="2"/>
        <v>AUD25YMTOIS=ICAA</v>
      </c>
      <c r="K43" s="60"/>
      <c r="L43" s="29" t="str">
        <f>_xll.qlMakeOIS(,1,C43,OvernightIndex,,"0D",FixedLegDayCounter,,,Trigger)</f>
        <v>obj_002c7#0000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22" t="s">
        <v>39</v>
      </c>
      <c r="D44" s="29" t="s">
        <v>59</v>
      </c>
      <c r="E44" s="48"/>
      <c r="F44" s="48">
        <f>_xll.qlSwapStartDate(L44)</f>
        <v>42354</v>
      </c>
      <c r="G44" s="48">
        <f>_xll.qlSwapMaturityDate(L44)</f>
        <v>53314</v>
      </c>
      <c r="H44" s="47">
        <f>_xll.qlOvernightIndexedSwapFairRate(L44,InterestRatesTrigger)</f>
        <v>3.2049999999997726E-2</v>
      </c>
      <c r="I44" s="40" t="str">
        <f>Contribution!J44</f>
        <v>AUDON30YD=</v>
      </c>
      <c r="J44" s="40" t="str">
        <f t="shared" si="2"/>
        <v>AUD30YMTOIS=ICAA</v>
      </c>
      <c r="K44" s="60"/>
      <c r="L44" s="31" t="str">
        <f>_xll.qlMakeOIS(,1,C44,OvernightIndex,,"0D",FixedLegDayCounter,,,Trigger)</f>
        <v>obj_002c4#0000</v>
      </c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8"/>
      <c r="E45" s="58"/>
      <c r="F45" s="58"/>
      <c r="G45" s="58"/>
      <c r="H45" s="58"/>
      <c r="I45" s="58"/>
      <c r="J45" s="9"/>
      <c r="K45" s="6"/>
      <c r="L45" s="6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57"/>
      <c r="E46" s="57"/>
      <c r="F46" s="57"/>
      <c r="G46" s="57"/>
      <c r="H46" s="57"/>
      <c r="I46" s="57"/>
      <c r="J46" s="9"/>
      <c r="K46" s="91"/>
      <c r="L46" s="91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91"/>
      <c r="C47" s="3"/>
      <c r="D47" s="6"/>
      <c r="E47" s="6"/>
      <c r="F47" s="6"/>
      <c r="G47" s="6"/>
      <c r="H47" s="6"/>
      <c r="I47" s="6"/>
      <c r="J47" s="9"/>
      <c r="K47" s="6"/>
      <c r="L47" s="6"/>
      <c r="M47" s="41"/>
      <c r="N47" s="4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57"/>
      <c r="L48" s="57"/>
      <c r="M48" s="4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91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94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6"/>
      <c r="B103" s="6"/>
      <c r="C103" s="3"/>
      <c r="D103" s="6"/>
      <c r="E103" s="6"/>
      <c r="F103" s="6"/>
      <c r="G103" s="6"/>
      <c r="H103" s="6"/>
      <c r="I103" s="6"/>
      <c r="J103" s="9"/>
      <c r="K103" s="6"/>
      <c r="L103" s="6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50"/>
      <c r="K114" s="149"/>
      <c r="L114" s="149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  <row r="130" spans="2:3" x14ac:dyDescent="0.2">
      <c r="B130" s="149"/>
      <c r="C130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showGridLines="0" workbookViewId="0"/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101</v>
      </c>
      <c r="E6" s="45">
        <f t="shared" ref="E6:E44" si="1">EvaluationDate</f>
        <v>42353</v>
      </c>
      <c r="F6" s="45">
        <f>E6</f>
        <v>42353</v>
      </c>
      <c r="G6" s="45">
        <f>_xll.qlCalendarAdvance(Calendar,F6,"1D","f",TRUE,Trigger)</f>
        <v>42354</v>
      </c>
      <c r="H6" s="52">
        <f>_xll.qlInterpolationInterpolate(Interpolation,B6,TRUE)</f>
        <v>2.0235265119893261E-2</v>
      </c>
      <c r="I6" s="53" t="str">
        <f>Contribution!M6</f>
        <v>AUD1MOND=</v>
      </c>
      <c r="J6" s="54"/>
      <c r="K6" s="41"/>
      <c r="L6" s="87" t="str">
        <f>_xll.qlInterpolation(,InterpolationType,B8:B12,H8:H12,,Trigger)</f>
        <v>obj_00329#0000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42353</v>
      </c>
      <c r="F7" s="48">
        <f>G6</f>
        <v>42354</v>
      </c>
      <c r="G7" s="48">
        <f>_xll.qlCalendarAdvance(Calendar,F7,"1D","f",TRUE,Trigger)</f>
        <v>42355</v>
      </c>
      <c r="H7" s="152">
        <f>_xll.qlInterpolationInterpolate(Interpolation,B7,TRUE)</f>
        <v>2.0236665013221786E-2</v>
      </c>
      <c r="I7" s="55" t="str">
        <f>Contribution!M7</f>
        <v>AUD1MTND=</v>
      </c>
      <c r="J7" s="153"/>
      <c r="K7" s="41"/>
      <c r="L7" s="86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42353</v>
      </c>
      <c r="F8" s="45">
        <f>_xll.qlInterestRateIndexValueDate(L8,E8,Trigger)</f>
        <v>42355</v>
      </c>
      <c r="G8" s="45">
        <f>_xll.qlInterestRateIndexMaturity(L8,F8,Trigger)</f>
        <v>42356</v>
      </c>
      <c r="H8" s="52">
        <f>_xll.qlIndexFixing(L8,E8,TRUE,AllTriggers)</f>
        <v>2.0238081881114311E-2</v>
      </c>
      <c r="I8" s="53" t="str">
        <f>Contribution!M8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obj_002e9#0000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42353</v>
      </c>
      <c r="F9" s="48">
        <f>_xll.qlInterestRateIndexValueDate(L9,E9,Trigger)</f>
        <v>42355</v>
      </c>
      <c r="G9" s="48">
        <f>_xll.qlInterestRateIndexMaturity(L9,F9,Trigger)</f>
        <v>42362</v>
      </c>
      <c r="H9" s="47">
        <f>_xll.qlIndexFixing(L9,E9,TRUE,AllTriggers)</f>
        <v>2.0245988978729392E-2</v>
      </c>
      <c r="I9" s="38" t="str">
        <f>Contribution!M9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obj_002f5#0000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42353</v>
      </c>
      <c r="F10" s="48">
        <f>_xll.qlInterestRateIndexValueDate(L10,E10,Trigger)</f>
        <v>42355</v>
      </c>
      <c r="G10" s="48">
        <f>_xll.qlInterestRateIndexMaturity(L10,F10,Trigger)</f>
        <v>42369</v>
      </c>
      <c r="H10" s="47">
        <f>_xll.qlIndexFixing(L10,E10,TRUE,AllTriggers)</f>
        <v>2.0252843267118324E-2</v>
      </c>
      <c r="I10" s="38" t="str">
        <f>Contribution!M10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obj_00308#0000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42353</v>
      </c>
      <c r="F11" s="48">
        <f>_xll.qlInterestRateIndexValueDate(L11,E11,Trigger)</f>
        <v>42355</v>
      </c>
      <c r="G11" s="48">
        <f>_xll.qlInterestRateIndexMaturity(L11,F11,Trigger)</f>
        <v>42376</v>
      </c>
      <c r="H11" s="47">
        <f>_xll.qlIndexFixing(L11,E11,TRUE,AllTriggers)</f>
        <v>2.0260946081382323E-2</v>
      </c>
      <c r="I11" s="38" t="str">
        <f>Contribution!M11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obj_002da#0000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42353</v>
      </c>
      <c r="F12" s="48">
        <f>_xll.qlInterestRateIndexValueDate(L12,E12,Trigger)</f>
        <v>42355</v>
      </c>
      <c r="G12" s="48">
        <f>_xll.qlInterestRateIndexMaturity(L12,F12,Trigger)</f>
        <v>42387</v>
      </c>
      <c r="H12" s="47">
        <f>_xll.qlIndexFixing(L12,E12,TRUE,AllTriggers)</f>
        <v>2.0268387074696866E-2</v>
      </c>
      <c r="I12" s="38" t="str">
        <f>Contribution!M12</f>
        <v>AUD1M1MD=</v>
      </c>
      <c r="J12" s="38"/>
      <c r="K12" s="41"/>
      <c r="L12" s="32" t="str">
        <f>_xll.qlIborIndex(,"BBSW",IF(OR(C12="ON",C12="TN",C12="SN"),"1D",IF(C12="SW","1W",C12)),2,Currency,Calendar,BDayConvention,EndOfMonth,DayCounter,YieldCurve,,Trigger)</f>
        <v>obj_002ff#0000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1"/>
      <c r="C24" s="21"/>
      <c r="D24" s="29"/>
      <c r="E24" s="48"/>
      <c r="F24" s="48"/>
      <c r="G24" s="48"/>
      <c r="H24" s="111"/>
      <c r="I24" s="38"/>
      <c r="J24" s="38"/>
      <c r="K24" s="41"/>
      <c r="L24" s="91"/>
      <c r="M24" s="41"/>
      <c r="N24" s="91"/>
      <c r="O24" s="85"/>
      <c r="P24" s="91"/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2"/>
      <c r="C25" s="22"/>
      <c r="D25" s="31"/>
      <c r="E25" s="49"/>
      <c r="F25" s="49"/>
      <c r="G25" s="49"/>
      <c r="H25" s="112"/>
      <c r="I25" s="40"/>
      <c r="J25" s="40"/>
      <c r="K25" s="41"/>
      <c r="L25" s="86" t="s">
        <v>46</v>
      </c>
      <c r="M25" s="85"/>
      <c r="N25" s="86" t="s">
        <v>41</v>
      </c>
      <c r="O25" s="86" t="s">
        <v>78</v>
      </c>
      <c r="P25" s="86" t="s">
        <v>42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0"/>
      <c r="C26" s="20" t="s">
        <v>21</v>
      </c>
      <c r="D26" s="28" t="s">
        <v>64</v>
      </c>
      <c r="E26" s="45">
        <f t="shared" si="1"/>
        <v>42353</v>
      </c>
      <c r="F26" s="45">
        <f>_xll.qlInterestRateIndexValueDate(L26,E26,Trigger)</f>
        <v>42354</v>
      </c>
      <c r="G26" s="45">
        <f>_xll.qlInterestRateIndexMaturity(L26,F26,Trigger)</f>
        <v>42445</v>
      </c>
      <c r="H26" s="46">
        <f>_xll.qlIndexFixing(L26,E26,TRUE,AllTriggers)</f>
        <v>2.0113293975979791E-2</v>
      </c>
      <c r="I26" s="39" t="str">
        <f>Contribution!M26</f>
        <v>AUD1M3M=</v>
      </c>
      <c r="J26" s="39"/>
      <c r="K26" s="41"/>
      <c r="L26" s="30" t="str">
        <f>_xll.qlSwapIndex(,"BBSW",C26,SettlementDays,Currency,Calendar,FixedLegTenor,FixedLegBDC,FixedLegDayCounter,IborIndex,DiscountingCurve,,Trigger)</f>
        <v>obj_002e4#0000</v>
      </c>
      <c r="M26" s="85"/>
      <c r="N26" s="87" t="s">
        <v>19</v>
      </c>
      <c r="O26" s="87" t="s">
        <v>60</v>
      </c>
      <c r="P26" s="87" t="s">
        <v>43</v>
      </c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14</v>
      </c>
      <c r="D27" s="29" t="s">
        <v>64</v>
      </c>
      <c r="E27" s="48">
        <f t="shared" si="1"/>
        <v>42353</v>
      </c>
      <c r="F27" s="48">
        <f>_xll.qlInterestRateIndexValueDate(L27,E27,Trigger)</f>
        <v>42354</v>
      </c>
      <c r="G27" s="48">
        <f>_xll.qlInterestRateIndexMaturity(L27,F27,Trigger)</f>
        <v>42537</v>
      </c>
      <c r="H27" s="47">
        <f>_xll.qlIndexFixing(L27,E27,TRUE,AllTriggers)</f>
        <v>1.9854894493893667E-2</v>
      </c>
      <c r="I27" s="38" t="str">
        <f>Contribution!M27</f>
        <v>AUD1M6M=</v>
      </c>
      <c r="J27" s="38"/>
      <c r="K27" s="41"/>
      <c r="L27" s="30" t="str">
        <f>_xll.qlSwapIndex(,"BBSW",C27,SettlementDays,Currency,Calendar,FixedLegTenor,FixedLegBDC,FixedLegDayCounter,IborIndex,DiscountingCurve,,Trigger)</f>
        <v>obj_002f1#0000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24</v>
      </c>
      <c r="D28" s="29" t="s">
        <v>64</v>
      </c>
      <c r="E28" s="48">
        <f t="shared" si="1"/>
        <v>42353</v>
      </c>
      <c r="F28" s="48">
        <f>_xll.qlInterestRateIndexValueDate(L28,E28,Trigger)</f>
        <v>42354</v>
      </c>
      <c r="G28" s="48">
        <f>_xll.qlInterestRateIndexMaturity(L28,F28,Trigger)</f>
        <v>42629</v>
      </c>
      <c r="H28" s="47">
        <f>_xll.qlIndexFixing(L28,E28,TRUE,AllTriggers)</f>
        <v>1.9629917260433383E-2</v>
      </c>
      <c r="I28" s="38" t="str">
        <f>Contribution!M28</f>
        <v>AUD1M9M=</v>
      </c>
      <c r="J28" s="38"/>
      <c r="K28" s="41"/>
      <c r="L28" s="30" t="str">
        <f>_xll.qlSwapIndex(,"BBSW",C28,SettlementDays,Currency,Calendar,FixedLegTenor,FixedLegBDC,FixedLegDayCounter,IborIndex,DiscountingCurve,,Trigger)</f>
        <v>obj_002d8#0000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25</v>
      </c>
      <c r="D29" s="29" t="s">
        <v>64</v>
      </c>
      <c r="E29" s="48">
        <f t="shared" si="1"/>
        <v>42353</v>
      </c>
      <c r="F29" s="48">
        <f>_xll.qlInterestRateIndexValueDate(L29,E29,Trigger)</f>
        <v>42354</v>
      </c>
      <c r="G29" s="48">
        <f>_xll.qlInterestRateIndexMaturity(L29,F29,Trigger)</f>
        <v>42720</v>
      </c>
      <c r="H29" s="47">
        <f>_xll.qlIndexFixing(L29,E29,TRUE,AllTriggers)</f>
        <v>1.9640988415372932E-2</v>
      </c>
      <c r="I29" s="38" t="str">
        <f>Contribution!M29</f>
        <v>AUD1M1Y=</v>
      </c>
      <c r="J29" s="55"/>
      <c r="K29" s="41"/>
      <c r="L29" s="30" t="str">
        <f>_xll.qlSwapIndex(,"BBSW",C29,SettlementDays,Currency,Calendar,FixedLegTenor,FixedLegBDC,FixedLegDayCounter,IborIndex,DiscountingCurve,,Trigger)</f>
        <v>obj_002ee#0000</v>
      </c>
      <c r="M29" s="85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67</v>
      </c>
      <c r="D30" s="29" t="s">
        <v>64</v>
      </c>
      <c r="E30" s="48">
        <f t="shared" si="1"/>
        <v>42353</v>
      </c>
      <c r="F30" s="48">
        <f>_xll.qlInterestRateIndexValueDate(L30,E30,Trigger)</f>
        <v>42354</v>
      </c>
      <c r="G30" s="48">
        <f>_xll.qlInterestRateIndexMaturity(L30,F30,Trigger)</f>
        <v>42902</v>
      </c>
      <c r="H30" s="47">
        <f>_xll.qlIndexFixing(L30,E30,TRUE,AllTriggers)</f>
        <v>1.9608030658608624E-2</v>
      </c>
      <c r="I30" s="38"/>
      <c r="J30" s="55"/>
      <c r="K30" s="41"/>
      <c r="L30" s="89" t="str">
        <f>_xll.qlSwapIndex(,"BBSW",C30,SettlementDays,Currency,Calendar,FixedLegTenor,FixedLegBDC,FixedLegDayCounter,IborIndex,DiscountingCurve,,Trigger)</f>
        <v>obj_002e2#0000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26</v>
      </c>
      <c r="D31" s="29" t="s">
        <v>64</v>
      </c>
      <c r="E31" s="48">
        <f t="shared" si="1"/>
        <v>42353</v>
      </c>
      <c r="F31" s="48">
        <f>_xll.qlInterestRateIndexValueDate(L31,E31,Trigger)</f>
        <v>42354</v>
      </c>
      <c r="G31" s="48">
        <f>_xll.qlInterestRateIndexMaturity(L31,F31,Trigger)</f>
        <v>43087</v>
      </c>
      <c r="H31" s="47">
        <f>_xll.qlIndexFixing(L31,E31,TRUE,AllTriggers)</f>
        <v>1.9714997248818096E-2</v>
      </c>
      <c r="I31" s="38" t="str">
        <f>Contribution!M31</f>
        <v>AUD1M2Y=</v>
      </c>
      <c r="J31" s="55"/>
      <c r="K31" s="41"/>
      <c r="L31" s="89" t="str">
        <f>_xll.qlSwapIndex(,"BBSW",C31,SettlementDays,Currency,Calendar,FixedLegTenor,FixedLegBDC,FixedLegDayCounter,IborIndex,DiscountingCurve,,Trigger)</f>
        <v>obj_0030b#0000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27</v>
      </c>
      <c r="D32" s="29" t="s">
        <v>64</v>
      </c>
      <c r="E32" s="48">
        <f t="shared" si="1"/>
        <v>42353</v>
      </c>
      <c r="F32" s="48">
        <f>_xll.qlInterestRateIndexValueDate(L32,E32,Trigger)</f>
        <v>42354</v>
      </c>
      <c r="G32" s="48">
        <f>_xll.qlInterestRateIndexMaturity(L32,F32,Trigger)</f>
        <v>43451</v>
      </c>
      <c r="H32" s="47">
        <f>_xll.qlIndexFixing(L32,E32,TRUE,AllTriggers)</f>
        <v>2.0574180898789395E-2</v>
      </c>
      <c r="I32" s="38" t="str">
        <f>Contribution!M32</f>
        <v>AUD1M3Y=</v>
      </c>
      <c r="J32" s="55"/>
      <c r="K32" s="41"/>
      <c r="L32" s="89" t="str">
        <f>_xll.qlSwapIndex(,"BBSW",C32,SettlementDays,Currency,Calendar,FixedLegTenor,FixedLegBDC,FixedLegDayCounter,IborIndex,DiscountingCurve,,Trigger)</f>
        <v>obj_002e8#0000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28</v>
      </c>
      <c r="D33" s="29" t="s">
        <v>64</v>
      </c>
      <c r="E33" s="48">
        <f t="shared" si="1"/>
        <v>42353</v>
      </c>
      <c r="F33" s="48">
        <f>_xll.qlInterestRateIndexValueDate(L33,E33,Trigger)</f>
        <v>42354</v>
      </c>
      <c r="G33" s="48">
        <f>_xll.qlInterestRateIndexMaturity(L33,F33,Trigger)</f>
        <v>43815</v>
      </c>
      <c r="H33" s="47">
        <f>_xll.qlIndexFixing(L33,E33,TRUE,AllTriggers)</f>
        <v>2.1715283134309281E-2</v>
      </c>
      <c r="I33" s="38" t="str">
        <f>Contribution!M33</f>
        <v>AUD1M4Y=</v>
      </c>
      <c r="J33" s="55"/>
      <c r="K33" s="41"/>
      <c r="L33" s="89" t="str">
        <f>_xll.qlSwapIndex(,"BBSW",C33,SettlementDays,Currency,Calendar,FixedLegTenor,FixedLegBDC,FixedLegDayCounter,IborIndex,DiscountingCurve,,Trigger)</f>
        <v>obj_0030a#0000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29</v>
      </c>
      <c r="D34" s="29" t="s">
        <v>64</v>
      </c>
      <c r="E34" s="48">
        <f t="shared" si="1"/>
        <v>42353</v>
      </c>
      <c r="F34" s="48">
        <f>_xll.qlInterestRateIndexValueDate(L34,E34,Trigger)</f>
        <v>42354</v>
      </c>
      <c r="G34" s="48">
        <f>_xll.qlInterestRateIndexMaturity(L34,F34,Trigger)</f>
        <v>44181</v>
      </c>
      <c r="H34" s="47">
        <f>_xll.qlIndexFixing(L34,E34,TRUE,AllTriggers)</f>
        <v>2.2966452183931209E-2</v>
      </c>
      <c r="I34" s="38" t="str">
        <f>Contribution!M34</f>
        <v>AUD1M5Y=</v>
      </c>
      <c r="J34" s="38"/>
      <c r="K34" s="41"/>
      <c r="L34" s="89" t="str">
        <f>_xll.qlSwapIndex(,"BBSW",C34,SettlementDays,Currency,Calendar,FixedLegTenor,FixedLegBDC,FixedLegDayCounter,IborIndex,DiscountingCurve,,Trigger)</f>
        <v>obj_002f3#0000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30</v>
      </c>
      <c r="D35" s="29" t="s">
        <v>64</v>
      </c>
      <c r="E35" s="48">
        <f t="shared" si="1"/>
        <v>42353</v>
      </c>
      <c r="F35" s="48">
        <f>_xll.qlInterestRateIndexValueDate(L35,E35,Trigger)</f>
        <v>42354</v>
      </c>
      <c r="G35" s="48">
        <f>_xll.qlInterestRateIndexMaturity(L35,F35,Trigger)</f>
        <v>44546</v>
      </c>
      <c r="H35" s="47">
        <f>_xll.qlIndexFixing(L35,E35,TRUE,AllTriggers)</f>
        <v>2.4197026975212445E-2</v>
      </c>
      <c r="I35" s="38"/>
      <c r="J35" s="38"/>
      <c r="K35" s="41"/>
      <c r="L35" s="89" t="str">
        <f>_xll.qlSwapIndex(,"BBSW",C35,SettlementDays,Currency,Calendar,FixedLegTenor,FixedLegBDC,FixedLegDayCounter,IborIndex,DiscountingCurve,,Trigger)</f>
        <v>obj_0031e#0000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31</v>
      </c>
      <c r="D36" s="29" t="s">
        <v>64</v>
      </c>
      <c r="E36" s="48">
        <f t="shared" si="1"/>
        <v>42353</v>
      </c>
      <c r="F36" s="48">
        <f>_xll.qlInterestRateIndexValueDate(L36,E36,Trigger)</f>
        <v>42354</v>
      </c>
      <c r="G36" s="48">
        <f>_xll.qlInterestRateIndexMaturity(L36,F36,Trigger)</f>
        <v>44911</v>
      </c>
      <c r="H36" s="47">
        <f>_xll.qlIndexFixing(L36,E36,TRUE,AllTriggers)</f>
        <v>2.5293640613156702E-2</v>
      </c>
      <c r="I36" s="38" t="str">
        <f>Contribution!M36</f>
        <v>AUD1M7Y=</v>
      </c>
      <c r="J36" s="38"/>
      <c r="K36" s="41"/>
      <c r="L36" s="89" t="str">
        <f>_xll.qlSwapIndex(,"BBSW",C36,SettlementDays,Currency,Calendar,FixedLegTenor,FixedLegBDC,FixedLegDayCounter,IborIndex,DiscountingCurve,,Trigger)</f>
        <v>obj_00324#0000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32</v>
      </c>
      <c r="D37" s="29" t="s">
        <v>64</v>
      </c>
      <c r="E37" s="48">
        <f t="shared" si="1"/>
        <v>42353</v>
      </c>
      <c r="F37" s="48">
        <f>_xll.qlInterestRateIndexValueDate(L37,E37,Trigger)</f>
        <v>42354</v>
      </c>
      <c r="G37" s="48">
        <f>_xll.qlInterestRateIndexMaturity(L37,F37,Trigger)</f>
        <v>45278</v>
      </c>
      <c r="H37" s="47">
        <f>_xll.qlIndexFixing(L37,E37,TRUE,AllTriggers)</f>
        <v>2.6219789562008166E-2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obj_00310#0000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33</v>
      </c>
      <c r="D38" s="29" t="s">
        <v>64</v>
      </c>
      <c r="E38" s="48">
        <f t="shared" si="1"/>
        <v>42353</v>
      </c>
      <c r="F38" s="48">
        <f>_xll.qlInterestRateIndexValueDate(L38,E38,Trigger)</f>
        <v>42354</v>
      </c>
      <c r="G38" s="48">
        <f>_xll.qlInterestRateIndexMaturity(L38,F38,Trigger)</f>
        <v>45642</v>
      </c>
      <c r="H38" s="47">
        <f>_xll.qlIndexFixing(L38,E38,TRUE,AllTriggers)</f>
        <v>2.7023376284700536E-2</v>
      </c>
      <c r="I38" s="38"/>
      <c r="J38" s="38"/>
      <c r="K38" s="41"/>
      <c r="L38" s="89" t="str">
        <f>_xll.qlSwapIndex(,"BBSW",C38,SettlementDays,Currency,Calendar,FixedLegTenor,FixedLegBDC,FixedLegDayCounter,IborIndex,DiscountingCurve,,Trigger)</f>
        <v>obj_0031d#0000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34</v>
      </c>
      <c r="D39" s="29" t="s">
        <v>64</v>
      </c>
      <c r="E39" s="48">
        <f t="shared" si="1"/>
        <v>42353</v>
      </c>
      <c r="F39" s="48">
        <f>_xll.qlInterestRateIndexValueDate(L39,E39,Trigger)</f>
        <v>42354</v>
      </c>
      <c r="G39" s="48">
        <f>_xll.qlInterestRateIndexMaturity(L39,F39,Trigger)</f>
        <v>46007</v>
      </c>
      <c r="H39" s="47">
        <f>_xll.qlIndexFixing(L39,E39,TRUE,AllTriggers)</f>
        <v>2.7766458315951134E-2</v>
      </c>
      <c r="I39" s="38" t="str">
        <f>Contribution!M39</f>
        <v>AUD1M10Y=</v>
      </c>
      <c r="J39" s="38"/>
      <c r="K39" s="41"/>
      <c r="L39" s="89" t="str">
        <f>_xll.qlSwapIndex(,"BBSW",C39,SettlementDays,Currency,Calendar,FixedLegTenor,FixedLegBDC,FixedLegDayCounter,IborIndex,DiscountingCurve,,Trigger)</f>
        <v>obj_00318#0000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35</v>
      </c>
      <c r="D40" s="29" t="s">
        <v>64</v>
      </c>
      <c r="E40" s="48">
        <f t="shared" si="1"/>
        <v>42353</v>
      </c>
      <c r="F40" s="48">
        <f>_xll.qlInterestRateIndexValueDate(L40,E40,Trigger)</f>
        <v>42354</v>
      </c>
      <c r="G40" s="48">
        <f>_xll.qlInterestRateIndexMaturity(L40,F40,Trigger)</f>
        <v>46737</v>
      </c>
      <c r="H40" s="47">
        <f>_xll.qlIndexFixing(L40,E40,TRUE,AllTriggers)</f>
        <v>2.9100971896639554E-2</v>
      </c>
      <c r="I40" s="38" t="str">
        <f>Contribution!M40</f>
        <v>AUD1M12Y=</v>
      </c>
      <c r="J40" s="38"/>
      <c r="K40" s="41"/>
      <c r="L40" s="89" t="str">
        <f>_xll.qlSwapIndex(,"BBSW",C40,SettlementDays,Currency,Calendar,FixedLegTenor,FixedLegBDC,FixedLegDayCounter,IborIndex,DiscountingCurve,,Trigger)</f>
        <v>obj_002ed#0000</v>
      </c>
      <c r="M40" s="92"/>
      <c r="N40" s="91"/>
      <c r="O40" s="85"/>
      <c r="P40" s="91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36</v>
      </c>
      <c r="D41" s="29" t="s">
        <v>64</v>
      </c>
      <c r="E41" s="48">
        <f t="shared" si="1"/>
        <v>42353</v>
      </c>
      <c r="F41" s="48">
        <f>_xll.qlInterestRateIndexValueDate(L41,E41,Trigger)</f>
        <v>42354</v>
      </c>
      <c r="G41" s="48">
        <f>_xll.qlInterestRateIndexMaturity(L41,F41,Trigger)</f>
        <v>47833</v>
      </c>
      <c r="H41" s="47">
        <f>_xll.qlIndexFixing(L41,E41,TRUE,AllTriggers)</f>
        <v>3.0557798919070237E-2</v>
      </c>
      <c r="I41" s="38" t="str">
        <f>Contribution!M41</f>
        <v>AUD1M15Y=</v>
      </c>
      <c r="J41" s="38"/>
      <c r="K41" s="41"/>
      <c r="L41" s="89" t="str">
        <f>_xll.qlSwapIndex(,"BBSW",C41,SettlementDays,Currency,Calendar,FixedLegTenor,FixedLegBDC,FixedLegDayCounter,IborIndex,DiscountingCurve,,Trigger)</f>
        <v>obj_002f4#0000</v>
      </c>
      <c r="M41" s="92"/>
      <c r="N41" s="91"/>
      <c r="O41" s="91"/>
      <c r="P41" s="85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37</v>
      </c>
      <c r="D42" s="29" t="s">
        <v>64</v>
      </c>
      <c r="E42" s="48">
        <f t="shared" si="1"/>
        <v>42353</v>
      </c>
      <c r="F42" s="48">
        <f>_xll.qlInterestRateIndexValueDate(L42,E42,Trigger)</f>
        <v>42354</v>
      </c>
      <c r="G42" s="48">
        <f>_xll.qlInterestRateIndexMaturity(L42,F42,Trigger)</f>
        <v>49660</v>
      </c>
      <c r="H42" s="47">
        <f>_xll.qlIndexFixing(L42,E42,TRUE,AllTriggers)</f>
        <v>3.2137697453845523E-2</v>
      </c>
      <c r="I42" s="38" t="str">
        <f>Contribution!M42</f>
        <v>AUD1M20Y=</v>
      </c>
      <c r="J42" s="38"/>
      <c r="K42" s="41"/>
      <c r="L42" s="89" t="str">
        <f>_xll.qlSwapIndex(,"BBSW",C42,SettlementDays,Currency,Calendar,FixedLegTenor,FixedLegBDC,FixedLegDayCounter,IborIndex,DiscountingCurve,,Trigger)</f>
        <v>obj_00322#0000</v>
      </c>
      <c r="M42" s="92"/>
      <c r="N42" s="91"/>
      <c r="O42" s="85"/>
      <c r="P42" s="9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1"/>
      <c r="C43" s="21" t="s">
        <v>38</v>
      </c>
      <c r="D43" s="29" t="s">
        <v>64</v>
      </c>
      <c r="E43" s="48">
        <f t="shared" si="1"/>
        <v>42353</v>
      </c>
      <c r="F43" s="48">
        <f>_xll.qlInterestRateIndexValueDate(L43,E43,Trigger)</f>
        <v>42354</v>
      </c>
      <c r="G43" s="48">
        <f>_xll.qlInterestRateIndexMaturity(L43,F43,Trigger)</f>
        <v>51487</v>
      </c>
      <c r="H43" s="47">
        <f>_xll.qlIndexFixing(L43,E43,TRUE,AllTriggers)</f>
        <v>3.260693823262565E-2</v>
      </c>
      <c r="I43" s="38" t="str">
        <f>Contribution!M43</f>
        <v>AUD1M25Y=</v>
      </c>
      <c r="J43" s="38"/>
      <c r="K43" s="41"/>
      <c r="L43" s="89" t="str">
        <f>_xll.qlSwapIndex(,"BBSW",C43,SettlementDays,Currency,Calendar,FixedLegTenor,FixedLegBDC,FixedLegDayCounter,IborIndex,DiscountingCurve,,Trigger)</f>
        <v>obj_00300#0000</v>
      </c>
      <c r="M43" s="92"/>
      <c r="N43" s="91"/>
      <c r="O43" s="85"/>
      <c r="P43" s="91"/>
      <c r="Q43" s="91"/>
      <c r="R43" s="91"/>
      <c r="S43" s="91"/>
      <c r="T43" s="2"/>
      <c r="U43" s="2"/>
      <c r="V43" s="2"/>
      <c r="W43" s="2"/>
      <c r="X43" s="2"/>
      <c r="Y43" s="2"/>
    </row>
    <row r="44" spans="1:25" x14ac:dyDescent="0.2">
      <c r="A44" s="91"/>
      <c r="B44" s="22"/>
      <c r="C44" s="22" t="s">
        <v>39</v>
      </c>
      <c r="D44" s="31" t="s">
        <v>64</v>
      </c>
      <c r="E44" s="49">
        <f t="shared" si="1"/>
        <v>42353</v>
      </c>
      <c r="F44" s="49">
        <f>_xll.qlInterestRateIndexValueDate(L44,E44,Trigger)</f>
        <v>42354</v>
      </c>
      <c r="G44" s="49">
        <f>_xll.qlInterestRateIndexMaturity(L44,F44,Trigger)</f>
        <v>53314</v>
      </c>
      <c r="H44" s="50">
        <f>_xll.qlIndexFixing(L44,E44,TRUE,AllTriggers)</f>
        <v>3.2410041771684342E-2</v>
      </c>
      <c r="I44" s="40" t="str">
        <f>Contribution!M44</f>
        <v>AUD1M30Y=</v>
      </c>
      <c r="J44" s="40"/>
      <c r="K44" s="41"/>
      <c r="L44" s="56" t="str">
        <f>_xll.qlSwapIndex(,"BBSW",C44,SettlementDays,Currency,Calendar,FixedLegTenor,FixedLegBDC,FixedLegDayCounter,IborIndex,DiscountingCurve,,Trigger)</f>
        <v>obj_00309#0000</v>
      </c>
      <c r="M44" s="92"/>
      <c r="N44" s="91"/>
      <c r="O44" s="85"/>
      <c r="P44" s="9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41"/>
      <c r="L46" s="91"/>
      <c r="M46" s="91"/>
      <c r="N46" s="91"/>
      <c r="O46" s="41"/>
      <c r="P46" s="41"/>
      <c r="Q46" s="4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91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9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91"/>
      <c r="L48" s="91"/>
      <c r="M48" s="91"/>
      <c r="N48" s="91"/>
      <c r="O48" s="41"/>
      <c r="P48" s="41"/>
      <c r="Q48" s="41"/>
      <c r="R48" s="41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6"/>
      <c r="B103" s="6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  <row r="130" spans="1:35" x14ac:dyDescent="0.2">
      <c r="A130" s="149"/>
      <c r="B130" s="149"/>
      <c r="C130" s="151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D130" s="11"/>
      <c r="AE130" s="11"/>
      <c r="AF130" s="11"/>
      <c r="AG130" s="11"/>
      <c r="AH130" s="11"/>
      <c r="AI130" s="11"/>
    </row>
  </sheetData>
  <dataValidations count="2"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6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0"/>
  <sheetViews>
    <sheetView showGridLines="0" workbookViewId="0"/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100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101</v>
      </c>
      <c r="E6" s="45">
        <f t="shared" ref="E6:E14" si="1">EvaluationDate</f>
        <v>42353</v>
      </c>
      <c r="F6" s="45">
        <f>E6</f>
        <v>42353</v>
      </c>
      <c r="G6" s="45">
        <f>_xll.qlCalendarAdvance(Calendar,F6,"1D","f",TRUE,Trigger)</f>
        <v>42354</v>
      </c>
      <c r="H6" s="52">
        <f>_xll.qlInterpolationInterpolate(Interpolation,B6,TRUE)</f>
        <v>2.3018350702479311E-2</v>
      </c>
      <c r="I6" s="53" t="str">
        <f>Contribution!P6</f>
        <v>AUD3MOND=</v>
      </c>
      <c r="J6" s="54"/>
      <c r="K6" s="57"/>
      <c r="L6" s="87" t="str">
        <f>_xll.qlInterpolation(,InterpolationType,B8:B14,H8:H14,,Trigger)</f>
        <v>obj_00328#0001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42353</v>
      </c>
      <c r="F7" s="48">
        <f>G6</f>
        <v>42354</v>
      </c>
      <c r="G7" s="48">
        <f>_xll.qlCalendarAdvance(Calendar,F7,"1D","f",TRUE,Trigger)</f>
        <v>42355</v>
      </c>
      <c r="H7" s="152">
        <f>_xll.qlInterpolationInterpolate(Interpolation,B7,TRUE)</f>
        <v>2.3016559576969089E-2</v>
      </c>
      <c r="I7" s="55" t="str">
        <f>Contribution!P7</f>
        <v>AUD3MTND=</v>
      </c>
      <c r="J7" s="153"/>
      <c r="K7" s="91"/>
      <c r="L7" s="8" t="s">
        <v>99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42353</v>
      </c>
      <c r="F8" s="45">
        <f>_xll.qlInterestRateIndexValueDate(L8,E8,Trigger)</f>
        <v>42355</v>
      </c>
      <c r="G8" s="45">
        <f>_xll.qlInterestRateIndexMaturity(L8,F8,Trigger)</f>
        <v>42356</v>
      </c>
      <c r="H8" s="52">
        <f>_xll.qlIndexFixing(L8,E8,TRUE,InterestRatesTrigger)</f>
        <v>2.301476477656994E-2</v>
      </c>
      <c r="I8" s="53" t="str">
        <f>Contribution!P8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obj_00319#0000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42353</v>
      </c>
      <c r="F9" s="48">
        <f>_xll.qlInterestRateIndexValueDate(L9,E9,Trigger)</f>
        <v>42355</v>
      </c>
      <c r="G9" s="48">
        <f>_xll.qlInterestRateIndexMaturity(L9,F9,Trigger)</f>
        <v>42362</v>
      </c>
      <c r="H9" s="47">
        <f>_xll.qlIndexFixing(L9,E9,TRUE,InterestRatesTrigger)</f>
        <v>2.3004124595287539E-2</v>
      </c>
      <c r="I9" s="38" t="str">
        <f>Contribution!P9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obj_002ea#0000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42353</v>
      </c>
      <c r="F10" s="48">
        <f>_xll.qlInterestRateIndexValueDate(L10,E10,Trigger)</f>
        <v>42355</v>
      </c>
      <c r="G10" s="48">
        <f>_xll.qlInterestRateIndexMaturity(L10,F10,Trigger)</f>
        <v>42369</v>
      </c>
      <c r="H10" s="47">
        <f>_xll.qlIndexFixing(L10,E10,TRUE,InterestRatesTrigger)</f>
        <v>2.2992442103971538E-2</v>
      </c>
      <c r="I10" s="38" t="str">
        <f>Contribution!P10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obj_002fa#0000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42353</v>
      </c>
      <c r="F11" s="48">
        <f>_xll.qlInterestRateIndexValueDate(L11,E11,Trigger)</f>
        <v>42355</v>
      </c>
      <c r="G11" s="48">
        <f>_xll.qlInterestRateIndexMaturity(L11,F11,Trigger)</f>
        <v>42376</v>
      </c>
      <c r="H11" s="47">
        <f>_xll.qlIndexFixing(L11,E11,TRUE,InterestRatesTrigger)</f>
        <v>2.2981855788175787E-2</v>
      </c>
      <c r="I11" s="38" t="str">
        <f>Contribution!P11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obj_00320#0000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42353</v>
      </c>
      <c r="F12" s="48">
        <f>_xll.qlInterestRateIndexValueDate(L12,E12,Trigger)</f>
        <v>42355</v>
      </c>
      <c r="G12" s="48">
        <f>_xll.qlInterestRateIndexMaturity(L12,F12,Trigger)</f>
        <v>42387</v>
      </c>
      <c r="H12" s="47">
        <f>_xll.qlIndexFixing(L12,E12,TRUE,InterestRatesTrigger)</f>
        <v>2.2969220122143544E-2</v>
      </c>
      <c r="I12" s="38" t="str">
        <f>Contribution!P12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obj_002de#0000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64</v>
      </c>
      <c r="C13" s="21" t="s">
        <v>20</v>
      </c>
      <c r="D13" s="29" t="s">
        <v>65</v>
      </c>
      <c r="E13" s="48">
        <f t="shared" si="1"/>
        <v>42353</v>
      </c>
      <c r="F13" s="48">
        <f>_xll.qlInterestRateIndexValueDate(L13,E13,Trigger)</f>
        <v>42355</v>
      </c>
      <c r="G13" s="48">
        <f>_xll.qlInterestRateIndexMaturity(L13,F13,Trigger)</f>
        <v>42417</v>
      </c>
      <c r="H13" s="47">
        <f>_xll.qlIndexFixing(L13,E13,TRUE,InterestRatesTrigger)</f>
        <v>2.2891558318826197E-2</v>
      </c>
      <c r="I13" s="38" t="str">
        <f>Contribution!P13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obj_002f7#0000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42353</v>
      </c>
      <c r="F14" s="48">
        <f>_xll.qlInterestRateIndexValueDate(L14,E14,Trigger)</f>
        <v>42355</v>
      </c>
      <c r="G14" s="48">
        <f>_xll.qlInterestRateIndexMaturity(L14,F14,Trigger)</f>
        <v>42446</v>
      </c>
      <c r="H14" s="47">
        <f>_xll.qlIndexFixing(L14,E14,TRUE,InterestRatesTrigger)</f>
        <v>2.2739603835599392E-2</v>
      </c>
      <c r="I14" s="38" t="str">
        <f>Contribution!P14</f>
        <v>AUD3M3MD=</v>
      </c>
      <c r="J14" s="38"/>
      <c r="K14" s="57"/>
      <c r="L14" s="32" t="str">
        <f>_xll.qlIborIndex(,"BBSW",IF(OR(C14="ON",C14="TN",C14="SN"),"1D",IF(C14="SW","1W",C14)),2,Currency,Calendar,BDayConvention,EndOfMonth,DayCounter,YieldCurve,,Trigger)</f>
        <v>obj_002f9#0000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H6</v>
      </c>
      <c r="D19" s="28" t="s">
        <v>84</v>
      </c>
      <c r="E19" s="45">
        <f>_xll.qlInterestRateIndexFixingDate(IborIndex,F19)</f>
        <v>42440</v>
      </c>
      <c r="F19" s="45">
        <f>_xll.qlASXdate(C19)</f>
        <v>42440</v>
      </c>
      <c r="G19" s="45">
        <f>_xll.qlInterestRateIndexMaturity(IborIndex,F19,Trigger)</f>
        <v>42535</v>
      </c>
      <c r="H19" s="110">
        <f>(1-_xll.qlIndexFixing(IborIndex,E19,TRUE,InterestRatesTrigger))*100</f>
        <v>97.784999999991356</v>
      </c>
      <c r="I19" s="39" t="str">
        <f>Contribution!P19</f>
        <v>AUD3MH6</v>
      </c>
      <c r="J19" s="39" t="str">
        <f>"YBA"&amp;C19</f>
        <v>YBAH6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M6</v>
      </c>
      <c r="D20" s="29" t="s">
        <v>84</v>
      </c>
      <c r="E20" s="48">
        <f>_xll.qlInterestRateIndexFixingDate(IborIndex,F20)</f>
        <v>42531</v>
      </c>
      <c r="F20" s="48">
        <f>_xll.qlASXdate(C20)</f>
        <v>42531</v>
      </c>
      <c r="G20" s="48">
        <f>_xll.qlInterestRateIndexMaturity(IborIndex,F20,Trigger)</f>
        <v>42625</v>
      </c>
      <c r="H20" s="111">
        <f>(1-_xll.qlIndexFixing(IborIndex,E20,TRUE,InterestRatesTrigger))*100</f>
        <v>97.845000000000041</v>
      </c>
      <c r="I20" s="38" t="str">
        <f>Contribution!P20</f>
        <v>AUD3MM6</v>
      </c>
      <c r="J20" s="38" t="str">
        <f t="shared" ref="J20:J25" si="2">"YBA"&amp;C20</f>
        <v>YBAM6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U6</v>
      </c>
      <c r="D21" s="29" t="s">
        <v>84</v>
      </c>
      <c r="E21" s="48">
        <f>_xll.qlInterestRateIndexFixingDate(IborIndex,F21)</f>
        <v>42622</v>
      </c>
      <c r="F21" s="48">
        <f>_xll.qlASXdate(C21)</f>
        <v>42622</v>
      </c>
      <c r="G21" s="48">
        <f>_xll.qlInterestRateIndexMaturity(IborIndex,F21,Trigger)</f>
        <v>42713</v>
      </c>
      <c r="H21" s="111">
        <f>(1-_xll.qlIndexFixing(IborIndex,E21,TRUE,InterestRatesTrigger))*100</f>
        <v>97.813619077638975</v>
      </c>
      <c r="I21" s="38" t="str">
        <f>Contribution!P21</f>
        <v>AUD3MU6</v>
      </c>
      <c r="J21" s="38" t="str">
        <f t="shared" si="2"/>
        <v>YBAU6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Z6</v>
      </c>
      <c r="D22" s="29" t="s">
        <v>84</v>
      </c>
      <c r="E22" s="48">
        <f>_xll.qlInterestRateIndexFixingDate(IborIndex,F22)</f>
        <v>42713</v>
      </c>
      <c r="F22" s="48">
        <f>_xll.qlASXdate(C22)</f>
        <v>42713</v>
      </c>
      <c r="G22" s="48">
        <f>_xll.qlInterestRateIndexMaturity(IborIndex,F22,Trigger)</f>
        <v>42803</v>
      </c>
      <c r="H22" s="111">
        <f>(1-_xll.qlIndexFixing(IborIndex,E22,TRUE,InterestRatesTrigger))*100</f>
        <v>97.824346265756816</v>
      </c>
      <c r="I22" s="38" t="str">
        <f>Contribution!P22</f>
        <v>AUD3MZ6</v>
      </c>
      <c r="J22" s="38" t="str">
        <f t="shared" si="2"/>
        <v>YBAZ6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H7</v>
      </c>
      <c r="D23" s="29" t="s">
        <v>84</v>
      </c>
      <c r="E23" s="48">
        <f>_xll.qlInterestRateIndexFixingDate(IborIndex,F23)</f>
        <v>42804</v>
      </c>
      <c r="F23" s="48">
        <f>_xll.qlASXdate(C23)</f>
        <v>42804</v>
      </c>
      <c r="G23" s="48">
        <f>_xll.qlInterestRateIndexMaturity(IborIndex,F23,Trigger)</f>
        <v>42899</v>
      </c>
      <c r="H23" s="111">
        <f>(1-_xll.qlIndexFixing(IborIndex,E23,TRUE,InterestRatesTrigger))*100</f>
        <v>97.837146334230425</v>
      </c>
      <c r="I23" s="38" t="str">
        <f>Contribution!P23</f>
        <v>AUD3MH7</v>
      </c>
      <c r="J23" s="38" t="str">
        <f t="shared" si="2"/>
        <v>YBAH7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1"/>
      <c r="C24" s="21" t="str">
        <f>Contribution!D24</f>
        <v>M7</v>
      </c>
      <c r="D24" s="29" t="s">
        <v>84</v>
      </c>
      <c r="E24" s="48">
        <f>_xll.qlInterestRateIndexFixingDate(IborIndex,F24)</f>
        <v>42895</v>
      </c>
      <c r="F24" s="48">
        <f>_xll.qlASXdate(C24)</f>
        <v>42895</v>
      </c>
      <c r="G24" s="48">
        <f>_xll.qlInterestRateIndexMaturity(IborIndex,F24,Trigger)</f>
        <v>42989</v>
      </c>
      <c r="H24" s="111">
        <f>(1-_xll.qlIndexFixing(IborIndex,E24,TRUE,InterestRatesTrigger))*100</f>
        <v>97.820365313174008</v>
      </c>
      <c r="I24" s="38" t="str">
        <f>Contribution!P24</f>
        <v>AUD3MM7</v>
      </c>
      <c r="J24" s="38" t="str">
        <f t="shared" ref="J24" si="3">"YBA"&amp;C24</f>
        <v>YBAM7</v>
      </c>
      <c r="K24" s="91"/>
      <c r="L24" s="91"/>
      <c r="M24" s="91"/>
      <c r="N24" s="91"/>
      <c r="O24" s="91"/>
      <c r="P24" s="91"/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2"/>
      <c r="C25" s="22" t="str">
        <f>Contribution!D25</f>
        <v>U7</v>
      </c>
      <c r="D25" s="31" t="s">
        <v>84</v>
      </c>
      <c r="E25" s="49">
        <f>_xll.qlInterestRateIndexFixingDate(IborIndex,F25)</f>
        <v>42986</v>
      </c>
      <c r="F25" s="49">
        <f>_xll.qlASXdate(C25)</f>
        <v>42986</v>
      </c>
      <c r="G25" s="49">
        <f>_xll.qlInterestRateIndexMaturity(IborIndex,F25,Trigger)</f>
        <v>43077</v>
      </c>
      <c r="H25" s="112">
        <f>(1-_xll.qlIndexFixing(IborIndex,E25,TRUE,InterestRatesTrigger))*100</f>
        <v>97.775208373571076</v>
      </c>
      <c r="I25" s="40" t="str">
        <f>Contribution!P25</f>
        <v>AUD3MU7</v>
      </c>
      <c r="J25" s="40" t="str">
        <f t="shared" si="2"/>
        <v>YBAU7</v>
      </c>
      <c r="K25" s="91"/>
      <c r="L25" s="90" t="s">
        <v>46</v>
      </c>
      <c r="M25" s="92"/>
      <c r="N25" s="86" t="s">
        <v>41</v>
      </c>
      <c r="O25" s="86" t="s">
        <v>78</v>
      </c>
      <c r="P25" s="86" t="s">
        <v>42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0"/>
      <c r="C26" s="20" t="s">
        <v>21</v>
      </c>
      <c r="D26" s="28" t="s">
        <v>64</v>
      </c>
      <c r="E26" s="45">
        <f>EvaluationDate</f>
        <v>42353</v>
      </c>
      <c r="F26" s="45">
        <f>_xll.qlInterestRateIndexValueDate(L26,E26,Trigger)</f>
        <v>42354</v>
      </c>
      <c r="G26" s="45">
        <f>_xll.qlInterestRateIndexMaturity(L26,F26,Trigger)</f>
        <v>42445</v>
      </c>
      <c r="H26" s="46">
        <f>_xll.qlIndexFixing(L26,E26,TRUE,InterestRatesTrigger)</f>
        <v>2.2748272412765391E-2</v>
      </c>
      <c r="I26" s="39"/>
      <c r="J26" s="39"/>
      <c r="K26" s="91"/>
      <c r="L26" s="30" t="str">
        <f>_xll.qlSwapIndex(,"BBSW",C26,SettlementDays,Currency,Calendar,FixedLegTenor,FixedLegBDC,FixedLegDayCounter,"AudBBSW3M",DiscountingCurve,,Trigger)</f>
        <v>obj_002f8#0000</v>
      </c>
      <c r="M26" s="57"/>
      <c r="N26" s="30" t="s">
        <v>21</v>
      </c>
      <c r="O26" s="30" t="s">
        <v>60</v>
      </c>
      <c r="P26" s="30" t="s">
        <v>43</v>
      </c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14</v>
      </c>
      <c r="D27" s="29" t="s">
        <v>64</v>
      </c>
      <c r="E27" s="48">
        <f t="shared" ref="E27:E28" si="4">EvaluationDate</f>
        <v>42353</v>
      </c>
      <c r="F27" s="48">
        <f>_xll.qlInterestRateIndexValueDate(L27,E27,Trigger)</f>
        <v>42354</v>
      </c>
      <c r="G27" s="48">
        <f>_xll.qlInterestRateIndexMaturity(L27,F27,Trigger)</f>
        <v>42537</v>
      </c>
      <c r="H27" s="47">
        <f>_xll.qlIndexFixing(L27,E27,TRUE,InterestRatesTrigger)</f>
        <v>2.2438992531528139E-2</v>
      </c>
      <c r="I27" s="38"/>
      <c r="J27" s="38"/>
      <c r="K27" s="57"/>
      <c r="L27" s="30" t="str">
        <f>_xll.qlSwapIndex(,"BBSW",C27,SettlementDays,Currency,Calendar,FixedLegTenor,FixedLegBDC,FixedLegDayCounter,IborIndex,DiscountingCurve,,Trigger)</f>
        <v>obj_0030e#0000</v>
      </c>
      <c r="M27" s="57"/>
      <c r="N27" s="58"/>
      <c r="O27" s="58"/>
      <c r="P27" s="58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24</v>
      </c>
      <c r="D28" s="29" t="s">
        <v>64</v>
      </c>
      <c r="E28" s="48">
        <f t="shared" si="4"/>
        <v>42353</v>
      </c>
      <c r="F28" s="48">
        <f>_xll.qlInterestRateIndexValueDate(L28,E28,Trigger)</f>
        <v>42354</v>
      </c>
      <c r="G28" s="48">
        <f>_xll.qlInterestRateIndexMaturity(L28,F28,Trigger)</f>
        <v>42629</v>
      </c>
      <c r="H28" s="47">
        <f>_xll.qlIndexFixing(L28,E28,TRUE,InterestRatesTrigger)</f>
        <v>2.2138886360609539E-2</v>
      </c>
      <c r="I28" s="38"/>
      <c r="J28" s="38"/>
      <c r="K28" s="91"/>
      <c r="L28" s="30" t="str">
        <f>_xll.qlSwapIndex(,"BBSW",C28,SettlementDays,Currency,Calendar,FixedLegTenor,FixedLegBDC,FixedLegDayCounter,IborIndex,DiscountingCurve,,Trigger)</f>
        <v>obj_002dd#0000</v>
      </c>
      <c r="M28" s="57"/>
      <c r="N28" s="91"/>
      <c r="O28" s="91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25</v>
      </c>
      <c r="D29" s="29" t="s">
        <v>64</v>
      </c>
      <c r="E29" s="48">
        <f t="shared" ref="E29:E30" si="5">EvaluationDate</f>
        <v>42353</v>
      </c>
      <c r="F29" s="48">
        <f>_xll.qlInterestRateIndexValueDate(L29,E29,Trigger)</f>
        <v>42354</v>
      </c>
      <c r="G29" s="48">
        <f>_xll.qlInterestRateIndexMaturity(L29,F29,Trigger)</f>
        <v>42720</v>
      </c>
      <c r="H29" s="47">
        <f>_xll.qlIndexFixing(L29,E29,TRUE,InterestRatesTrigger)</f>
        <v>2.2075000000246748E-2</v>
      </c>
      <c r="I29" s="38" t="str">
        <f>Contribution!P29</f>
        <v>AUD3M1Y=</v>
      </c>
      <c r="J29" s="55" t="str">
        <f>Currency&amp;"QM3AB"&amp;C29&amp;"=ICAA"</f>
        <v>AUDQM3AB1Y=ICAA</v>
      </c>
      <c r="K29" s="91"/>
      <c r="L29" s="30" t="str">
        <f>_xll.qlSwapIndex(,"BBSW",C29,SettlementDays,Currency,Calendar,FixedLegTenor,FixedLegBDC,FixedLegDayCounter,IborIndex,DiscountingCurve,,Trigger)</f>
        <v>obj_002e0#0000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67</v>
      </c>
      <c r="D30" s="29" t="s">
        <v>64</v>
      </c>
      <c r="E30" s="48">
        <f t="shared" si="5"/>
        <v>42353</v>
      </c>
      <c r="F30" s="48">
        <f>_xll.qlInterestRateIndexValueDate(L30,E30,Trigger)</f>
        <v>42354</v>
      </c>
      <c r="G30" s="48">
        <f>_xll.qlInterestRateIndexMaturity(L30,F30,Trigger)</f>
        <v>42902</v>
      </c>
      <c r="H30" s="47">
        <f>_xll.qlIndexFixing(L30,E30,TRUE,InterestRatesTrigger)</f>
        <v>2.1944917523419344E-2</v>
      </c>
      <c r="I30" s="38"/>
      <c r="J30" s="55"/>
      <c r="K30" s="91"/>
      <c r="L30" s="30" t="str">
        <f>_xll.qlSwapIndex(,"BBSW",C30,SettlementDays,Currency,Calendar,FixedLegTenor,FixedLegBDC,FixedLegDayCounter,IborIndex,DiscountingCurve,,Trigger)</f>
        <v>obj_00305#0000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26</v>
      </c>
      <c r="D31" s="29" t="s">
        <v>64</v>
      </c>
      <c r="E31" s="48">
        <f t="shared" ref="E31:E44" si="6">EvaluationDate</f>
        <v>42353</v>
      </c>
      <c r="F31" s="48">
        <f>_xll.qlInterestRateIndexValueDate(L31,E31,Trigger)</f>
        <v>42354</v>
      </c>
      <c r="G31" s="48">
        <f>_xll.qlInterestRateIndexMaturity(L31,F31,Trigger)</f>
        <v>43087</v>
      </c>
      <c r="H31" s="47">
        <f>_xll.qlIndexFixing(L31,E31,TRUE,InterestRatesTrigger)</f>
        <v>2.1975000000201791E-2</v>
      </c>
      <c r="I31" s="38" t="str">
        <f>Contribution!P31</f>
        <v>AUD3M2Y=</v>
      </c>
      <c r="J31" s="55" t="str">
        <f>Currency&amp;"QM3AB"&amp;C31&amp;"=ICAA"</f>
        <v>AUDQM3AB2Y=ICAA</v>
      </c>
      <c r="K31" s="57"/>
      <c r="L31" s="30" t="str">
        <f>_xll.qlSwapIndex(,"BBSW",C31,SettlementDays,Currency,Calendar,FixedLegTenor,FixedLegBDC,FixedLegDayCounter,IborIndex,DiscountingCurve,,Trigger)</f>
        <v>obj_002d9#0000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27</v>
      </c>
      <c r="D32" s="29" t="s">
        <v>64</v>
      </c>
      <c r="E32" s="48">
        <f t="shared" si="6"/>
        <v>42353</v>
      </c>
      <c r="F32" s="48">
        <f>_xll.qlInterestRateIndexValueDate(L32,E32,Trigger)</f>
        <v>42354</v>
      </c>
      <c r="G32" s="48">
        <f>_xll.qlInterestRateIndexMaturity(L32,F32,Trigger)</f>
        <v>43451</v>
      </c>
      <c r="H32" s="47">
        <f>_xll.qlIndexFixing(L32,E32,TRUE,InterestRatesTrigger)</f>
        <v>2.264852508887993E-2</v>
      </c>
      <c r="I32" s="38" t="str">
        <f>Contribution!P32</f>
        <v>AUD3M3Y=</v>
      </c>
      <c r="J32" s="55" t="str">
        <f>Currency&amp;"QM3AB"&amp;C32&amp;"=ICAA"</f>
        <v>AUDQM3AB3Y=ICAA</v>
      </c>
      <c r="K32" s="57"/>
      <c r="L32" s="30" t="str">
        <f>_xll.qlSwapIndex(,"BBSW",C32,SettlementDays,Currency,Calendar,FixedLegTenor,FixedLegBDC,FixedLegDayCounter,IborIndex,DiscountingCurve,,Trigger)</f>
        <v>obj_002fc#0000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28</v>
      </c>
      <c r="D33" s="29" t="s">
        <v>64</v>
      </c>
      <c r="E33" s="48">
        <f t="shared" si="6"/>
        <v>42353</v>
      </c>
      <c r="F33" s="48">
        <f>_xll.qlInterestRateIndexValueDate(L33,E33,Trigger)</f>
        <v>42354</v>
      </c>
      <c r="G33" s="48">
        <f>_xll.qlInterestRateIndexMaturity(L33,F33,Trigger)</f>
        <v>43815</v>
      </c>
      <c r="H33" s="47">
        <f>_xll.qlIndexFixing(L33,E33,TRUE,InterestRatesTrigger)</f>
        <v>2.3582718967434507E-2</v>
      </c>
      <c r="I33" s="38" t="str">
        <f>Contribution!P33</f>
        <v>AUD3M4Y=</v>
      </c>
      <c r="J33" s="55"/>
      <c r="K33" s="57"/>
      <c r="L33" s="30" t="str">
        <f>_xll.qlSwapIndex(,"BBSW",C33,SettlementDays,Currency,Calendar,FixedLegTenor,FixedLegBDC,FixedLegDayCounter,IborIndex,DiscountingCurve,,Trigger)</f>
        <v>obj_002eb#0000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29</v>
      </c>
      <c r="D34" s="29" t="s">
        <v>64</v>
      </c>
      <c r="E34" s="48">
        <f t="shared" si="6"/>
        <v>42353</v>
      </c>
      <c r="F34" s="48">
        <f>_xll.qlInterestRateIndexValueDate(L34,E34,Trigger)</f>
        <v>42354</v>
      </c>
      <c r="G34" s="48">
        <f>_xll.qlInterestRateIndexMaturity(L34,F34,Trigger)</f>
        <v>44181</v>
      </c>
      <c r="H34" s="47">
        <f>_xll.qlIndexFixing(L34,E34,TRUE,InterestRatesTrigger)</f>
        <v>2.4738615920984804E-2</v>
      </c>
      <c r="I34" s="38" t="str">
        <f>Contribution!P34</f>
        <v>AUD3M5Y=</v>
      </c>
      <c r="J34" s="38"/>
      <c r="K34" s="57"/>
      <c r="L34" s="30" t="str">
        <f>_xll.qlSwapIndex(,"BBSW",C34,SettlementDays,Currency,Calendar,FixedLegTenor,FixedLegBDC,FixedLegDayCounter,IborIndex,DiscountingCurve,,Trigger)</f>
        <v>obj_002fd#0000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30</v>
      </c>
      <c r="D35" s="29" t="s">
        <v>64</v>
      </c>
      <c r="E35" s="48">
        <f t="shared" si="6"/>
        <v>42353</v>
      </c>
      <c r="F35" s="48">
        <f>_xll.qlInterestRateIndexValueDate(L35,E35,Trigger)</f>
        <v>42354</v>
      </c>
      <c r="G35" s="48">
        <f>_xll.qlInterestRateIndexMaturity(L35,F35,Trigger)</f>
        <v>44546</v>
      </c>
      <c r="H35" s="47">
        <f>_xll.qlIndexFixing(L35,E35,TRUE,InterestRatesTrigger)</f>
        <v>2.5876854147630281E-2</v>
      </c>
      <c r="I35" s="38"/>
      <c r="J35" s="38"/>
      <c r="K35" s="57"/>
      <c r="L35" s="30" t="str">
        <f>_xll.qlSwapIndex(,"BBSW",C35,SettlementDays,Currency,Calendar,FixedLegTenor,FixedLegBDC,FixedLegDayCounter,IborIndex,DiscountingCurve,,Trigger)</f>
        <v>obj_00315#0000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31</v>
      </c>
      <c r="D36" s="29" t="s">
        <v>64</v>
      </c>
      <c r="E36" s="48">
        <f t="shared" si="6"/>
        <v>42353</v>
      </c>
      <c r="F36" s="48">
        <f>_xll.qlInterestRateIndexValueDate(L36,E36,Trigger)</f>
        <v>42354</v>
      </c>
      <c r="G36" s="48">
        <f>_xll.qlInterestRateIndexMaturity(L36,F36,Trigger)</f>
        <v>44911</v>
      </c>
      <c r="H36" s="47">
        <f>_xll.qlIndexFixing(L36,E36,TRUE,InterestRatesTrigger)</f>
        <v>2.6900161680324036E-2</v>
      </c>
      <c r="I36" s="38" t="str">
        <f>Contribution!P36</f>
        <v>AUD3M7Y=</v>
      </c>
      <c r="J36" s="38"/>
      <c r="K36" s="57"/>
      <c r="L36" s="30" t="str">
        <f>_xll.qlSwapIndex(,"BBSW",C36,SettlementDays,Currency,Calendar,FixedLegTenor,FixedLegBDC,FixedLegDayCounter,IborIndex,DiscountingCurve,,Trigger)</f>
        <v>obj_0030c#0000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32</v>
      </c>
      <c r="D37" s="29" t="s">
        <v>64</v>
      </c>
      <c r="E37" s="48">
        <f t="shared" si="6"/>
        <v>42353</v>
      </c>
      <c r="F37" s="48">
        <f>_xll.qlInterestRateIndexValueDate(L37,E37,Trigger)</f>
        <v>42354</v>
      </c>
      <c r="G37" s="48">
        <f>_xll.qlInterestRateIndexMaturity(L37,F37,Trigger)</f>
        <v>45278</v>
      </c>
      <c r="H37" s="47">
        <f>_xll.qlIndexFixing(L37,E37,TRUE,InterestRatesTrigger)</f>
        <v>2.7795591600260561E-2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obj_002e5#0000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33</v>
      </c>
      <c r="D38" s="29" t="s">
        <v>64</v>
      </c>
      <c r="E38" s="48">
        <f t="shared" si="6"/>
        <v>42353</v>
      </c>
      <c r="F38" s="48">
        <f>_xll.qlInterestRateIndexValueDate(L38,E38,Trigger)</f>
        <v>42354</v>
      </c>
      <c r="G38" s="48">
        <f>_xll.qlInterestRateIndexMaturity(L38,F38,Trigger)</f>
        <v>45642</v>
      </c>
      <c r="H38" s="47">
        <f>_xll.qlIndexFixing(L38,E38,TRUE,InterestRatesTrigger)</f>
        <v>2.8595435372670258E-2</v>
      </c>
      <c r="I38" s="38"/>
      <c r="J38" s="38"/>
      <c r="K38" s="57"/>
      <c r="L38" s="30" t="str">
        <f>_xll.qlSwapIndex(,"BBSW",C38,SettlementDays,Currency,Calendar,FixedLegTenor,FixedLegBDC,FixedLegDayCounter,IborIndex,DiscountingCurve,,Trigger)</f>
        <v>obj_002ec#0000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34</v>
      </c>
      <c r="D39" s="29" t="s">
        <v>64</v>
      </c>
      <c r="E39" s="48">
        <f t="shared" si="6"/>
        <v>42353</v>
      </c>
      <c r="F39" s="48">
        <f>_xll.qlInterestRateIndexValueDate(L39,E39,Trigger)</f>
        <v>42354</v>
      </c>
      <c r="G39" s="48">
        <f>_xll.qlInterestRateIndexMaturity(L39,F39,Trigger)</f>
        <v>46007</v>
      </c>
      <c r="H39" s="47">
        <f>_xll.qlIndexFixing(L39,E39,TRUE,InterestRatesTrigger)</f>
        <v>2.9346391388690111E-2</v>
      </c>
      <c r="I39" s="38" t="str">
        <f>Contribution!P39</f>
        <v>AUD3M10Y=</v>
      </c>
      <c r="J39" s="38"/>
      <c r="K39" s="57"/>
      <c r="L39" s="30" t="str">
        <f>_xll.qlSwapIndex(,"BBSW",C39,SettlementDays,Currency,Calendar,FixedLegTenor,FixedLegBDC,FixedLegDayCounter,IborIndex,DiscountingCurve,,Trigger)</f>
        <v>obj_0031a#0000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35</v>
      </c>
      <c r="D40" s="29" t="s">
        <v>64</v>
      </c>
      <c r="E40" s="48">
        <f t="shared" si="6"/>
        <v>42353</v>
      </c>
      <c r="F40" s="48">
        <f>_xll.qlInterestRateIndexValueDate(L40,E40,Trigger)</f>
        <v>42354</v>
      </c>
      <c r="G40" s="48">
        <f>_xll.qlInterestRateIndexMaturity(L40,F40,Trigger)</f>
        <v>46737</v>
      </c>
      <c r="H40" s="47">
        <f>_xll.qlIndexFixing(L40,E40,TRUE,InterestRatesTrigger)</f>
        <v>3.0699716475778942E-2</v>
      </c>
      <c r="I40" s="38" t="str">
        <f>Contribution!P40</f>
        <v>AUD3M12Y=</v>
      </c>
      <c r="J40" s="38"/>
      <c r="K40" s="57"/>
      <c r="L40" s="30" t="str">
        <f>_xll.qlSwapIndex(,"BBSW",C40,SettlementDays,Currency,Calendar,FixedLegTenor,FixedLegBDC,FixedLegDayCounter,IborIndex,DiscountingCurve,,Trigger)</f>
        <v>obj_00317#0000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36</v>
      </c>
      <c r="D41" s="29" t="s">
        <v>64</v>
      </c>
      <c r="E41" s="48">
        <f t="shared" si="6"/>
        <v>42353</v>
      </c>
      <c r="F41" s="48">
        <f>_xll.qlInterestRateIndexValueDate(L41,E41,Trigger)</f>
        <v>42354</v>
      </c>
      <c r="G41" s="48">
        <f>_xll.qlInterestRateIndexMaturity(L41,F41,Trigger)</f>
        <v>47833</v>
      </c>
      <c r="H41" s="47">
        <f>_xll.qlIndexFixing(L41,E41,TRUE,InterestRatesTrigger)</f>
        <v>3.2163850072298723E-2</v>
      </c>
      <c r="I41" s="38" t="str">
        <f>Contribution!P41</f>
        <v>AUD3M15Y=</v>
      </c>
      <c r="J41" s="38"/>
      <c r="K41" s="57"/>
      <c r="L41" s="30" t="str">
        <f>_xll.qlSwapIndex(,"BBSW",C41,SettlementDays,Currency,Calendar,FixedLegTenor,FixedLegBDC,FixedLegDayCounter,IborIndex,DiscountingCurve,,Trigger)</f>
        <v>obj_00326#0000</v>
      </c>
      <c r="M41" s="57"/>
      <c r="N41" s="57"/>
      <c r="O41" s="57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37</v>
      </c>
      <c r="D42" s="29" t="s">
        <v>64</v>
      </c>
      <c r="E42" s="48">
        <f t="shared" si="6"/>
        <v>42353</v>
      </c>
      <c r="F42" s="48">
        <f>_xll.qlInterestRateIndexValueDate(L42,E42,Trigger)</f>
        <v>42354</v>
      </c>
      <c r="G42" s="48">
        <f>_xll.qlInterestRateIndexMaturity(L42,F42,Trigger)</f>
        <v>49660</v>
      </c>
      <c r="H42" s="47">
        <f>_xll.qlIndexFixing(L42,E42,TRUE,InterestRatesTrigger)</f>
        <v>3.3751908824486004E-2</v>
      </c>
      <c r="I42" s="38" t="str">
        <f>Contribution!P42</f>
        <v>AUD3M20Y=</v>
      </c>
      <c r="J42" s="38"/>
      <c r="K42" s="57"/>
      <c r="L42" s="30" t="str">
        <f>_xll.qlSwapIndex(,"BBSW",C42,SettlementDays,Currency,Calendar,FixedLegTenor,FixedLegBDC,FixedLegDayCounter,IborIndex,DiscountingCurve,,Trigger)</f>
        <v>obj_00311#0000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1"/>
      <c r="C43" s="21" t="s">
        <v>38</v>
      </c>
      <c r="D43" s="29" t="s">
        <v>64</v>
      </c>
      <c r="E43" s="48">
        <f t="shared" si="6"/>
        <v>42353</v>
      </c>
      <c r="F43" s="48">
        <f>_xll.qlInterestRateIndexValueDate(L43,E43,Trigger)</f>
        <v>42354</v>
      </c>
      <c r="G43" s="48">
        <f>_xll.qlInterestRateIndexMaturity(L43,F43,Trigger)</f>
        <v>51487</v>
      </c>
      <c r="H43" s="47">
        <f>_xll.qlIndexFixing(L43,E43,TRUE,InterestRatesTrigger)</f>
        <v>3.4223503463764224E-2</v>
      </c>
      <c r="I43" s="38" t="str">
        <f>Contribution!P43</f>
        <v>AUD3M25Y=</v>
      </c>
      <c r="J43" s="38"/>
      <c r="K43" s="57"/>
      <c r="L43" s="30" t="str">
        <f>_xll.qlSwapIndex(,"BBSW",C43,SettlementDays,Currency,Calendar,FixedLegTenor,FixedLegBDC,FixedLegDayCounter,IborIndex,DiscountingCurve,,Trigger)</f>
        <v>obj_00307#0000</v>
      </c>
      <c r="M43" s="6"/>
      <c r="N43" s="6"/>
      <c r="O43" s="6"/>
      <c r="P43" s="6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22"/>
      <c r="C44" s="22" t="s">
        <v>39</v>
      </c>
      <c r="D44" s="31" t="s">
        <v>64</v>
      </c>
      <c r="E44" s="49">
        <f t="shared" si="6"/>
        <v>42353</v>
      </c>
      <c r="F44" s="49">
        <f>_xll.qlInterestRateIndexValueDate(L44,E44,Trigger)</f>
        <v>42354</v>
      </c>
      <c r="G44" s="49">
        <f>_xll.qlInterestRateIndexMaturity(L44,F44,Trigger)</f>
        <v>53314</v>
      </c>
      <c r="H44" s="50">
        <f>_xll.qlIndexFixing(L44,E44,TRUE,InterestRatesTrigger)</f>
        <v>3.4025427368974015E-2</v>
      </c>
      <c r="I44" s="40" t="str">
        <f>Contribution!P44</f>
        <v>AUD3M30Y=</v>
      </c>
      <c r="J44" s="40"/>
      <c r="K44" s="57"/>
      <c r="L44" s="32" t="str">
        <f>_xll.qlSwapIndex(,"BBSW",C44,SettlementDays,Currency,Calendar,FixedLegTenor,FixedLegBDC,FixedLegDayCounter,IborIndex,DiscountingCurve,,Trigger)</f>
        <v>obj_00302#0000</v>
      </c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91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6"/>
      <c r="B103" s="6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"/>
      <c r="R103" s="2"/>
      <c r="S103" s="2"/>
      <c r="T103" s="2"/>
      <c r="U103" s="2"/>
      <c r="V103" s="2"/>
      <c r="W103" s="2"/>
      <c r="X103" s="2"/>
      <c r="Y103" s="2"/>
    </row>
    <row r="104" spans="1:39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s="37" customFormat="1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  <row r="130" spans="2:3" x14ac:dyDescent="0.2">
      <c r="B130" s="149"/>
      <c r="C130" s="151"/>
    </row>
  </sheetData>
  <dataValidations count="2"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6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"/>
  <sheetViews>
    <sheetView showGridLines="0" workbookViewId="0"/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101</v>
      </c>
      <c r="E6" s="45">
        <f t="shared" ref="E6:E17" si="1">EvaluationDate</f>
        <v>42353</v>
      </c>
      <c r="F6" s="45">
        <f>E6</f>
        <v>42353</v>
      </c>
      <c r="G6" s="45">
        <f>_xll.qlCalendarAdvance(Calendar,F6,"1D","f",TRUE,Trigger)</f>
        <v>42354</v>
      </c>
      <c r="H6" s="52">
        <f>_xll.qlInterpolationInterpolate(Interpolation,B6,TRUE)</f>
        <v>2.4424948591929983E-2</v>
      </c>
      <c r="I6" s="53" t="str">
        <f>Contribution!S6</f>
        <v>AUD6MOND=</v>
      </c>
      <c r="J6" s="54"/>
      <c r="K6" s="41"/>
      <c r="L6" s="87" t="str">
        <f>_xll.qlInterpolation(,InterpolationType,B8:B17,H8:H17,,Trigger)</f>
        <v>obj_0032a#0000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42353</v>
      </c>
      <c r="F7" s="48">
        <f>G6</f>
        <v>42354</v>
      </c>
      <c r="G7" s="48">
        <f>_xll.qlCalendarAdvance(Calendar,F7,"1D","f",TRUE,Trigger)</f>
        <v>42355</v>
      </c>
      <c r="H7" s="152">
        <f>_xll.qlInterpolationInterpolate(Interpolation,B7,TRUE)</f>
        <v>2.4425921612768256E-2</v>
      </c>
      <c r="I7" s="55" t="str">
        <f>Contribution!S7</f>
        <v>AUD6MTND=</v>
      </c>
      <c r="J7" s="153"/>
      <c r="K7" s="41"/>
      <c r="L7" s="8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42353</v>
      </c>
      <c r="F8" s="45">
        <f>_xll.qlInterestRateIndexValueDate(L8,E8,Trigger)</f>
        <v>42355</v>
      </c>
      <c r="G8" s="45">
        <f>_xll.qlInterestRateIndexMaturity(L8,F8,Trigger)</f>
        <v>42356</v>
      </c>
      <c r="H8" s="52">
        <f>_xll.qlIndexFixing(L8,E8,TRUE,AllTriggers)</f>
        <v>2.4426898626860316E-2</v>
      </c>
      <c r="I8" s="53" t="str">
        <f>Contribution!S8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obj_00316#0000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42353</v>
      </c>
      <c r="F9" s="48">
        <f>_xll.qlInterestRateIndexValueDate(L9,E9,Trigger)</f>
        <v>42355</v>
      </c>
      <c r="G9" s="48">
        <f>_xll.qlInterestRateIndexMaturity(L9,F9,Trigger)</f>
        <v>42362</v>
      </c>
      <c r="H9" s="47">
        <f>_xll.qlIndexFixing(L9,E9,TRUE,AllTriggers)</f>
        <v>2.4432620947530164E-2</v>
      </c>
      <c r="I9" s="38" t="str">
        <f>Contribution!S9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obj_002e7#0000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42353</v>
      </c>
      <c r="F10" s="48">
        <f>_xll.qlInterestRateIndexValueDate(L10,E10,Trigger)</f>
        <v>42355</v>
      </c>
      <c r="G10" s="48">
        <f>_xll.qlInterestRateIndexMaturity(L10,F10,Trigger)</f>
        <v>42369</v>
      </c>
      <c r="H10" s="47">
        <f>_xll.qlIndexFixing(L10,E10,TRUE,AllTriggers)</f>
        <v>2.4438454802343364E-2</v>
      </c>
      <c r="I10" s="38" t="str">
        <f>Contribution!S10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obj_002e1#0000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42353</v>
      </c>
      <c r="F11" s="48">
        <f>_xll.qlInterestRateIndexValueDate(L11,E11,Trigger)</f>
        <v>42355</v>
      </c>
      <c r="G11" s="48">
        <f>_xll.qlInterestRateIndexMaturity(L11,F11,Trigger)</f>
        <v>42376</v>
      </c>
      <c r="H11" s="47">
        <f>_xll.qlIndexFixing(L11,E11,TRUE,AllTriggers)</f>
        <v>2.4443995827002366E-2</v>
      </c>
      <c r="I11" s="38" t="str">
        <f>Contribution!S11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obj_00325#0000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42353</v>
      </c>
      <c r="F12" s="48">
        <f>_xll.qlInterestRateIndexValueDate(L12,E12,Trigger)</f>
        <v>42355</v>
      </c>
      <c r="G12" s="48">
        <f>_xll.qlInterestRateIndexMaturity(L12,F12,Trigger)</f>
        <v>42387</v>
      </c>
      <c r="H12" s="47">
        <f>_xll.qlIndexFixing(L12,E12,TRUE,AllTriggers)</f>
        <v>2.4453813177658518E-2</v>
      </c>
      <c r="I12" s="38" t="str">
        <f>Contribution!S12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obj_00313#0000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64</v>
      </c>
      <c r="C13" s="21" t="s">
        <v>20</v>
      </c>
      <c r="D13" s="29" t="s">
        <v>65</v>
      </c>
      <c r="E13" s="48">
        <f t="shared" si="1"/>
        <v>42353</v>
      </c>
      <c r="F13" s="48">
        <f>_xll.qlInterestRateIndexValueDate(L13,E13,Trigger)</f>
        <v>42355</v>
      </c>
      <c r="G13" s="48">
        <f>_xll.qlInterestRateIndexMaturity(L13,F13,Trigger)</f>
        <v>42417</v>
      </c>
      <c r="H13" s="47">
        <f>_xll.qlIndexFixing(L13,E13,TRUE,AllTriggers)</f>
        <v>2.4421984227251878E-2</v>
      </c>
      <c r="I13" s="38" t="str">
        <f>Contribution!S13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obj_0030d#0000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42353</v>
      </c>
      <c r="F14" s="48">
        <f>_xll.qlInterestRateIndexValueDate(L14,E14,Trigger)</f>
        <v>42355</v>
      </c>
      <c r="G14" s="48">
        <f>_xll.qlInterestRateIndexMaturity(L14,F14,Trigger)</f>
        <v>42446</v>
      </c>
      <c r="H14" s="47">
        <f>_xll.qlIndexFixing(L14,E14,TRUE,AllTriggers)</f>
        <v>2.4296202059641413E-2</v>
      </c>
      <c r="I14" s="38" t="str">
        <f>Contribution!S14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obj_0031b#0000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125</v>
      </c>
      <c r="C15" s="21" t="s">
        <v>22</v>
      </c>
      <c r="D15" s="29" t="s">
        <v>65</v>
      </c>
      <c r="E15" s="48">
        <f t="shared" si="1"/>
        <v>42353</v>
      </c>
      <c r="F15" s="48">
        <f>_xll.qlInterestRateIndexValueDate(L15,E15,Trigger)</f>
        <v>42355</v>
      </c>
      <c r="G15" s="48">
        <f>_xll.qlInterestRateIndexMaturity(L15,F15,Trigger)</f>
        <v>42478</v>
      </c>
      <c r="H15" s="47">
        <f>_xll.qlIndexFixing(L15,E15,TRUE,AllTriggers)</f>
        <v>2.4197688711857301E-2</v>
      </c>
      <c r="I15" s="38" t="str">
        <f>Contribution!S15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obj_002dc#0000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154</v>
      </c>
      <c r="C16" s="21" t="s">
        <v>23</v>
      </c>
      <c r="D16" s="29" t="s">
        <v>65</v>
      </c>
      <c r="E16" s="48">
        <f t="shared" si="1"/>
        <v>42353</v>
      </c>
      <c r="F16" s="48">
        <f>_xll.qlInterestRateIndexValueDate(L16,E16,Trigger)</f>
        <v>42355</v>
      </c>
      <c r="G16" s="48">
        <f>_xll.qlInterestRateIndexMaturity(L16,F16,Trigger)</f>
        <v>42507</v>
      </c>
      <c r="H16" s="47">
        <f>_xll.qlIndexFixing(L16,E16,TRUE,AllTriggers)</f>
        <v>2.4060012802185966E-2</v>
      </c>
      <c r="I16" s="38" t="str">
        <f>Contribution!S16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obj_002e3#0000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185</v>
      </c>
      <c r="C17" s="21" t="s">
        <v>14</v>
      </c>
      <c r="D17" s="29" t="s">
        <v>65</v>
      </c>
      <c r="E17" s="48">
        <f t="shared" si="1"/>
        <v>42353</v>
      </c>
      <c r="F17" s="48">
        <f>_xll.qlInterestRateIndexValueDate(L17,E17,Trigger)</f>
        <v>42355</v>
      </c>
      <c r="G17" s="48">
        <f>_xll.qlInterestRateIndexMaturity(L17,F17,Trigger)</f>
        <v>42538</v>
      </c>
      <c r="H17" s="47">
        <f>_xll.qlIndexFixing(L17,E17,TRUE,AllTriggers)</f>
        <v>2.4022631830517453E-2</v>
      </c>
      <c r="I17" s="38" t="str">
        <f>Contribution!S17</f>
        <v>AUD6M6MD=</v>
      </c>
      <c r="J17" s="38"/>
      <c r="K17" s="41"/>
      <c r="L17" s="32" t="str">
        <f>_xll.qlIborIndex(,"BBSW",IF(OR(C17="ON",C17="TN",C17="SN"),"1D",IF(C17="SW","1W",C17)),2,Currency,Calendar,BDayConvention,EndOfMonth,DayCounter,YieldCurve,,Trigger)</f>
        <v>obj_00314#0000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1"/>
      <c r="C24" s="21"/>
      <c r="D24" s="29"/>
      <c r="E24" s="48"/>
      <c r="F24" s="48"/>
      <c r="G24" s="48"/>
      <c r="H24" s="111"/>
      <c r="I24" s="38"/>
      <c r="J24" s="38"/>
      <c r="K24" s="41"/>
      <c r="L24" s="91"/>
      <c r="M24" s="85"/>
      <c r="N24" s="91"/>
      <c r="O24" s="91"/>
      <c r="P24" s="91"/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2"/>
      <c r="C25" s="22"/>
      <c r="D25" s="31"/>
      <c r="E25" s="49"/>
      <c r="F25" s="49"/>
      <c r="G25" s="49"/>
      <c r="H25" s="112"/>
      <c r="I25" s="40"/>
      <c r="J25" s="40"/>
      <c r="K25" s="41"/>
      <c r="L25" s="90" t="s">
        <v>46</v>
      </c>
      <c r="M25" s="92"/>
      <c r="N25" s="86" t="s">
        <v>41</v>
      </c>
      <c r="O25" s="86" t="s">
        <v>78</v>
      </c>
      <c r="P25" s="86" t="s">
        <v>42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0"/>
      <c r="C26" s="20" t="s">
        <v>21</v>
      </c>
      <c r="D26" s="28" t="s">
        <v>64</v>
      </c>
      <c r="E26" s="45">
        <f t="shared" ref="E26:E28" si="2">EvaluationDate</f>
        <v>42353</v>
      </c>
      <c r="F26" s="45">
        <f>_xll.qlInterestRateIndexValueDate(L26,E26,Trigger)</f>
        <v>42354</v>
      </c>
      <c r="G26" s="45">
        <f>_xll.qlInterestRateIndexMaturity(L26,F26,Trigger)</f>
        <v>42445</v>
      </c>
      <c r="H26" s="46">
        <f>_xll.qlIndexFixing(L26,E26,TRUE,AllTriggers)</f>
        <v>2.4302068558067186E-2</v>
      </c>
      <c r="I26" s="39"/>
      <c r="J26" s="39"/>
      <c r="K26" s="41"/>
      <c r="L26" s="88" t="str">
        <f>_xll.qlSwapIndex(,"BBSW",C26,SettlementDays,Currency,Calendar,FixedLegTenor,FixedLegBDC,FixedLegDayCounter,IborIndex,DiscountingCurve,,Trigger)</f>
        <v>obj_00303#0000</v>
      </c>
      <c r="M26" s="4"/>
      <c r="N26" s="87" t="s">
        <v>14</v>
      </c>
      <c r="O26" s="87" t="s">
        <v>60</v>
      </c>
      <c r="P26" s="87" t="s">
        <v>43</v>
      </c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14</v>
      </c>
      <c r="D27" s="29" t="s">
        <v>64</v>
      </c>
      <c r="E27" s="48">
        <f t="shared" si="2"/>
        <v>42353</v>
      </c>
      <c r="F27" s="48">
        <f>_xll.qlInterestRateIndexValueDate(L27,E27,Trigger)</f>
        <v>42354</v>
      </c>
      <c r="G27" s="48">
        <f>_xll.qlInterestRateIndexMaturity(L27,F27,Trigger)</f>
        <v>42537</v>
      </c>
      <c r="H27" s="47">
        <f>_xll.qlIndexFixing(L27,E27,TRUE,AllTriggers)</f>
        <v>2.4027344726778914E-2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obj_002df#0000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24</v>
      </c>
      <c r="D28" s="29" t="s">
        <v>64</v>
      </c>
      <c r="E28" s="48">
        <f t="shared" si="2"/>
        <v>42353</v>
      </c>
      <c r="F28" s="48">
        <f>_xll.qlInterestRateIndexValueDate(L28,E28,Trigger)</f>
        <v>42354</v>
      </c>
      <c r="G28" s="48">
        <f>_xll.qlInterestRateIndexMaturity(L28,F28,Trigger)</f>
        <v>42629</v>
      </c>
      <c r="H28" s="47">
        <f>_xll.qlIndexFixing(L28,E28,TRUE,AllTriggers)</f>
        <v>2.3779619783163033E-2</v>
      </c>
      <c r="I28" s="38"/>
      <c r="J28" s="38"/>
      <c r="K28" s="41"/>
      <c r="L28" s="30" t="str">
        <f>_xll.qlSwapIndex(,"BBSW",C28,SettlementDays,Currency,Calendar,FixedLegTenor,FixedLegBDC,FixedLegDayCounter,IborIndex,DiscountingCurve,,Trigger)</f>
        <v>obj_002fe#0000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25</v>
      </c>
      <c r="D29" s="29" t="s">
        <v>64</v>
      </c>
      <c r="E29" s="48">
        <f t="shared" ref="E29:E30" si="3">EvaluationDate</f>
        <v>42353</v>
      </c>
      <c r="F29" s="48">
        <f>_xll.qlInterestRateIndexValueDate(L29,E29,Trigger)</f>
        <v>42354</v>
      </c>
      <c r="G29" s="48">
        <f>_xll.qlInterestRateIndexMaturity(L29,F29,Trigger)</f>
        <v>42720</v>
      </c>
      <c r="H29" s="47">
        <f>_xll.qlIndexFixing(L29,E29,TRUE,AllTriggers)</f>
        <v>2.3588688513978308E-2</v>
      </c>
      <c r="I29" s="38" t="str">
        <f>Contribution!S29</f>
        <v>AUD6M1Y=</v>
      </c>
      <c r="J29" s="55"/>
      <c r="K29" s="41"/>
      <c r="L29" s="30" t="str">
        <f>_xll.qlSwapIndex(,"BBSW",C29,SettlementDays,Currency,Calendar,FixedLegTenor,FixedLegBDC,FixedLegDayCounter,IborIndex,DiscountingCurve,,Trigger)</f>
        <v>obj_00321#0000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67</v>
      </c>
      <c r="D30" s="29" t="s">
        <v>64</v>
      </c>
      <c r="E30" s="48">
        <f t="shared" si="3"/>
        <v>42353</v>
      </c>
      <c r="F30" s="48">
        <f>_xll.qlInterestRateIndexValueDate(L30,E30,Trigger)</f>
        <v>42354</v>
      </c>
      <c r="G30" s="48">
        <f>_xll.qlInterestRateIndexMaturity(L30,F30,Trigger)</f>
        <v>42902</v>
      </c>
      <c r="H30" s="47">
        <f>_xll.qlIndexFixing(L30,E30,TRUE,AllTriggers)</f>
        <v>2.3396686137818461E-2</v>
      </c>
      <c r="I30" s="38"/>
      <c r="J30" s="55"/>
      <c r="K30" s="41"/>
      <c r="L30" s="30" t="str">
        <f>_xll.qlSwapIndex(,"BBSW",C30,SettlementDays,Currency,Calendar,FixedLegTenor,FixedLegBDC,FixedLegDayCounter,IborIndex,DiscountingCurve,,Trigger)</f>
        <v>obj_0030f#0000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26</v>
      </c>
      <c r="D31" s="29" t="s">
        <v>64</v>
      </c>
      <c r="E31" s="48">
        <f t="shared" ref="E31:E44" si="4">EvaluationDate</f>
        <v>42353</v>
      </c>
      <c r="F31" s="48">
        <f>_xll.qlInterestRateIndexValueDate(L31,E31,Trigger)</f>
        <v>42354</v>
      </c>
      <c r="G31" s="48">
        <f>_xll.qlInterestRateIndexMaturity(L31,F31,Trigger)</f>
        <v>43087</v>
      </c>
      <c r="H31" s="47">
        <f>_xll.qlIndexFixing(L31,E31,TRUE,AllTriggers)</f>
        <v>2.3454206411348839E-2</v>
      </c>
      <c r="I31" s="38" t="str">
        <f>Contribution!S31</f>
        <v>AUD6M2Y=</v>
      </c>
      <c r="J31" s="55"/>
      <c r="K31" s="41"/>
      <c r="L31" s="30" t="str">
        <f>_xll.qlSwapIndex(,"BBSW",C31,SettlementDays,Currency,Calendar,FixedLegTenor,FixedLegBDC,FixedLegDayCounter,IborIndex,DiscountingCurve,,Trigger)</f>
        <v>obj_00304#0000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27</v>
      </c>
      <c r="D32" s="29" t="s">
        <v>64</v>
      </c>
      <c r="E32" s="48">
        <f t="shared" si="4"/>
        <v>42353</v>
      </c>
      <c r="F32" s="48">
        <f>_xll.qlInterestRateIndexValueDate(L32,E32,Trigger)</f>
        <v>42354</v>
      </c>
      <c r="G32" s="48">
        <f>_xll.qlInterestRateIndexMaturity(L32,F32,Trigger)</f>
        <v>43451</v>
      </c>
      <c r="H32" s="47">
        <f>_xll.qlIndexFixing(L32,E32,TRUE,AllTriggers)</f>
        <v>2.4019938801152489E-2</v>
      </c>
      <c r="I32" s="38" t="str">
        <f>Contribution!S32</f>
        <v>AUD6M3Y=</v>
      </c>
      <c r="J32" s="55"/>
      <c r="K32" s="41"/>
      <c r="L32" s="30" t="str">
        <f>_xll.qlSwapIndex(,"BBSW",C32,SettlementDays,Currency,Calendar,FixedLegTenor,FixedLegBDC,FixedLegDayCounter,IborIndex,DiscountingCurve,,Trigger)</f>
        <v>obj_002fb#0000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28</v>
      </c>
      <c r="D33" s="29" t="s">
        <v>64</v>
      </c>
      <c r="E33" s="48">
        <f t="shared" si="4"/>
        <v>42353</v>
      </c>
      <c r="F33" s="48">
        <f>_xll.qlInterestRateIndexValueDate(L33,E33,Trigger)</f>
        <v>42354</v>
      </c>
      <c r="G33" s="48">
        <f>_xll.qlInterestRateIndexMaturity(L33,F33,Trigger)</f>
        <v>43815</v>
      </c>
      <c r="H33" s="47">
        <f>_xll.qlIndexFixing(L33,E33,TRUE,AllTriggers)</f>
        <v>2.4823924035525868E-2</v>
      </c>
      <c r="I33" s="38" t="str">
        <f>Contribution!S33</f>
        <v>AUD6M4Y=</v>
      </c>
      <c r="J33" s="55" t="str">
        <f t="shared" ref="J33:J44" si="5">Currency&amp;"SM6AB"&amp;C33&amp;"=ICAA"</f>
        <v>AUDSM6AB4Y=ICAA</v>
      </c>
      <c r="K33" s="41"/>
      <c r="L33" s="30" t="str">
        <f>_xll.qlSwapIndex(,"BBSW",C33,SettlementDays,Currency,Calendar,FixedLegTenor,FixedLegBDC,FixedLegDayCounter,IborIndex,DiscountingCurve,,Trigger)</f>
        <v>obj_002f6#0000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29</v>
      </c>
      <c r="D34" s="29" t="s">
        <v>64</v>
      </c>
      <c r="E34" s="48">
        <f t="shared" si="4"/>
        <v>42353</v>
      </c>
      <c r="F34" s="48">
        <f>_xll.qlInterestRateIndexValueDate(L34,E34,Trigger)</f>
        <v>42354</v>
      </c>
      <c r="G34" s="48">
        <f>_xll.qlInterestRateIndexMaturity(L34,F34,Trigger)</f>
        <v>44181</v>
      </c>
      <c r="H34" s="47">
        <f>_xll.qlIndexFixing(L34,E34,TRUE,AllTriggers)</f>
        <v>2.5874129414548756E-2</v>
      </c>
      <c r="I34" s="38" t="str">
        <f>Contribution!S34</f>
        <v>AUD6M5Y=</v>
      </c>
      <c r="J34" s="38" t="str">
        <f t="shared" si="5"/>
        <v>AUDSM6AB5Y=ICAA</v>
      </c>
      <c r="K34" s="41"/>
      <c r="L34" s="30" t="str">
        <f>_xll.qlSwapIndex(,"BBSW",C34,SettlementDays,Currency,Calendar,FixedLegTenor,FixedLegBDC,FixedLegDayCounter,IborIndex,DiscountingCurve,,Trigger)</f>
        <v>obj_002e6#0000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30</v>
      </c>
      <c r="D35" s="29" t="s">
        <v>64</v>
      </c>
      <c r="E35" s="48">
        <f t="shared" si="4"/>
        <v>42353</v>
      </c>
      <c r="F35" s="48">
        <f>_xll.qlInterestRateIndexValueDate(L35,E35,Trigger)</f>
        <v>42354</v>
      </c>
      <c r="G35" s="48">
        <f>_xll.qlInterestRateIndexMaturity(L35,F35,Trigger)</f>
        <v>44546</v>
      </c>
      <c r="H35" s="47">
        <f>_xll.qlIndexFixing(L35,E35,TRUE,AllTriggers)</f>
        <v>2.6936765261980983E-2</v>
      </c>
      <c r="I35" s="38"/>
      <c r="J35" s="38" t="str">
        <f t="shared" si="5"/>
        <v>AUDSM6AB6Y=ICAA</v>
      </c>
      <c r="K35" s="41"/>
      <c r="L35" s="30" t="str">
        <f>_xll.qlSwapIndex(,"BBSW",C35,SettlementDays,Currency,Calendar,FixedLegTenor,FixedLegBDC,FixedLegDayCounter,IborIndex,DiscountingCurve,,Trigger)</f>
        <v>obj_00323#0000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31</v>
      </c>
      <c r="D36" s="29" t="s">
        <v>64</v>
      </c>
      <c r="E36" s="48">
        <f t="shared" si="4"/>
        <v>42353</v>
      </c>
      <c r="F36" s="48">
        <f>_xll.qlInterestRateIndexValueDate(L36,E36,Trigger)</f>
        <v>42354</v>
      </c>
      <c r="G36" s="48">
        <f>_xll.qlInterestRateIndexMaturity(L36,F36,Trigger)</f>
        <v>44911</v>
      </c>
      <c r="H36" s="47">
        <f>_xll.qlIndexFixing(L36,E36,TRUE,AllTriggers)</f>
        <v>2.7899361744716088E-2</v>
      </c>
      <c r="I36" s="38" t="str">
        <f>Contribution!S36</f>
        <v>AUD6M7Y=</v>
      </c>
      <c r="J36" s="38" t="str">
        <f t="shared" si="5"/>
        <v>AUDSM6AB7Y=ICAA</v>
      </c>
      <c r="K36" s="41"/>
      <c r="L36" s="30" t="str">
        <f>_xll.qlSwapIndex(,"BBSW",C36,SettlementDays,Currency,Calendar,FixedLegTenor,FixedLegBDC,FixedLegDayCounter,IborIndex,DiscountingCurve,,Trigger)</f>
        <v>obj_00312#0000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32</v>
      </c>
      <c r="D37" s="29" t="s">
        <v>64</v>
      </c>
      <c r="E37" s="48">
        <f t="shared" si="4"/>
        <v>42353</v>
      </c>
      <c r="F37" s="48">
        <f>_xll.qlInterestRateIndexValueDate(L37,E37,Trigger)</f>
        <v>42354</v>
      </c>
      <c r="G37" s="48">
        <f>_xll.qlInterestRateIndexMaturity(L37,F37,Trigger)</f>
        <v>45278</v>
      </c>
      <c r="H37" s="47">
        <f>_xll.qlIndexFixing(L37,E37,TRUE,AllTriggers)</f>
        <v>2.8774434115369198E-2</v>
      </c>
      <c r="I37" s="38"/>
      <c r="J37" s="38" t="str">
        <f t="shared" si="5"/>
        <v>AUDSM6AB8Y=ICAA</v>
      </c>
      <c r="K37" s="41"/>
      <c r="L37" s="30" t="str">
        <f>_xll.qlSwapIndex(,"BBSW",C37,SettlementDays,Currency,Calendar,FixedLegTenor,FixedLegBDC,FixedLegDayCounter,IborIndex,DiscountingCurve,,Trigger)</f>
        <v>obj_00306#0000</v>
      </c>
      <c r="M37" s="85"/>
      <c r="N37" s="57"/>
      <c r="O37" s="4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33</v>
      </c>
      <c r="D38" s="29" t="s">
        <v>64</v>
      </c>
      <c r="E38" s="48">
        <f t="shared" si="4"/>
        <v>42353</v>
      </c>
      <c r="F38" s="48">
        <f>_xll.qlInterestRateIndexValueDate(L38,E38,Trigger)</f>
        <v>42354</v>
      </c>
      <c r="G38" s="48">
        <f>_xll.qlInterestRateIndexMaturity(L38,F38,Trigger)</f>
        <v>45642</v>
      </c>
      <c r="H38" s="47">
        <f>_xll.qlIndexFixing(L38,E38,TRUE,AllTriggers)</f>
        <v>2.9549240736922649E-2</v>
      </c>
      <c r="I38" s="38"/>
      <c r="J38" s="38" t="str">
        <f t="shared" si="5"/>
        <v>AUDSM6AB9Y=ICAA</v>
      </c>
      <c r="K38" s="41"/>
      <c r="L38" s="30" t="str">
        <f>_xll.qlSwapIndex(,"BBSW",C38,SettlementDays,Currency,Calendar,FixedLegTenor,FixedLegBDC,FixedLegDayCounter,IborIndex,DiscountingCurve,,Trigger)</f>
        <v>obj_0031c#0000</v>
      </c>
      <c r="M38" s="85"/>
      <c r="N38" s="57"/>
      <c r="O38" s="84"/>
      <c r="P38" s="83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34</v>
      </c>
      <c r="D39" s="29" t="s">
        <v>64</v>
      </c>
      <c r="E39" s="48">
        <f t="shared" si="4"/>
        <v>42353</v>
      </c>
      <c r="F39" s="48">
        <f>_xll.qlInterestRateIndexValueDate(L39,E39,Trigger)</f>
        <v>42354</v>
      </c>
      <c r="G39" s="48">
        <f>_xll.qlInterestRateIndexMaturity(L39,F39,Trigger)</f>
        <v>46007</v>
      </c>
      <c r="H39" s="47">
        <f>_xll.qlIndexFixing(L39,E39,TRUE,AllTriggers)</f>
        <v>3.0211806612837507E-2</v>
      </c>
      <c r="I39" s="38" t="str">
        <f>Contribution!S39</f>
        <v>AUD6M10Y=</v>
      </c>
      <c r="J39" s="38" t="str">
        <f t="shared" si="5"/>
        <v>AUDSM6AB10Y=ICAA</v>
      </c>
      <c r="K39" s="41"/>
      <c r="L39" s="30" t="str">
        <f>_xll.qlSwapIndex(,"BBSW",C39,SettlementDays,Currency,Calendar,FixedLegTenor,FixedLegBDC,FixedLegDayCounter,IborIndex,DiscountingCurve,,Trigger)</f>
        <v>obj_002f2#0000</v>
      </c>
      <c r="M39" s="85"/>
      <c r="N39" s="57"/>
      <c r="O39" s="4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35</v>
      </c>
      <c r="D40" s="29" t="s">
        <v>64</v>
      </c>
      <c r="E40" s="48">
        <f t="shared" si="4"/>
        <v>42353</v>
      </c>
      <c r="F40" s="48">
        <f>_xll.qlInterestRateIndexValueDate(L40,E40,Trigger)</f>
        <v>42354</v>
      </c>
      <c r="G40" s="48">
        <f>_xll.qlInterestRateIndexMaturity(L40,F40,Trigger)</f>
        <v>46737</v>
      </c>
      <c r="H40" s="47">
        <f>_xll.qlIndexFixing(L40,E40,TRUE,AllTriggers)</f>
        <v>3.1461904518234517E-2</v>
      </c>
      <c r="I40" s="38" t="str">
        <f>Contribution!S40</f>
        <v>AUD6M12Y=</v>
      </c>
      <c r="J40" s="38" t="str">
        <f t="shared" si="5"/>
        <v>AUDSM6AB12Y=ICAA</v>
      </c>
      <c r="K40" s="41"/>
      <c r="L40" s="30" t="str">
        <f>_xll.qlSwapIndex(,"BBSW",C40,SettlementDays,Currency,Calendar,FixedLegTenor,FixedLegBDC,FixedLegDayCounter,IborIndex,DiscountingCurve,,Trigger)</f>
        <v>obj_002f0#0000</v>
      </c>
      <c r="M40" s="85"/>
      <c r="N40" s="57"/>
      <c r="O40" s="4"/>
      <c r="P40" s="57"/>
      <c r="Q40" s="84"/>
      <c r="R40" s="84"/>
      <c r="S40" s="84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36</v>
      </c>
      <c r="D41" s="29" t="s">
        <v>64</v>
      </c>
      <c r="E41" s="48">
        <f t="shared" si="4"/>
        <v>42353</v>
      </c>
      <c r="F41" s="48">
        <f>_xll.qlInterestRateIndexValueDate(L41,E41,Trigger)</f>
        <v>42354</v>
      </c>
      <c r="G41" s="48">
        <f>_xll.qlInterestRateIndexMaturity(L41,F41,Trigger)</f>
        <v>47833</v>
      </c>
      <c r="H41" s="47">
        <f>_xll.qlIndexFixing(L41,E41,TRUE,AllTriggers)</f>
        <v>3.2836858115549622E-2</v>
      </c>
      <c r="I41" s="38" t="str">
        <f>Contribution!S41</f>
        <v>AUD6M15Y=</v>
      </c>
      <c r="J41" s="38" t="str">
        <f t="shared" si="5"/>
        <v>AUDSM6AB15Y=ICAA</v>
      </c>
      <c r="K41" s="41"/>
      <c r="L41" s="30" t="str">
        <f>_xll.qlSwapIndex(,"BBSW",C41,SettlementDays,Currency,Calendar,FixedLegTenor,FixedLegBDC,FixedLegDayCounter,IborIndex,DiscountingCurve,,Trigger)</f>
        <v>obj_00301#0000</v>
      </c>
      <c r="M41" s="85"/>
      <c r="N41" s="57"/>
      <c r="O41" s="4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37</v>
      </c>
      <c r="D42" s="29" t="s">
        <v>64</v>
      </c>
      <c r="E42" s="48">
        <f t="shared" si="4"/>
        <v>42353</v>
      </c>
      <c r="F42" s="48">
        <f>_xll.qlInterestRateIndexValueDate(L42,E42,Trigger)</f>
        <v>42354</v>
      </c>
      <c r="G42" s="48">
        <f>_xll.qlInterestRateIndexMaturity(L42,F42,Trigger)</f>
        <v>49660</v>
      </c>
      <c r="H42" s="47">
        <f>_xll.qlIndexFixing(L42,E42,TRUE,AllTriggers)</f>
        <v>3.4311959289351206E-2</v>
      </c>
      <c r="I42" s="38" t="str">
        <f>Contribution!S42</f>
        <v>AUD6M20Y=</v>
      </c>
      <c r="J42" s="38" t="str">
        <f t="shared" si="5"/>
        <v>AUDSM6AB20Y=ICAA</v>
      </c>
      <c r="K42" s="41"/>
      <c r="L42" s="30" t="str">
        <f>_xll.qlSwapIndex(,"BBSW",C42,SettlementDays,Currency,Calendar,FixedLegTenor,FixedLegBDC,FixedLegDayCounter,IborIndex,DiscountingCurve,,Trigger)</f>
        <v>obj_0031f#0000</v>
      </c>
      <c r="M42" s="57"/>
      <c r="N42" s="57"/>
      <c r="O42" s="41"/>
      <c r="P42" s="57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1"/>
      <c r="C43" s="21" t="s">
        <v>38</v>
      </c>
      <c r="D43" s="29" t="s">
        <v>64</v>
      </c>
      <c r="E43" s="48">
        <f t="shared" si="4"/>
        <v>42353</v>
      </c>
      <c r="F43" s="48">
        <f>_xll.qlInterestRateIndexValueDate(L43,E43,Trigger)</f>
        <v>42354</v>
      </c>
      <c r="G43" s="48">
        <f>_xll.qlInterestRateIndexMaturity(L43,F43,Trigger)</f>
        <v>51487</v>
      </c>
      <c r="H43" s="47">
        <f>_xll.qlIndexFixing(L43,E43,TRUE,AllTriggers)</f>
        <v>3.4737019098151349E-2</v>
      </c>
      <c r="I43" s="38" t="str">
        <f>Contribution!S43</f>
        <v>AUD6M25Y=</v>
      </c>
      <c r="J43" s="38" t="str">
        <f t="shared" si="5"/>
        <v>AUDSM6AB25Y=ICAA</v>
      </c>
      <c r="K43" s="41"/>
      <c r="L43" s="30" t="str">
        <f>_xll.qlSwapIndex(,"BBSW",C43,SettlementDays,Currency,Calendar,FixedLegTenor,FixedLegBDC,FixedLegDayCounter,IborIndex,DiscountingCurve,,Trigger)</f>
        <v>obj_002db#0000</v>
      </c>
      <c r="M43" s="57"/>
      <c r="N43" s="57"/>
      <c r="O43" s="41"/>
      <c r="P43" s="4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22"/>
      <c r="C44" s="22" t="s">
        <v>39</v>
      </c>
      <c r="D44" s="31" t="s">
        <v>64</v>
      </c>
      <c r="E44" s="49">
        <f t="shared" si="4"/>
        <v>42353</v>
      </c>
      <c r="F44" s="49">
        <f>_xll.qlInterestRateIndexValueDate(L44,E44,Trigger)</f>
        <v>42354</v>
      </c>
      <c r="G44" s="49">
        <f>_xll.qlInterestRateIndexMaturity(L44,F44,Trigger)</f>
        <v>53314</v>
      </c>
      <c r="H44" s="50">
        <f>_xll.qlIndexFixing(L44,E44,TRUE,AllTriggers)</f>
        <v>3.4499568204436462E-2</v>
      </c>
      <c r="I44" s="40" t="str">
        <f>Contribution!S44</f>
        <v>AUD6M30Y=</v>
      </c>
      <c r="J44" s="40" t="str">
        <f t="shared" si="5"/>
        <v>AUDSM6AB30Y=ICAA</v>
      </c>
      <c r="K44" s="41"/>
      <c r="L44" s="32" t="str">
        <f>_xll.qlSwapIndex(,"BBSW",C44,SettlementDays,Currency,Calendar,FixedLegTenor,FixedLegBDC,FixedLegDayCounter,IborIndex,DiscountingCurve,,Trigger)</f>
        <v>obj_002ef#0000</v>
      </c>
      <c r="M44" s="6"/>
      <c r="N44" s="6"/>
      <c r="O44" s="2"/>
      <c r="P44" s="2"/>
      <c r="Q44" s="57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41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91"/>
      <c r="C47" s="3"/>
      <c r="D47" s="6"/>
      <c r="E47" s="6"/>
      <c r="F47" s="6"/>
      <c r="G47" s="6"/>
      <c r="H47" s="6"/>
      <c r="I47" s="6"/>
      <c r="J47" s="6"/>
      <c r="K47" s="57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57"/>
      <c r="L48" s="57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6"/>
      <c r="B103" s="6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  <row r="130" spans="2:3" x14ac:dyDescent="0.2">
      <c r="B130" s="149"/>
      <c r="C130" s="151"/>
    </row>
  </sheetData>
  <dataValidations count="2">
    <dataValidation type="list" allowBlank="1" showInputMessage="1" showErrorMessage="1" sqref="O26 O8">
      <formula1>"Following,Modified Following,Preceding,Modified Preceding,Unadjusted,Half-Month Modified Following"</formula1>
    </dataValidation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General Settings</vt:lpstr>
      <vt:lpstr>Contribution</vt:lpstr>
      <vt:lpstr>ON Pricing</vt:lpstr>
      <vt:lpstr>1M Pricing</vt:lpstr>
      <vt:lpstr>3M Pricing</vt:lpstr>
      <vt:lpstr>6M Pricing</vt:lpstr>
      <vt:lpstr>AllTriggers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SyntheticQuotesTrigger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2015-12-15T10:21:44Z</dcterms:modified>
</cp:coreProperties>
</file>